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drawings/drawing3.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comments17.xml" ContentType="application/vnd.openxmlformats-officedocument.spreadsheetml.comments+xml"/>
  <Override PartName="/xl/threadedComments/threadedComment17.xml" ContentType="application/vnd.ms-excel.threadedcomments+xml"/>
  <Override PartName="/xl/comments18.xml" ContentType="application/vnd.openxmlformats-officedocument.spreadsheetml.comments+xml"/>
  <Override PartName="/xl/threadedComments/threadedComment18.xml" ContentType="application/vnd.ms-excel.threadedcomments+xml"/>
  <Override PartName="/xl/comments19.xml" ContentType="application/vnd.openxmlformats-officedocument.spreadsheetml.comments+xml"/>
  <Override PartName="/xl/threadedComments/threadedComment19.xml" ContentType="application/vnd.ms-excel.threadedcomments+xml"/>
  <Override PartName="/xl/comments20.xml" ContentType="application/vnd.openxmlformats-officedocument.spreadsheetml.comments+xml"/>
  <Override PartName="/xl/threadedComments/threadedComment20.xml" ContentType="application/vnd.ms-excel.threadedcomments+xml"/>
  <Override PartName="/xl/comments21.xml" ContentType="application/vnd.openxmlformats-officedocument.spreadsheetml.comments+xml"/>
  <Override PartName="/xl/threadedComments/threadedComment21.xml" ContentType="application/vnd.ms-excel.threadedcomments+xml"/>
  <Override PartName="/xl/comments22.xml" ContentType="application/vnd.openxmlformats-officedocument.spreadsheetml.comments+xml"/>
  <Override PartName="/xl/threadedComments/threadedComment22.xml" ContentType="application/vnd.ms-excel.threadedcomments+xml"/>
  <Override PartName="/xl/comments23.xml" ContentType="application/vnd.openxmlformats-officedocument.spreadsheetml.comments+xml"/>
  <Override PartName="/xl/threadedComments/threadedComment23.xml" ContentType="application/vnd.ms-excel.threadedcomments+xml"/>
  <Override PartName="/xl/comments24.xml" ContentType="application/vnd.openxmlformats-officedocument.spreadsheetml.comments+xml"/>
  <Override PartName="/xl/threadedComments/threadedComment24.xml" ContentType="application/vnd.ms-excel.threadedcomments+xml"/>
  <Override PartName="/xl/comments25.xml" ContentType="application/vnd.openxmlformats-officedocument.spreadsheetml.comments+xml"/>
  <Override PartName="/xl/threadedComments/threadedComment25.xml" ContentType="application/vnd.ms-excel.threadedcomments+xml"/>
  <Override PartName="/xl/comments26.xml" ContentType="application/vnd.openxmlformats-officedocument.spreadsheetml.comments+xml"/>
  <Override PartName="/xl/threadedComments/threadedComment26.xml" ContentType="application/vnd.ms-excel.threadedcomments+xml"/>
  <Override PartName="/xl/comments27.xml" ContentType="application/vnd.openxmlformats-officedocument.spreadsheetml.comments+xml"/>
  <Override PartName="/xl/threadedComments/threadedComment27.xml" ContentType="application/vnd.ms-excel.threadedcomments+xml"/>
  <Override PartName="/xl/comments28.xml" ContentType="application/vnd.openxmlformats-officedocument.spreadsheetml.comments+xml"/>
  <Override PartName="/xl/threadedComments/threadedComment28.xml" ContentType="application/vnd.ms-excel.threadedcomments+xml"/>
  <Override PartName="/xl/comments29.xml" ContentType="application/vnd.openxmlformats-officedocument.spreadsheetml.comments+xml"/>
  <Override PartName="/xl/threadedComments/threadedComment29.xml" ContentType="application/vnd.ms-excel.threadedcomments+xml"/>
  <Override PartName="/xl/comments30.xml" ContentType="application/vnd.openxmlformats-officedocument.spreadsheetml.comments+xml"/>
  <Override PartName="/xl/threadedComments/threadedComment30.xml" ContentType="application/vnd.ms-excel.threadedcomments+xml"/>
  <Override PartName="/xl/comments31.xml" ContentType="application/vnd.openxmlformats-officedocument.spreadsheetml.comments+xml"/>
  <Override PartName="/xl/threadedComments/threadedComment31.xml" ContentType="application/vnd.ms-excel.threadedcomments+xml"/>
  <Override PartName="/xl/comments32.xml" ContentType="application/vnd.openxmlformats-officedocument.spreadsheetml.comments+xml"/>
  <Override PartName="/xl/threadedComments/threadedComment32.xml" ContentType="application/vnd.ms-excel.threadedcomments+xml"/>
  <Override PartName="/xl/comments33.xml" ContentType="application/vnd.openxmlformats-officedocument.spreadsheetml.comments+xml"/>
  <Override PartName="/xl/threadedComments/threadedComment33.xml" ContentType="application/vnd.ms-excel.threadedcomments+xml"/>
  <Override PartName="/xl/comments34.xml" ContentType="application/vnd.openxmlformats-officedocument.spreadsheetml.comments+xml"/>
  <Override PartName="/xl/threadedComments/threadedComment34.xml" ContentType="application/vnd.ms-excel.threadedcomments+xml"/>
  <Override PartName="/xl/comments35.xml" ContentType="application/vnd.openxmlformats-officedocument.spreadsheetml.comments+xml"/>
  <Override PartName="/xl/threadedComments/threadedComment35.xml" ContentType="application/vnd.ms-excel.threadedcomments+xml"/>
  <Override PartName="/xl/comments36.xml" ContentType="application/vnd.openxmlformats-officedocument.spreadsheetml.comments+xml"/>
  <Override PartName="/xl/threadedComments/threadedComment36.xml" ContentType="application/vnd.ms-excel.threadedcomments+xml"/>
  <Override PartName="/xl/comments37.xml" ContentType="application/vnd.openxmlformats-officedocument.spreadsheetml.comments+xml"/>
  <Override PartName="/xl/threadedComments/threadedComment37.xml" ContentType="application/vnd.ms-excel.threadedcomments+xml"/>
  <Override PartName="/xl/comments38.xml" ContentType="application/vnd.openxmlformats-officedocument.spreadsheetml.comments+xml"/>
  <Override PartName="/xl/threadedComments/threadedComment38.xml" ContentType="application/vnd.ms-excel.threadedcomments+xml"/>
  <Override PartName="/xl/comments39.xml" ContentType="application/vnd.openxmlformats-officedocument.spreadsheetml.comments+xml"/>
  <Override PartName="/xl/threadedComments/threadedComment39.xml" ContentType="application/vnd.ms-excel.threadedcomments+xml"/>
  <Override PartName="/xl/comments40.xml" ContentType="application/vnd.openxmlformats-officedocument.spreadsheetml.comments+xml"/>
  <Override PartName="/xl/threadedComments/threadedComment40.xml" ContentType="application/vnd.ms-excel.threadedcomments+xml"/>
  <Override PartName="/xl/comments41.xml" ContentType="application/vnd.openxmlformats-officedocument.spreadsheetml.comments+xml"/>
  <Override PartName="/xl/threadedComments/threadedComment41.xml" ContentType="application/vnd.ms-excel.threadedcomments+xml"/>
  <Override PartName="/xl/comments42.xml" ContentType="application/vnd.openxmlformats-officedocument.spreadsheetml.comments+xml"/>
  <Override PartName="/xl/threadedComments/threadedComment42.xml" ContentType="application/vnd.ms-excel.threadedcomments+xml"/>
  <Override PartName="/xl/comments43.xml" ContentType="application/vnd.openxmlformats-officedocument.spreadsheetml.comments+xml"/>
  <Override PartName="/xl/threadedComments/threadedComment43.xml" ContentType="application/vnd.ms-excel.threadedcomments+xml"/>
  <Override PartName="/xl/comments44.xml" ContentType="application/vnd.openxmlformats-officedocument.spreadsheetml.comments+xml"/>
  <Override PartName="/xl/threadedComments/threadedComment44.xml" ContentType="application/vnd.ms-excel.threadedcomments+xml"/>
  <Override PartName="/xl/comments45.xml" ContentType="application/vnd.openxmlformats-officedocument.spreadsheetml.comments+xml"/>
  <Override PartName="/xl/threadedComments/threadedComment45.xml" ContentType="application/vnd.ms-excel.threadedcomments+xml"/>
  <Override PartName="/xl/comments46.xml" ContentType="application/vnd.openxmlformats-officedocument.spreadsheetml.comments+xml"/>
  <Override PartName="/xl/threadedComments/threadedComment46.xml" ContentType="application/vnd.ms-excel.threadedcomments+xml"/>
  <Override PartName="/xl/comments47.xml" ContentType="application/vnd.openxmlformats-officedocument.spreadsheetml.comments+xml"/>
  <Override PartName="/xl/threadedComments/threadedComment47.xml" ContentType="application/vnd.ms-excel.threadedcomments+xml"/>
  <Override PartName="/xl/comments48.xml" ContentType="application/vnd.openxmlformats-officedocument.spreadsheetml.comments+xml"/>
  <Override PartName="/xl/threadedComments/threadedComment48.xml" ContentType="application/vnd.ms-excel.threadedcomments+xml"/>
  <Override PartName="/xl/comments49.xml" ContentType="application/vnd.openxmlformats-officedocument.spreadsheetml.comments+xml"/>
  <Override PartName="/xl/threadedComments/threadedComment49.xml" ContentType="application/vnd.ms-excel.threadedcomments+xml"/>
  <Override PartName="/xl/comments50.xml" ContentType="application/vnd.openxmlformats-officedocument.spreadsheetml.comments+xml"/>
  <Override PartName="/xl/threadedComments/threadedComment50.xml" ContentType="application/vnd.ms-excel.threadedcomments+xml"/>
  <Override PartName="/xl/comments51.xml" ContentType="application/vnd.openxmlformats-officedocument.spreadsheetml.comments+xml"/>
  <Override PartName="/xl/threadedComments/threadedComment51.xml" ContentType="application/vnd.ms-excel.threadedcomments+xml"/>
  <Override PartName="/xl/comments52.xml" ContentType="application/vnd.openxmlformats-officedocument.spreadsheetml.comments+xml"/>
  <Override PartName="/xl/threadedComments/threadedComment52.xml" ContentType="application/vnd.ms-excel.threadedcomments+xml"/>
  <Override PartName="/xl/comments53.xml" ContentType="application/vnd.openxmlformats-officedocument.spreadsheetml.comments+xml"/>
  <Override PartName="/xl/threadedComments/threadedComment53.xml" ContentType="application/vnd.ms-excel.threadedcomments+xml"/>
  <Override PartName="/xl/comments54.xml" ContentType="application/vnd.openxmlformats-officedocument.spreadsheetml.comments+xml"/>
  <Override PartName="/xl/threadedComments/threadedComment54.xml" ContentType="application/vnd.ms-excel.threadedcomments+xml"/>
  <Override PartName="/xl/comments55.xml" ContentType="application/vnd.openxmlformats-officedocument.spreadsheetml.comments+xml"/>
  <Override PartName="/xl/threadedComments/threadedComment55.xml" ContentType="application/vnd.ms-excel.threadedcomments+xml"/>
  <Override PartName="/xl/comments56.xml" ContentType="application/vnd.openxmlformats-officedocument.spreadsheetml.comments+xml"/>
  <Override PartName="/xl/threadedComments/threadedComment56.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codeName="ThisWorkbook" defaultThemeVersion="166925"/>
  <mc:AlternateContent xmlns:mc="http://schemas.openxmlformats.org/markup-compatibility/2006">
    <mc:Choice Requires="x15">
      <x15ac:absPath xmlns:x15ac="http://schemas.microsoft.com/office/spreadsheetml/2010/11/ac" url="https://esvanguardia-my.sharepoint.com/personal/varaya_esvanguardia_cl/Documents/Es Vanguardia/Bolsa/"/>
    </mc:Choice>
  </mc:AlternateContent>
  <xr:revisionPtr revIDLastSave="0" documentId="8_{A1783B17-EDE1-4FDF-81B1-971D29F99302}" xr6:coauthVersionLast="47" xr6:coauthVersionMax="47" xr10:uidLastSave="{00000000-0000-0000-0000-000000000000}"/>
  <bookViews>
    <workbookView xWindow="-20610" yWindow="4440" windowWidth="20730" windowHeight="11040" tabRatio="836" firstSheet="64" activeTab="64" xr2:uid="{193D1F86-CA0F-473F-9DFD-9DA00739B4C5}"/>
  </bookViews>
  <sheets>
    <sheet name="Responsables empresas" sheetId="85" r:id="rId1"/>
    <sheet name="Cuidados a tener en la planilla" sheetId="92" r:id="rId2"/>
    <sheet name="Actualización de POWER BI" sheetId="93" r:id="rId3"/>
    <sheet name="Como llenar dividendos" sheetId="91" r:id="rId4"/>
    <sheet name="Empresas Power BI" sheetId="90" r:id="rId5"/>
    <sheet name="EMPRESAS SELECCIONADAS (2)" sheetId="88" state="hidden" r:id="rId6"/>
    <sheet name="EMPRESAS SELECCIONADAS" sheetId="87" state="hidden" r:id="rId7"/>
    <sheet name="INDICE" sheetId="1" r:id="rId8"/>
    <sheet name="AAISA" sheetId="7" r:id="rId9"/>
    <sheet name="AFPCAPITAL" sheetId="60" r:id="rId10"/>
    <sheet name="AGUAS-A" sheetId="42" r:id="rId11"/>
    <sheet name="AGUAS-B" sheetId="43" r:id="rId12"/>
    <sheet name="ALMENDRAL" sheetId="20" r:id="rId13"/>
    <sheet name="ANASAC" sheetId="19" r:id="rId14"/>
    <sheet name="ANDINA A" sheetId="15" r:id="rId15"/>
    <sheet name="ANDINA B" sheetId="16" r:id="rId16"/>
    <sheet name="BANVIDA" sheetId="84" r:id="rId17"/>
    <sheet name="BCI" sheetId="48" r:id="rId18"/>
    <sheet name="BESALCO (TIKR)" sheetId="81" r:id="rId19"/>
    <sheet name="COLBÚN" sheetId="17" r:id="rId20"/>
    <sheet name="BOLSA STGO" sheetId="39" r:id="rId21"/>
    <sheet name="CAP (TIKR)" sheetId="80" r:id="rId22"/>
    <sheet name="CCU" sheetId="23" r:id="rId23"/>
    <sheet name="CENCOMALLS" sheetId="89" r:id="rId24"/>
    <sheet name="CGE" sheetId="44" r:id="rId25"/>
    <sheet name="CHILE" sheetId="46" r:id="rId26"/>
    <sheet name="CONCHATORO" sheetId="40" r:id="rId27"/>
    <sheet name="CMPC" sheetId="69" r:id="rId28"/>
    <sheet name="CUPRUM" sheetId="6" r:id="rId29"/>
    <sheet name="EDELMAG" sheetId="58" r:id="rId30"/>
    <sheet name="ELECMETAL" sheetId="66" r:id="rId31"/>
    <sheet name="EMBONOR A" sheetId="12" r:id="rId32"/>
    <sheet name="EISA (TIKR)" sheetId="83" r:id="rId33"/>
    <sheet name="EMBONOR B" sheetId="11" r:id="rId34"/>
    <sheet name="ENELAM" sheetId="63" r:id="rId35"/>
    <sheet name="ENELCHILE" sheetId="18" r:id="rId36"/>
    <sheet name="ENLASA" sheetId="71" r:id="rId37"/>
    <sheet name="ENELGXCH" sheetId="64" r:id="rId38"/>
    <sheet name="ENTEL" sheetId="26" r:id="rId39"/>
    <sheet name="FORUS" sheetId="53" r:id="rId40"/>
    <sheet name="FOSFOROS" sheetId="54" r:id="rId41"/>
    <sheet name="GASCO" sheetId="67" r:id="rId42"/>
    <sheet name="HABITAT" sheetId="2" r:id="rId43"/>
    <sheet name="IAM" sheetId="65" r:id="rId44"/>
    <sheet name="IANSA (TIKR)" sheetId="76" r:id="rId45"/>
    <sheet name="ILC" sheetId="41" r:id="rId46"/>
    <sheet name="ITAU" sheetId="61" r:id="rId47"/>
    <sheet name="LIPIGAS" sheetId="14" r:id="rId48"/>
    <sheet name="MANQUEHUE" sheetId="50" r:id="rId49"/>
    <sheet name="MINERA" sheetId="56" r:id="rId50"/>
    <sheet name="MOLYMET" sheetId="51" r:id="rId51"/>
    <sheet name="NTGCLGAS" sheetId="22" r:id="rId52"/>
    <sheet name="NUAM" sheetId="97" r:id="rId53"/>
    <sheet name="OXIQUIM" sheetId="25" r:id="rId54"/>
    <sheet name="MALLPLAZA" sheetId="95" r:id="rId55"/>
    <sheet name="PEHUENCHE" sheetId="9" r:id="rId56"/>
    <sheet name="PARAUCO" sheetId="94" r:id="rId57"/>
    <sheet name="PLANVITAL" sheetId="5" r:id="rId58"/>
    <sheet name="PROVIDA" sheetId="3" r:id="rId59"/>
    <sheet name="SALFACORP (TIKR)" sheetId="82" r:id="rId60"/>
    <sheet name="SANTANDER" sheetId="47" r:id="rId61"/>
    <sheet name="SECURITY" sheetId="62" r:id="rId62"/>
    <sheet name="SONDA" sheetId="59" r:id="rId63"/>
    <sheet name="QUINENCO" sheetId="38" r:id="rId64"/>
    <sheet name="SMU" sheetId="49" r:id="rId65"/>
    <sheet name="SOQUICOM" sheetId="13" r:id="rId66"/>
    <sheet name="TRICAHUE" sheetId="37" r:id="rId67"/>
    <sheet name="VOLCAN" sheetId="52" r:id="rId68"/>
    <sheet name="ZOFRI" sheetId="8" r:id="rId69"/>
    <sheet name="PLANILLA BASE" sheetId="24" r:id="rId70"/>
  </sheets>
  <definedNames>
    <definedName name="_xlnm._FilterDatabase" localSheetId="42" hidden="1">HABITAT!$B$6:$N$139</definedName>
    <definedName name="_xlnm._FilterDatabase" localSheetId="55" hidden="1">PEHUENCHE!$B$6:$N$16</definedName>
    <definedName name="_xlnm._FilterDatabase" localSheetId="7" hidden="1">INDICE!$A$4:$BC$4</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6" i="46" l="1"/>
  <c r="K43" i="46"/>
  <c r="K19" i="46"/>
  <c r="K18" i="46"/>
  <c r="K20" i="3"/>
  <c r="K45" i="17"/>
  <c r="K58" i="97"/>
  <c r="K68" i="97"/>
  <c r="K76" i="97" s="1"/>
  <c r="K58" i="11"/>
  <c r="K44" i="11"/>
  <c r="K147" i="11"/>
  <c r="J147" i="11"/>
  <c r="K120" i="11"/>
  <c r="K125" i="11" s="1"/>
  <c r="K131" i="11" s="1"/>
  <c r="K133" i="11" s="1"/>
  <c r="K114" i="11"/>
  <c r="I114" i="11"/>
  <c r="J114" i="11"/>
  <c r="D46" i="85" a="1"/>
  <c r="D46" i="85"/>
  <c r="K147" i="37"/>
  <c r="K40" i="15"/>
  <c r="K109" i="16"/>
  <c r="K100" i="16"/>
  <c r="K109" i="15"/>
  <c r="K100" i="15"/>
  <c r="K110" i="15"/>
  <c r="K76" i="15"/>
  <c r="C107" i="11"/>
  <c r="K107" i="11"/>
  <c r="I107" i="11"/>
  <c r="K35" i="97"/>
  <c r="B3" i="8" a="1"/>
  <c r="B3" i="8"/>
  <c r="C42" i="95"/>
  <c r="K155" i="95"/>
  <c r="K88" i="95"/>
  <c r="K44" i="6"/>
  <c r="C45" i="6" s="1"/>
  <c r="K137" i="6"/>
  <c r="K114" i="6"/>
  <c r="K111" i="6"/>
  <c r="K98" i="6"/>
  <c r="C62" i="3"/>
  <c r="C60" i="3"/>
  <c r="C45" i="3"/>
  <c r="K138" i="3"/>
  <c r="K115" i="3"/>
  <c r="K112" i="3"/>
  <c r="E3" i="49"/>
  <c r="D3" i="49"/>
  <c r="K9" i="49"/>
  <c r="K53" i="49"/>
  <c r="K47" i="49"/>
  <c r="K151" i="49"/>
  <c r="K122" i="49"/>
  <c r="K127" i="49" s="1"/>
  <c r="K133" i="49" s="1"/>
  <c r="K152" i="89"/>
  <c r="K58" i="23"/>
  <c r="K45" i="23"/>
  <c r="K18" i="23"/>
  <c r="K56" i="23"/>
  <c r="K157" i="23"/>
  <c r="L92" i="23"/>
  <c r="K114" i="23"/>
  <c r="K93" i="23"/>
  <c r="L91" i="23"/>
  <c r="K78" i="23"/>
  <c r="K132" i="8"/>
  <c r="E3" i="13"/>
  <c r="D3" i="13"/>
  <c r="J24" i="47"/>
  <c r="K18" i="47"/>
  <c r="K19" i="47"/>
  <c r="K24" i="47"/>
  <c r="K25" i="47"/>
  <c r="K30" i="47"/>
  <c r="K34" i="47"/>
  <c r="K35" i="47"/>
  <c r="K36" i="47"/>
  <c r="K38" i="47"/>
  <c r="K40" i="47"/>
  <c r="K43" i="47"/>
  <c r="K46" i="47"/>
  <c r="J151" i="44"/>
  <c r="K151" i="44"/>
  <c r="J152" i="44"/>
  <c r="K152" i="44"/>
  <c r="J152" i="89"/>
  <c r="J43" i="38"/>
  <c r="K24" i="13"/>
  <c r="K23" i="13"/>
  <c r="K19" i="13"/>
  <c r="K20" i="13"/>
  <c r="D151" i="49"/>
  <c r="J151" i="13"/>
  <c r="K151" i="13"/>
  <c r="K149" i="13"/>
  <c r="K107" i="13"/>
  <c r="K58" i="38"/>
  <c r="K141" i="38"/>
  <c r="J139" i="38"/>
  <c r="K131" i="38"/>
  <c r="K126" i="38"/>
  <c r="K109" i="38"/>
  <c r="K103" i="38"/>
  <c r="K89" i="38"/>
  <c r="K78" i="38"/>
  <c r="K151" i="15"/>
  <c r="J44" i="13"/>
  <c r="J74" i="13"/>
  <c r="D63" i="13"/>
  <c r="C64" i="13"/>
  <c r="C56" i="13"/>
  <c r="C57" i="13"/>
  <c r="D56" i="13"/>
  <c r="D57" i="13"/>
  <c r="E56" i="13"/>
  <c r="H56" i="13"/>
  <c r="I56" i="13"/>
  <c r="J56" i="13"/>
  <c r="E57" i="13"/>
  <c r="F57" i="13"/>
  <c r="G57" i="13"/>
  <c r="H57" i="13"/>
  <c r="I57" i="13"/>
  <c r="J57" i="13"/>
  <c r="C62" i="13"/>
  <c r="K68" i="13"/>
  <c r="K69" i="13"/>
  <c r="I52" i="59"/>
  <c r="D67" i="13"/>
  <c r="D64" i="13"/>
  <c r="J66" i="13"/>
  <c r="J64" i="13"/>
  <c r="J62" i="13"/>
  <c r="J97" i="13"/>
  <c r="K97" i="13"/>
  <c r="J96" i="13"/>
  <c r="K96" i="13"/>
  <c r="J90" i="13"/>
  <c r="K90" i="13"/>
  <c r="J126" i="13"/>
  <c r="K126" i="13"/>
  <c r="J131" i="13"/>
  <c r="K131" i="13"/>
  <c r="J12" i="16"/>
  <c r="J29" i="16"/>
  <c r="J151" i="15"/>
  <c r="I151" i="15"/>
  <c r="C62" i="22"/>
  <c r="F58" i="22"/>
  <c r="I55" i="22"/>
  <c r="J47" i="22"/>
  <c r="C60" i="22"/>
  <c r="C59" i="22"/>
  <c r="C58" i="22"/>
  <c r="C47" i="22"/>
  <c r="C46" i="22"/>
  <c r="D46" i="22"/>
  <c r="C63" i="22"/>
  <c r="J58" i="22"/>
  <c r="J101" i="22"/>
  <c r="J88" i="22"/>
  <c r="I88" i="22"/>
  <c r="Q13" i="1"/>
  <c r="K18" i="8"/>
  <c r="J132" i="8"/>
  <c r="J58" i="8"/>
  <c r="J93" i="8"/>
  <c r="K93" i="8"/>
  <c r="J87" i="8"/>
  <c r="K87" i="8"/>
  <c r="K72" i="8"/>
  <c r="L72" i="8"/>
  <c r="M72" i="8"/>
  <c r="K79" i="8"/>
  <c r="L79" i="8"/>
  <c r="M79" i="8"/>
  <c r="K80" i="8"/>
  <c r="L80" i="8"/>
  <c r="M80" i="8"/>
  <c r="L87" i="8"/>
  <c r="M87" i="8"/>
  <c r="K92" i="8"/>
  <c r="L92" i="8"/>
  <c r="M92" i="8"/>
  <c r="K100" i="8"/>
  <c r="L100" i="8"/>
  <c r="M100" i="8"/>
  <c r="K106" i="8"/>
  <c r="L106" i="8"/>
  <c r="M106" i="8"/>
  <c r="K109" i="8"/>
  <c r="L109" i="8"/>
  <c r="M109" i="8"/>
  <c r="K48" i="13"/>
  <c r="D146" i="69"/>
  <c r="E151" i="15"/>
  <c r="C146" i="43"/>
  <c r="C122" i="43"/>
  <c r="C116" i="43"/>
  <c r="C110" i="43"/>
  <c r="F22" i="91"/>
  <c r="G17" i="91"/>
  <c r="F19" i="91"/>
  <c r="F16" i="91"/>
  <c r="F17" i="91"/>
  <c r="B3" i="65" a="1"/>
  <c r="B3" i="65"/>
  <c r="B3" i="46" a="1"/>
  <c r="B3" i="46"/>
  <c r="K134" i="44"/>
  <c r="J76" i="44"/>
  <c r="K76" i="44"/>
  <c r="K53" i="67"/>
  <c r="K47" i="67"/>
  <c r="C42" i="67"/>
  <c r="K130" i="67"/>
  <c r="K125" i="67"/>
  <c r="C42" i="94"/>
  <c r="K153" i="94"/>
  <c r="I54" i="43"/>
  <c r="K53" i="16"/>
  <c r="J53" i="16"/>
  <c r="K50" i="16"/>
  <c r="L50" i="16"/>
  <c r="M50" i="16"/>
  <c r="N50" i="16"/>
  <c r="K51" i="16"/>
  <c r="L51" i="16"/>
  <c r="M51" i="16"/>
  <c r="N51" i="16"/>
  <c r="K47" i="16"/>
  <c r="K53" i="15"/>
  <c r="K47" i="15"/>
  <c r="K151" i="16"/>
  <c r="K129" i="16"/>
  <c r="K135" i="16"/>
  <c r="K76" i="16"/>
  <c r="K88" i="16"/>
  <c r="K110" i="16"/>
  <c r="K129" i="15"/>
  <c r="K135" i="15" s="1"/>
  <c r="K88" i="15"/>
  <c r="C60" i="14"/>
  <c r="D37" i="46"/>
  <c r="C42" i="64"/>
  <c r="K25" i="1"/>
  <c r="V10" i="1"/>
  <c r="C39" i="9"/>
  <c r="J62" i="41"/>
  <c r="B3" i="61" a="1"/>
  <c r="B3" i="61" s="1"/>
  <c r="D56" i="12"/>
  <c r="E56" i="12"/>
  <c r="F56" i="12"/>
  <c r="G56" i="12"/>
  <c r="H56" i="12"/>
  <c r="I56" i="12"/>
  <c r="J56" i="12"/>
  <c r="K56" i="12"/>
  <c r="L56" i="12"/>
  <c r="M56" i="12"/>
  <c r="N56" i="12"/>
  <c r="C56" i="12"/>
  <c r="I54" i="11"/>
  <c r="E51" i="11"/>
  <c r="E50" i="11"/>
  <c r="D52" i="11"/>
  <c r="D50" i="11"/>
  <c r="F50" i="11"/>
  <c r="G50" i="11"/>
  <c r="H50" i="11"/>
  <c r="I50" i="11"/>
  <c r="J50" i="11"/>
  <c r="K50" i="11"/>
  <c r="L50" i="11"/>
  <c r="M50" i="11"/>
  <c r="N50" i="11"/>
  <c r="D51" i="11"/>
  <c r="F51" i="11"/>
  <c r="G51" i="11"/>
  <c r="H51" i="11"/>
  <c r="I51" i="11"/>
  <c r="J51" i="11"/>
  <c r="K51" i="11"/>
  <c r="L51" i="11"/>
  <c r="M51" i="11"/>
  <c r="N51" i="11"/>
  <c r="C50" i="11"/>
  <c r="C51" i="11"/>
  <c r="D50" i="12"/>
  <c r="E50" i="12"/>
  <c r="F50" i="12"/>
  <c r="G50" i="12"/>
  <c r="H50" i="12"/>
  <c r="I50" i="12"/>
  <c r="J50" i="12"/>
  <c r="K50" i="12"/>
  <c r="L50" i="12"/>
  <c r="M50" i="12"/>
  <c r="N50" i="12"/>
  <c r="D51" i="12"/>
  <c r="E51" i="12"/>
  <c r="F51" i="12"/>
  <c r="G51" i="12"/>
  <c r="H51" i="12"/>
  <c r="I51" i="12"/>
  <c r="J51" i="12"/>
  <c r="K51" i="12"/>
  <c r="L51" i="12"/>
  <c r="M51" i="12"/>
  <c r="N51" i="12"/>
  <c r="C51" i="12"/>
  <c r="C50" i="12"/>
  <c r="I54" i="12"/>
  <c r="H9" i="1"/>
  <c r="E58" i="23"/>
  <c r="F58" i="23"/>
  <c r="G58" i="23"/>
  <c r="H58" i="23"/>
  <c r="I58" i="23"/>
  <c r="J58" i="23"/>
  <c r="L58" i="23"/>
  <c r="M58" i="23"/>
  <c r="N58" i="23"/>
  <c r="D58" i="23"/>
  <c r="C58" i="23"/>
  <c r="C40" i="15"/>
  <c r="J62" i="22"/>
  <c r="J23" i="22"/>
  <c r="J22" i="22"/>
  <c r="J21" i="22"/>
  <c r="J19" i="22"/>
  <c r="J61" i="3"/>
  <c r="J47" i="3"/>
  <c r="J31" i="3"/>
  <c r="J30" i="3"/>
  <c r="J41" i="89"/>
  <c r="J30" i="89"/>
  <c r="J18" i="89"/>
  <c r="H21" i="22"/>
  <c r="K114" i="37"/>
  <c r="K107" i="37"/>
  <c r="K88" i="37"/>
  <c r="K133" i="37"/>
  <c r="K131" i="37"/>
  <c r="K125" i="37"/>
  <c r="K120" i="37"/>
  <c r="K35" i="37"/>
  <c r="K11" i="37"/>
  <c r="E3" i="2"/>
  <c r="D3" i="2"/>
  <c r="E3" i="3"/>
  <c r="D3" i="3"/>
  <c r="J23" i="18"/>
  <c r="J24" i="18"/>
  <c r="O11" i="1"/>
  <c r="D115" i="64"/>
  <c r="C8" i="9"/>
  <c r="D8" i="9"/>
  <c r="E8" i="9"/>
  <c r="F8" i="9"/>
  <c r="G8" i="9"/>
  <c r="H8" i="9"/>
  <c r="I8" i="9"/>
  <c r="J8" i="9"/>
  <c r="C9" i="9"/>
  <c r="D9" i="9"/>
  <c r="E9" i="9"/>
  <c r="F9" i="9"/>
  <c r="G9" i="9"/>
  <c r="H9" i="9"/>
  <c r="I9" i="9"/>
  <c r="J9" i="9"/>
  <c r="C10" i="9"/>
  <c r="D10" i="9"/>
  <c r="E10" i="9"/>
  <c r="F10" i="9"/>
  <c r="G10" i="9"/>
  <c r="H10" i="9"/>
  <c r="I10" i="9"/>
  <c r="J10" i="9"/>
  <c r="Q23" i="1"/>
  <c r="J36" i="46"/>
  <c r="J38" i="46"/>
  <c r="K120" i="13"/>
  <c r="K113" i="13"/>
  <c r="J70" i="13"/>
  <c r="K64" i="13"/>
  <c r="D52" i="17"/>
  <c r="E52" i="17"/>
  <c r="F52" i="17"/>
  <c r="G52" i="17"/>
  <c r="H52" i="17"/>
  <c r="I52" i="17"/>
  <c r="J52" i="17"/>
  <c r="K52" i="17"/>
  <c r="L52" i="17"/>
  <c r="M52" i="17"/>
  <c r="N52" i="17"/>
  <c r="D53" i="17"/>
  <c r="E53" i="17"/>
  <c r="F53" i="17"/>
  <c r="G53" i="17"/>
  <c r="H53" i="17"/>
  <c r="I53" i="17"/>
  <c r="J53" i="17"/>
  <c r="K53" i="17"/>
  <c r="L53" i="17"/>
  <c r="M53" i="17"/>
  <c r="N53" i="17"/>
  <c r="C53" i="17"/>
  <c r="C52" i="17"/>
  <c r="D9" i="8"/>
  <c r="E9" i="8"/>
  <c r="F9" i="8"/>
  <c r="G9" i="8"/>
  <c r="H9" i="8"/>
  <c r="I9" i="8"/>
  <c r="J9" i="8"/>
  <c r="K9" i="8"/>
  <c r="L9" i="8"/>
  <c r="M9" i="8"/>
  <c r="N9" i="8"/>
  <c r="O9" i="8"/>
  <c r="P9" i="8"/>
  <c r="C9" i="8"/>
  <c r="C8" i="49"/>
  <c r="D9" i="2"/>
  <c r="E9" i="2"/>
  <c r="F9" i="2"/>
  <c r="G9" i="2"/>
  <c r="H9" i="2"/>
  <c r="I9" i="2"/>
  <c r="J9" i="2"/>
  <c r="K9" i="2"/>
  <c r="L9" i="2"/>
  <c r="M9" i="2"/>
  <c r="N9" i="2"/>
  <c r="C9" i="2"/>
  <c r="D9" i="17"/>
  <c r="E9" i="17"/>
  <c r="F9" i="17"/>
  <c r="G9" i="17"/>
  <c r="H9" i="17"/>
  <c r="I9" i="17"/>
  <c r="J9" i="17"/>
  <c r="K9" i="17"/>
  <c r="L9" i="17"/>
  <c r="M9" i="17"/>
  <c r="N9" i="17"/>
  <c r="C9" i="17"/>
  <c r="K9" i="9"/>
  <c r="L9" i="9"/>
  <c r="M9" i="9"/>
  <c r="N9" i="9"/>
  <c r="I52" i="9"/>
  <c r="H52" i="9"/>
  <c r="D51" i="9"/>
  <c r="D52" i="9"/>
  <c r="C52" i="9"/>
  <c r="E3" i="89"/>
  <c r="J56" i="14"/>
  <c r="I47" i="14"/>
  <c r="J44" i="16"/>
  <c r="F45" i="16"/>
  <c r="J53" i="60"/>
  <c r="K36" i="17"/>
  <c r="M12" i="1"/>
  <c r="I56" i="16"/>
  <c r="G54" i="41"/>
  <c r="F54" i="41"/>
  <c r="E55" i="41"/>
  <c r="D55" i="41"/>
  <c r="C55" i="41"/>
  <c r="C54" i="41"/>
  <c r="I49" i="41"/>
  <c r="J24" i="5"/>
  <c r="J44" i="7"/>
  <c r="J24" i="7"/>
  <c r="I60" i="38"/>
  <c r="I58" i="16"/>
  <c r="K46" i="8"/>
  <c r="J60" i="38"/>
  <c r="J26" i="14"/>
  <c r="J25" i="14"/>
  <c r="J43" i="15"/>
  <c r="D39" i="46"/>
  <c r="J129" i="97"/>
  <c r="D56" i="64" a="1"/>
  <c r="D56" i="64" s="1"/>
  <c r="I64" i="13"/>
  <c r="F40" i="25"/>
  <c r="I21" i="97"/>
  <c r="I18" i="97"/>
  <c r="I25" i="97"/>
  <c r="I37" i="97"/>
  <c r="J91" i="97"/>
  <c r="J101" i="97"/>
  <c r="J110" i="97"/>
  <c r="J68" i="97"/>
  <c r="J77" i="97"/>
  <c r="J88" i="97"/>
  <c r="I58" i="97"/>
  <c r="J56" i="97"/>
  <c r="I50" i="97"/>
  <c r="I51" i="97"/>
  <c r="C44" i="97"/>
  <c r="J123" i="97"/>
  <c r="K123" i="97"/>
  <c r="L123" i="97"/>
  <c r="M123" i="97"/>
  <c r="N123" i="97"/>
  <c r="I123" i="97"/>
  <c r="K129" i="97"/>
  <c r="L129" i="97"/>
  <c r="M129" i="97"/>
  <c r="N129" i="97"/>
  <c r="I129" i="97"/>
  <c r="I41" i="97"/>
  <c r="J151" i="97"/>
  <c r="K151" i="97"/>
  <c r="L151" i="97"/>
  <c r="M151" i="97"/>
  <c r="N151" i="97"/>
  <c r="I151" i="97"/>
  <c r="I101" i="97"/>
  <c r="K91" i="97"/>
  <c r="L91" i="97"/>
  <c r="M91" i="97"/>
  <c r="N91" i="97"/>
  <c r="I91" i="97"/>
  <c r="I77" i="97"/>
  <c r="N68" i="97"/>
  <c r="L68" i="97"/>
  <c r="M68" i="97"/>
  <c r="I68" i="97"/>
  <c r="C10" i="97"/>
  <c r="C53" i="97"/>
  <c r="D53" i="97"/>
  <c r="N58" i="97"/>
  <c r="C7" i="97"/>
  <c r="D7" i="97"/>
  <c r="E7" i="97"/>
  <c r="F7" i="97"/>
  <c r="G7" i="97"/>
  <c r="H7" i="97"/>
  <c r="I7" i="97"/>
  <c r="J7" i="97"/>
  <c r="K7" i="97"/>
  <c r="L7" i="97"/>
  <c r="M7" i="97"/>
  <c r="N7" i="97"/>
  <c r="C8" i="97"/>
  <c r="D8" i="97"/>
  <c r="E8" i="97"/>
  <c r="F8" i="97"/>
  <c r="G8" i="97"/>
  <c r="H8" i="97"/>
  <c r="I8" i="97"/>
  <c r="J8" i="97"/>
  <c r="K8" i="97"/>
  <c r="L8" i="97"/>
  <c r="M8" i="97"/>
  <c r="N8" i="97"/>
  <c r="C9" i="97"/>
  <c r="D9" i="97"/>
  <c r="E9" i="97"/>
  <c r="F9" i="97"/>
  <c r="G9" i="97"/>
  <c r="H9" i="97"/>
  <c r="I9" i="97"/>
  <c r="J9" i="97"/>
  <c r="K9" i="97"/>
  <c r="L9" i="97"/>
  <c r="M9" i="97"/>
  <c r="N9" i="97"/>
  <c r="D10" i="97"/>
  <c r="E10" i="97"/>
  <c r="F10" i="97"/>
  <c r="G10" i="97"/>
  <c r="H10" i="97"/>
  <c r="J10" i="97"/>
  <c r="C11" i="97"/>
  <c r="D11" i="97"/>
  <c r="E11" i="97"/>
  <c r="F11" i="97"/>
  <c r="G11" i="97"/>
  <c r="H11" i="97"/>
  <c r="J11" i="97"/>
  <c r="C12" i="97"/>
  <c r="D12" i="97"/>
  <c r="E12" i="97"/>
  <c r="F12" i="97"/>
  <c r="G12" i="97"/>
  <c r="H12" i="97"/>
  <c r="J12" i="97"/>
  <c r="K12" i="97"/>
  <c r="L12" i="97"/>
  <c r="M12" i="97"/>
  <c r="N12" i="97"/>
  <c r="C13" i="97"/>
  <c r="D13" i="97"/>
  <c r="E13" i="97"/>
  <c r="F13" i="97"/>
  <c r="G13" i="97"/>
  <c r="H13" i="97"/>
  <c r="I13" i="97"/>
  <c r="J13" i="97"/>
  <c r="C14" i="97"/>
  <c r="D14" i="97"/>
  <c r="E14" i="97"/>
  <c r="F14" i="97"/>
  <c r="G14" i="97"/>
  <c r="H14" i="97"/>
  <c r="J14" i="97"/>
  <c r="C15" i="97"/>
  <c r="D15" i="97"/>
  <c r="E15" i="97"/>
  <c r="F15" i="97"/>
  <c r="G15" i="97"/>
  <c r="H15" i="97"/>
  <c r="I15" i="97"/>
  <c r="J15" i="97"/>
  <c r="K15" i="97"/>
  <c r="L15" i="97"/>
  <c r="M15" i="97"/>
  <c r="N15" i="97"/>
  <c r="C18" i="97"/>
  <c r="D18" i="97"/>
  <c r="E18" i="97"/>
  <c r="F18" i="97"/>
  <c r="G18" i="97"/>
  <c r="H18" i="97"/>
  <c r="J18" i="97"/>
  <c r="K18" i="97"/>
  <c r="L18" i="97"/>
  <c r="M18" i="97"/>
  <c r="N18" i="97"/>
  <c r="C21" i="97"/>
  <c r="D21" i="97"/>
  <c r="E21" i="97"/>
  <c r="F21" i="97"/>
  <c r="G21" i="97"/>
  <c r="H21" i="97"/>
  <c r="J21" i="97"/>
  <c r="K21" i="97"/>
  <c r="L21" i="97"/>
  <c r="M21" i="97"/>
  <c r="N21" i="97"/>
  <c r="G25" i="97"/>
  <c r="H25" i="97"/>
  <c r="J25" i="97"/>
  <c r="K25" i="97"/>
  <c r="L25" i="97"/>
  <c r="M25" i="97"/>
  <c r="N25" i="97"/>
  <c r="L26" i="97"/>
  <c r="M26" i="97"/>
  <c r="N26" i="97"/>
  <c r="G27" i="97"/>
  <c r="G26" i="97" s="1"/>
  <c r="H27" i="97"/>
  <c r="H26" i="97" s="1"/>
  <c r="I27" i="97"/>
  <c r="I26" i="97" s="1"/>
  <c r="J27" i="97"/>
  <c r="J26" i="97" s="1"/>
  <c r="K27" i="97"/>
  <c r="K26" i="97" s="1"/>
  <c r="L27" i="97"/>
  <c r="M27" i="97"/>
  <c r="N27" i="97"/>
  <c r="C29" i="97"/>
  <c r="D29" i="97"/>
  <c r="E29" i="97"/>
  <c r="F29" i="97"/>
  <c r="G29" i="97"/>
  <c r="H29" i="97"/>
  <c r="J29" i="97"/>
  <c r="K29" i="97"/>
  <c r="L29" i="97"/>
  <c r="M29" i="97"/>
  <c r="N29" i="97"/>
  <c r="C30" i="97"/>
  <c r="D30" i="97"/>
  <c r="E30" i="97"/>
  <c r="F30" i="97"/>
  <c r="G30" i="97"/>
  <c r="H30" i="97"/>
  <c r="J30" i="97"/>
  <c r="K30" i="97"/>
  <c r="L30" i="97"/>
  <c r="M30" i="97"/>
  <c r="N30" i="97"/>
  <c r="C31" i="97"/>
  <c r="D31" i="97"/>
  <c r="E31" i="97"/>
  <c r="F31" i="97"/>
  <c r="G31" i="97"/>
  <c r="H31" i="97"/>
  <c r="J31" i="97"/>
  <c r="K31" i="97"/>
  <c r="L31" i="97"/>
  <c r="M31" i="97"/>
  <c r="N31" i="97"/>
  <c r="C32" i="97"/>
  <c r="D32" i="97"/>
  <c r="E32" i="97"/>
  <c r="F32" i="97"/>
  <c r="G32" i="97"/>
  <c r="H32" i="97"/>
  <c r="J32" i="97"/>
  <c r="C35" i="97"/>
  <c r="D35" i="97"/>
  <c r="E35" i="97"/>
  <c r="F35" i="97"/>
  <c r="G35" i="97"/>
  <c r="H35" i="97"/>
  <c r="I35" i="97"/>
  <c r="J35" i="97"/>
  <c r="L35" i="97"/>
  <c r="M35" i="97"/>
  <c r="N35" i="97"/>
  <c r="C36" i="97"/>
  <c r="D36" i="97"/>
  <c r="E36" i="97"/>
  <c r="F36" i="97"/>
  <c r="G36" i="97"/>
  <c r="H36" i="97"/>
  <c r="I36" i="97"/>
  <c r="J36" i="97"/>
  <c r="K36" i="97"/>
  <c r="L36" i="97"/>
  <c r="M36" i="97"/>
  <c r="N36" i="97"/>
  <c r="C37" i="97"/>
  <c r="D37" i="97"/>
  <c r="E37" i="97"/>
  <c r="F37" i="97"/>
  <c r="G37" i="97"/>
  <c r="H37" i="97"/>
  <c r="J37" i="97"/>
  <c r="K37" i="97"/>
  <c r="L37" i="97"/>
  <c r="M37" i="97"/>
  <c r="N37" i="97"/>
  <c r="C38" i="97"/>
  <c r="D38" i="97"/>
  <c r="E38" i="97"/>
  <c r="F38" i="97"/>
  <c r="G38" i="97"/>
  <c r="H38" i="97"/>
  <c r="I38" i="97"/>
  <c r="J38" i="97"/>
  <c r="K38" i="97"/>
  <c r="L38" i="97"/>
  <c r="M38" i="97"/>
  <c r="N38" i="97"/>
  <c r="C39" i="97"/>
  <c r="D39" i="97"/>
  <c r="E39" i="97"/>
  <c r="F39" i="97"/>
  <c r="G39" i="97"/>
  <c r="H39" i="97"/>
  <c r="I39" i="97"/>
  <c r="J39" i="97"/>
  <c r="K39" i="97"/>
  <c r="L39" i="97"/>
  <c r="M39" i="97"/>
  <c r="N39" i="97"/>
  <c r="C40" i="97"/>
  <c r="D40" i="97"/>
  <c r="E40" i="97"/>
  <c r="F40" i="97"/>
  <c r="G40" i="97"/>
  <c r="H40" i="97"/>
  <c r="I40" i="97"/>
  <c r="J40" i="97"/>
  <c r="K40" i="97"/>
  <c r="L40" i="97"/>
  <c r="M40" i="97"/>
  <c r="N40" i="97"/>
  <c r="C41" i="97"/>
  <c r="D41" i="97"/>
  <c r="E41" i="97"/>
  <c r="F41" i="97"/>
  <c r="G41" i="97"/>
  <c r="H41" i="97"/>
  <c r="J41" i="97"/>
  <c r="K41" i="97"/>
  <c r="L41" i="97"/>
  <c r="M41" i="97"/>
  <c r="N41" i="97"/>
  <c r="C42" i="97"/>
  <c r="C43" i="97"/>
  <c r="D43" i="97"/>
  <c r="E43" i="97"/>
  <c r="F43" i="97"/>
  <c r="G43" i="97"/>
  <c r="H43" i="97"/>
  <c r="I43" i="97"/>
  <c r="J43" i="97"/>
  <c r="K43" i="97"/>
  <c r="L43" i="97"/>
  <c r="M43" i="97"/>
  <c r="N43" i="97"/>
  <c r="K44" i="97"/>
  <c r="L44" i="97"/>
  <c r="M44" i="97"/>
  <c r="N44" i="97"/>
  <c r="K45" i="97"/>
  <c r="J58" i="97" s="1"/>
  <c r="L45" i="97"/>
  <c r="M45" i="97"/>
  <c r="L58" i="97" s="1"/>
  <c r="N45" i="97"/>
  <c r="M58" i="97" s="1"/>
  <c r="C47" i="97"/>
  <c r="D47" i="97"/>
  <c r="C50" i="97"/>
  <c r="D50" i="97"/>
  <c r="K50" i="97"/>
  <c r="L50" i="97"/>
  <c r="M50" i="97"/>
  <c r="N50" i="97"/>
  <c r="C51" i="97"/>
  <c r="D51" i="97"/>
  <c r="K51" i="97"/>
  <c r="L51" i="97"/>
  <c r="M51" i="97"/>
  <c r="N51" i="97"/>
  <c r="N100" i="97"/>
  <c r="M100" i="97"/>
  <c r="L100" i="97"/>
  <c r="K100" i="97"/>
  <c r="N76" i="97"/>
  <c r="M76" i="97"/>
  <c r="L76" i="97"/>
  <c r="B3" i="97" a="1"/>
  <c r="B3" i="97" s="1"/>
  <c r="C62" i="97" s="1"/>
  <c r="B2" i="97"/>
  <c r="I30" i="58"/>
  <c r="J30" i="58"/>
  <c r="J31" i="58"/>
  <c r="J17" i="58"/>
  <c r="I38" i="58"/>
  <c r="I39" i="58"/>
  <c r="J39" i="58"/>
  <c r="H39" i="58"/>
  <c r="G124" i="58"/>
  <c r="J37" i="58"/>
  <c r="I37" i="58"/>
  <c r="H112" i="58"/>
  <c r="H113" i="58"/>
  <c r="J45" i="58"/>
  <c r="J42" i="58"/>
  <c r="I42" i="58"/>
  <c r="G42" i="58"/>
  <c r="H42" i="58"/>
  <c r="H43" i="58"/>
  <c r="I43" i="58"/>
  <c r="C42" i="58"/>
  <c r="D42" i="58"/>
  <c r="J41" i="58"/>
  <c r="J34" i="58"/>
  <c r="I17" i="58"/>
  <c r="H17" i="58"/>
  <c r="G17" i="58"/>
  <c r="J124" i="58"/>
  <c r="I123" i="58"/>
  <c r="J123" i="58"/>
  <c r="H124" i="58"/>
  <c r="H123" i="58"/>
  <c r="I124" i="58"/>
  <c r="J107" i="58"/>
  <c r="I107" i="58"/>
  <c r="J38" i="58"/>
  <c r="H20" i="58"/>
  <c r="I20" i="58"/>
  <c r="J20" i="58"/>
  <c r="G20" i="58"/>
  <c r="F20" i="58"/>
  <c r="J136" i="58"/>
  <c r="I112" i="58"/>
  <c r="J79" i="58"/>
  <c r="I79" i="58"/>
  <c r="J131" i="38"/>
  <c r="I131" i="38"/>
  <c r="J109" i="38"/>
  <c r="J103" i="38"/>
  <c r="J91" i="38"/>
  <c r="J89" i="38"/>
  <c r="J78" i="38"/>
  <c r="J46" i="46"/>
  <c r="J47" i="14"/>
  <c r="G54" i="2"/>
  <c r="C28" i="84"/>
  <c r="G18" i="48"/>
  <c r="J56" i="64"/>
  <c r="E30" i="46"/>
  <c r="H25" i="7"/>
  <c r="J154" i="64"/>
  <c r="D33" i="41"/>
  <c r="E33" i="41"/>
  <c r="F33" i="41"/>
  <c r="G33" i="41"/>
  <c r="H33" i="41"/>
  <c r="I33" i="41"/>
  <c r="J33" i="41"/>
  <c r="K33" i="41"/>
  <c r="L33" i="41"/>
  <c r="M33" i="41"/>
  <c r="N33" i="41"/>
  <c r="C33" i="41"/>
  <c r="I150" i="14"/>
  <c r="J150" i="14"/>
  <c r="I115" i="14"/>
  <c r="J115" i="14"/>
  <c r="J108" i="14"/>
  <c r="I108" i="14"/>
  <c r="J88" i="14"/>
  <c r="I76" i="14"/>
  <c r="J29" i="60"/>
  <c r="J31" i="60"/>
  <c r="J30" i="60" s="1"/>
  <c r="E118" i="89"/>
  <c r="F3" i="46"/>
  <c r="E3" i="46"/>
  <c r="J146" i="12"/>
  <c r="J119" i="12"/>
  <c r="J124" i="12" s="1"/>
  <c r="J130" i="12" s="1"/>
  <c r="J132" i="12" s="1"/>
  <c r="J113" i="12"/>
  <c r="J106" i="12"/>
  <c r="J105" i="12"/>
  <c r="J99" i="12"/>
  <c r="J87" i="12"/>
  <c r="J86" i="12"/>
  <c r="J75" i="12"/>
  <c r="G41" i="82"/>
  <c r="I72" i="13"/>
  <c r="I70" i="13"/>
  <c r="I68" i="13" s="1"/>
  <c r="H70" i="13"/>
  <c r="H68" i="13" s="1"/>
  <c r="G70" i="13"/>
  <c r="H64" i="13"/>
  <c r="G67" i="13"/>
  <c r="G64" i="13"/>
  <c r="F70" i="13"/>
  <c r="F73" i="13"/>
  <c r="G61" i="13"/>
  <c r="F61" i="13"/>
  <c r="F56" i="13" s="1"/>
  <c r="H62" i="13"/>
  <c r="I63" i="13"/>
  <c r="I76" i="13" s="1"/>
  <c r="F67" i="13"/>
  <c r="F64" i="13"/>
  <c r="E70" i="13"/>
  <c r="E73" i="13"/>
  <c r="E67" i="13"/>
  <c r="E64" i="13"/>
  <c r="D73" i="13"/>
  <c r="D70" i="13"/>
  <c r="C73" i="13"/>
  <c r="C70" i="13"/>
  <c r="C68" i="13" s="1"/>
  <c r="K50" i="13"/>
  <c r="L50" i="13"/>
  <c r="M50" i="13"/>
  <c r="N50" i="13"/>
  <c r="K51" i="13"/>
  <c r="L51" i="13"/>
  <c r="M51" i="13"/>
  <c r="N51" i="13"/>
  <c r="F55" i="13"/>
  <c r="G55" i="13"/>
  <c r="C50" i="13"/>
  <c r="D50" i="13"/>
  <c r="E50" i="13"/>
  <c r="F50" i="13"/>
  <c r="G50" i="13"/>
  <c r="H50" i="13"/>
  <c r="I50" i="13"/>
  <c r="J50" i="13"/>
  <c r="C51" i="13"/>
  <c r="D51" i="13"/>
  <c r="E51" i="13"/>
  <c r="F51" i="13"/>
  <c r="G51" i="13"/>
  <c r="H51" i="13"/>
  <c r="I51" i="13"/>
  <c r="J51" i="13"/>
  <c r="D21" i="13"/>
  <c r="E21" i="13"/>
  <c r="F21" i="13"/>
  <c r="G21" i="13"/>
  <c r="H21" i="13"/>
  <c r="I21" i="13"/>
  <c r="J21" i="13"/>
  <c r="K21" i="13"/>
  <c r="L21" i="13"/>
  <c r="M21" i="13"/>
  <c r="N21" i="13"/>
  <c r="C21" i="13"/>
  <c r="H58" i="22"/>
  <c r="I58" i="22"/>
  <c r="F22" i="89"/>
  <c r="H45" i="37"/>
  <c r="I45" i="37"/>
  <c r="J45" i="37"/>
  <c r="D45" i="37"/>
  <c r="E45" i="37"/>
  <c r="F45" i="37"/>
  <c r="G45" i="37"/>
  <c r="D51" i="37"/>
  <c r="E51" i="37"/>
  <c r="F51" i="37"/>
  <c r="G51" i="37"/>
  <c r="H51" i="37"/>
  <c r="I51" i="37"/>
  <c r="J51" i="37"/>
  <c r="D50" i="37"/>
  <c r="E50" i="37"/>
  <c r="F50" i="37"/>
  <c r="G50" i="37"/>
  <c r="H50" i="37"/>
  <c r="I50" i="37"/>
  <c r="J50" i="37"/>
  <c r="C51" i="37"/>
  <c r="C50" i="37"/>
  <c r="C45" i="37"/>
  <c r="D50" i="49"/>
  <c r="E50" i="49"/>
  <c r="K50" i="49"/>
  <c r="D51" i="49"/>
  <c r="E51" i="49"/>
  <c r="K51" i="49"/>
  <c r="C51" i="49"/>
  <c r="C50" i="49"/>
  <c r="C69" i="13"/>
  <c r="I53" i="49"/>
  <c r="H53" i="49"/>
  <c r="J53" i="49"/>
  <c r="D56" i="37"/>
  <c r="E56" i="37"/>
  <c r="F56" i="37"/>
  <c r="G56" i="37"/>
  <c r="H56" i="37"/>
  <c r="I56" i="37"/>
  <c r="J56" i="37"/>
  <c r="L56" i="37"/>
  <c r="M56" i="37"/>
  <c r="N56" i="37"/>
  <c r="O56" i="37"/>
  <c r="C56" i="37"/>
  <c r="G53" i="49"/>
  <c r="F52" i="49"/>
  <c r="L30" i="47"/>
  <c r="M30" i="47"/>
  <c r="N30" i="47"/>
  <c r="C25" i="47"/>
  <c r="C30" i="47" s="1"/>
  <c r="C24" i="47"/>
  <c r="J69" i="13"/>
  <c r="J68" i="13"/>
  <c r="I69" i="13"/>
  <c r="H69" i="13"/>
  <c r="G69" i="13"/>
  <c r="F69" i="13"/>
  <c r="F68" i="13"/>
  <c r="E69" i="13"/>
  <c r="E68" i="13"/>
  <c r="D69" i="13"/>
  <c r="D68" i="13"/>
  <c r="E138" i="95"/>
  <c r="F138" i="95"/>
  <c r="G138" i="95"/>
  <c r="H138" i="95"/>
  <c r="I138" i="95"/>
  <c r="J138" i="95"/>
  <c r="D138" i="95"/>
  <c r="J126" i="95"/>
  <c r="J132" i="95" s="1"/>
  <c r="K120" i="95"/>
  <c r="D110" i="95"/>
  <c r="E101" i="95"/>
  <c r="F101" i="95"/>
  <c r="G101" i="95"/>
  <c r="H101" i="95"/>
  <c r="I101" i="95"/>
  <c r="J101" i="95"/>
  <c r="D101" i="95"/>
  <c r="E88" i="95"/>
  <c r="F88" i="95"/>
  <c r="G88" i="95"/>
  <c r="H88" i="95"/>
  <c r="I88" i="95"/>
  <c r="J88" i="95"/>
  <c r="D88" i="95"/>
  <c r="C89" i="95"/>
  <c r="D89" i="95"/>
  <c r="E89" i="95"/>
  <c r="F89" i="95"/>
  <c r="G89" i="95"/>
  <c r="H89" i="95"/>
  <c r="I89" i="95"/>
  <c r="J89" i="95"/>
  <c r="J155" i="95"/>
  <c r="I155" i="95"/>
  <c r="H155" i="95"/>
  <c r="G155" i="95"/>
  <c r="F155" i="95"/>
  <c r="E155" i="95"/>
  <c r="D155" i="95"/>
  <c r="C155" i="95"/>
  <c r="J140" i="95"/>
  <c r="J142" i="95" s="1"/>
  <c r="I140" i="95"/>
  <c r="I142" i="95" s="1"/>
  <c r="H140" i="95"/>
  <c r="H142" i="95" s="1"/>
  <c r="G140" i="95"/>
  <c r="G142" i="95" s="1"/>
  <c r="F140" i="95"/>
  <c r="F142" i="95" s="1"/>
  <c r="E140" i="95"/>
  <c r="E142" i="95" s="1"/>
  <c r="D140" i="95"/>
  <c r="D142" i="95" s="1"/>
  <c r="C140" i="95"/>
  <c r="C142" i="95" s="1"/>
  <c r="I126" i="95"/>
  <c r="I132" i="95" s="1"/>
  <c r="H126" i="95"/>
  <c r="H132" i="95" s="1"/>
  <c r="G126" i="95"/>
  <c r="G132" i="95" s="1"/>
  <c r="F126" i="95"/>
  <c r="F132" i="95" s="1"/>
  <c r="E126" i="95"/>
  <c r="E132" i="95" s="1"/>
  <c r="D126" i="95"/>
  <c r="D132" i="95" s="1"/>
  <c r="C126" i="95"/>
  <c r="K119" i="95"/>
  <c r="J119" i="95"/>
  <c r="J120" i="95" s="1"/>
  <c r="I119" i="95"/>
  <c r="I120" i="95" s="1"/>
  <c r="H119" i="95"/>
  <c r="H120" i="95" s="1"/>
  <c r="G119" i="95"/>
  <c r="G120" i="95" s="1"/>
  <c r="F119" i="95"/>
  <c r="F120" i="95" s="1"/>
  <c r="E119" i="95"/>
  <c r="E120" i="95" s="1"/>
  <c r="D119" i="95"/>
  <c r="D120" i="95" s="1"/>
  <c r="C119" i="95"/>
  <c r="C120" i="95" s="1"/>
  <c r="N111" i="95"/>
  <c r="M111" i="95"/>
  <c r="L111" i="95"/>
  <c r="K111" i="95"/>
  <c r="J111" i="95"/>
  <c r="I111" i="95"/>
  <c r="H111" i="95"/>
  <c r="G111" i="95"/>
  <c r="F111" i="95"/>
  <c r="E111" i="95"/>
  <c r="D111" i="95"/>
  <c r="C111" i="95"/>
  <c r="N110" i="95"/>
  <c r="M110" i="95"/>
  <c r="L110" i="95"/>
  <c r="K110" i="95"/>
  <c r="J110" i="95"/>
  <c r="I110" i="95"/>
  <c r="H110" i="95"/>
  <c r="G110" i="95"/>
  <c r="F110" i="95"/>
  <c r="E110" i="95"/>
  <c r="C110" i="95"/>
  <c r="N101" i="95"/>
  <c r="M101" i="95"/>
  <c r="L101" i="95"/>
  <c r="K101" i="95"/>
  <c r="C101" i="95"/>
  <c r="N89" i="95"/>
  <c r="M89" i="95"/>
  <c r="L89" i="95"/>
  <c r="K89" i="95"/>
  <c r="N88" i="95"/>
  <c r="M88" i="95"/>
  <c r="L88" i="95"/>
  <c r="N76" i="95"/>
  <c r="M76" i="95"/>
  <c r="L76" i="95"/>
  <c r="K76" i="95"/>
  <c r="N58" i="95"/>
  <c r="N51" i="95"/>
  <c r="M51" i="95"/>
  <c r="L51" i="95"/>
  <c r="K51" i="95"/>
  <c r="J51" i="95"/>
  <c r="I51" i="95"/>
  <c r="H51" i="95"/>
  <c r="G51" i="95"/>
  <c r="F51" i="95"/>
  <c r="E51" i="95"/>
  <c r="D51" i="95"/>
  <c r="C51" i="95"/>
  <c r="N50" i="95"/>
  <c r="M50" i="95"/>
  <c r="L50" i="95"/>
  <c r="K50" i="95"/>
  <c r="J50" i="95"/>
  <c r="I50" i="95"/>
  <c r="H50" i="95"/>
  <c r="G50" i="95"/>
  <c r="F50" i="95"/>
  <c r="E50" i="95"/>
  <c r="D50" i="95"/>
  <c r="C50" i="95"/>
  <c r="N45" i="95"/>
  <c r="M58" i="95" s="1"/>
  <c r="M45" i="95"/>
  <c r="L58" i="95" s="1"/>
  <c r="L45" i="95"/>
  <c r="K58" i="95" s="1"/>
  <c r="K45" i="95"/>
  <c r="J58" i="95" s="1"/>
  <c r="C59" i="95" s="1"/>
  <c r="J45" i="95"/>
  <c r="I58" i="95" s="1"/>
  <c r="I45" i="95"/>
  <c r="H58" i="95" s="1"/>
  <c r="H45" i="95"/>
  <c r="G58" i="95" s="1"/>
  <c r="G45" i="95"/>
  <c r="F58" i="95" s="1"/>
  <c r="F45" i="95"/>
  <c r="E58" i="95" s="1"/>
  <c r="E45" i="95"/>
  <c r="D58" i="95" s="1"/>
  <c r="D45" i="95"/>
  <c r="C58" i="95" s="1"/>
  <c r="C45" i="95"/>
  <c r="N44" i="95"/>
  <c r="M44" i="95"/>
  <c r="L44" i="95"/>
  <c r="K44" i="95"/>
  <c r="J44" i="95"/>
  <c r="I44" i="95"/>
  <c r="H44" i="95"/>
  <c r="G44" i="95"/>
  <c r="F44" i="95"/>
  <c r="E44" i="95"/>
  <c r="D44" i="95"/>
  <c r="C44" i="95"/>
  <c r="N43" i="95"/>
  <c r="M43" i="95"/>
  <c r="L43" i="95"/>
  <c r="K43" i="95"/>
  <c r="J43" i="95"/>
  <c r="I43" i="95"/>
  <c r="H43" i="95"/>
  <c r="G43" i="95"/>
  <c r="F43" i="95"/>
  <c r="E43" i="95"/>
  <c r="D43" i="95"/>
  <c r="C43" i="95"/>
  <c r="N40" i="95"/>
  <c r="N56" i="95" s="1"/>
  <c r="M40" i="95"/>
  <c r="M56" i="95" s="1"/>
  <c r="L40" i="95"/>
  <c r="L56" i="95" s="1"/>
  <c r="K40" i="95"/>
  <c r="K56" i="95" s="1"/>
  <c r="J40" i="95"/>
  <c r="J56" i="95" s="1"/>
  <c r="C57" i="95" s="1"/>
  <c r="I40" i="95"/>
  <c r="I56" i="95" s="1"/>
  <c r="H40" i="95"/>
  <c r="H56" i="95" s="1"/>
  <c r="G40" i="95"/>
  <c r="G56" i="95" s="1"/>
  <c r="F40" i="95"/>
  <c r="F56" i="95" s="1"/>
  <c r="E40" i="95"/>
  <c r="E56" i="95" s="1"/>
  <c r="D40" i="95"/>
  <c r="D56" i="95" s="1"/>
  <c r="C40" i="95"/>
  <c r="C56" i="95" s="1"/>
  <c r="N38" i="95"/>
  <c r="M38" i="95"/>
  <c r="L38" i="95"/>
  <c r="K38" i="95"/>
  <c r="J38" i="95"/>
  <c r="I38" i="95"/>
  <c r="H38" i="95"/>
  <c r="G38" i="95"/>
  <c r="F38" i="95"/>
  <c r="E38" i="95"/>
  <c r="D38" i="95"/>
  <c r="C38" i="95"/>
  <c r="N36" i="95"/>
  <c r="M36" i="95"/>
  <c r="L36" i="95"/>
  <c r="K36" i="95"/>
  <c r="J36" i="95"/>
  <c r="I36" i="95"/>
  <c r="H36" i="95"/>
  <c r="G36" i="95"/>
  <c r="F36" i="95"/>
  <c r="E36" i="95"/>
  <c r="D36" i="95"/>
  <c r="C36" i="95"/>
  <c r="N35" i="95"/>
  <c r="M35" i="95"/>
  <c r="L35" i="95"/>
  <c r="K35" i="95"/>
  <c r="J35" i="95"/>
  <c r="I35" i="95"/>
  <c r="H35" i="95"/>
  <c r="G35" i="95"/>
  <c r="F35" i="95"/>
  <c r="E35" i="95"/>
  <c r="D35" i="95"/>
  <c r="C35" i="95"/>
  <c r="N20" i="95"/>
  <c r="M20" i="95"/>
  <c r="L20" i="95"/>
  <c r="K20" i="95"/>
  <c r="J20" i="95"/>
  <c r="I20" i="95"/>
  <c r="H20" i="95"/>
  <c r="G20" i="95"/>
  <c r="F20" i="95"/>
  <c r="E20" i="95"/>
  <c r="D20" i="95"/>
  <c r="C20" i="95"/>
  <c r="N15" i="95"/>
  <c r="N18" i="95" s="1"/>
  <c r="M15" i="95"/>
  <c r="M18" i="95" s="1"/>
  <c r="L15" i="95"/>
  <c r="L18" i="95" s="1"/>
  <c r="K15" i="95"/>
  <c r="K18" i="95" s="1"/>
  <c r="J15" i="95"/>
  <c r="J18" i="95" s="1"/>
  <c r="I15" i="95"/>
  <c r="I18" i="95" s="1"/>
  <c r="H15" i="95"/>
  <c r="H18" i="95" s="1"/>
  <c r="G15" i="95"/>
  <c r="G18" i="95" s="1"/>
  <c r="F15" i="95"/>
  <c r="F18" i="95" s="1"/>
  <c r="E15" i="95"/>
  <c r="E18" i="95" s="1"/>
  <c r="D15" i="95"/>
  <c r="D18" i="95" s="1"/>
  <c r="C15" i="95"/>
  <c r="C18" i="95" s="1"/>
  <c r="N13" i="95"/>
  <c r="M13" i="95"/>
  <c r="L13" i="95"/>
  <c r="K13" i="95"/>
  <c r="J13" i="95"/>
  <c r="I13" i="95"/>
  <c r="H13" i="95"/>
  <c r="G13" i="95"/>
  <c r="F13" i="95"/>
  <c r="E13" i="95"/>
  <c r="D13" i="95"/>
  <c r="C13" i="95"/>
  <c r="N12" i="95"/>
  <c r="N14" i="95" s="1"/>
  <c r="M12" i="95"/>
  <c r="M14" i="95" s="1"/>
  <c r="L12" i="95"/>
  <c r="L14" i="95" s="1"/>
  <c r="K12" i="95"/>
  <c r="K14" i="95" s="1"/>
  <c r="J12" i="95"/>
  <c r="J14" i="95" s="1"/>
  <c r="I12" i="95"/>
  <c r="I14" i="95" s="1"/>
  <c r="H12" i="95"/>
  <c r="H14" i="95" s="1"/>
  <c r="G12" i="95"/>
  <c r="G14" i="95" s="1"/>
  <c r="F12" i="95"/>
  <c r="F14" i="95" s="1"/>
  <c r="E12" i="95"/>
  <c r="E14" i="95" s="1"/>
  <c r="D12" i="95"/>
  <c r="D14" i="95" s="1"/>
  <c r="C12" i="95"/>
  <c r="C14" i="95" s="1"/>
  <c r="N10" i="95"/>
  <c r="M10" i="95"/>
  <c r="L10" i="95"/>
  <c r="K10" i="95"/>
  <c r="J10" i="95"/>
  <c r="I10" i="95"/>
  <c r="H10" i="95"/>
  <c r="G10" i="95"/>
  <c r="F10" i="95"/>
  <c r="E10" i="95"/>
  <c r="D10" i="95"/>
  <c r="C10" i="95"/>
  <c r="N9" i="95"/>
  <c r="M9" i="95"/>
  <c r="L9" i="95"/>
  <c r="K9" i="95"/>
  <c r="J9" i="95"/>
  <c r="I9" i="95"/>
  <c r="H9" i="95"/>
  <c r="G9" i="95"/>
  <c r="F9" i="95"/>
  <c r="E9" i="95"/>
  <c r="D9" i="95"/>
  <c r="C9" i="95"/>
  <c r="N8" i="95"/>
  <c r="M8" i="95"/>
  <c r="L8" i="95"/>
  <c r="K8" i="95"/>
  <c r="J8" i="95"/>
  <c r="I8" i="95"/>
  <c r="H8" i="95"/>
  <c r="G8" i="95"/>
  <c r="F8" i="95"/>
  <c r="E8" i="95"/>
  <c r="D8" i="95"/>
  <c r="C8" i="95"/>
  <c r="N7" i="95"/>
  <c r="M7" i="95"/>
  <c r="L7" i="95"/>
  <c r="K7" i="95"/>
  <c r="J7" i="95"/>
  <c r="I7" i="95"/>
  <c r="H7" i="95"/>
  <c r="G7" i="95"/>
  <c r="F7" i="95"/>
  <c r="E7" i="95"/>
  <c r="D7" i="95"/>
  <c r="C7" i="95"/>
  <c r="E3" i="95"/>
  <c r="D3" i="95"/>
  <c r="B3" i="95" a="1"/>
  <c r="B3" i="95" s="1"/>
  <c r="C62" i="95" s="1"/>
  <c r="B2" i="95"/>
  <c r="J101" i="9"/>
  <c r="J9" i="37"/>
  <c r="J147" i="37"/>
  <c r="I147" i="37"/>
  <c r="J30" i="46"/>
  <c r="E36" i="46"/>
  <c r="J88" i="37"/>
  <c r="I88" i="37"/>
  <c r="I120" i="37"/>
  <c r="J120" i="37"/>
  <c r="J125" i="37" s="1"/>
  <c r="J131" i="37" s="1"/>
  <c r="J133" i="37" s="1"/>
  <c r="I125" i="37"/>
  <c r="I131" i="37" s="1"/>
  <c r="I133" i="37" s="1"/>
  <c r="I107" i="37"/>
  <c r="J107" i="37"/>
  <c r="I114" i="37"/>
  <c r="J114" i="37"/>
  <c r="I15" i="37"/>
  <c r="J15" i="37"/>
  <c r="J13" i="37"/>
  <c r="J12" i="37"/>
  <c r="J14" i="37" s="1"/>
  <c r="J10" i="37"/>
  <c r="J11" i="37"/>
  <c r="J8" i="37"/>
  <c r="G47" i="17"/>
  <c r="E63" i="13"/>
  <c r="E76" i="13" s="1"/>
  <c r="F63" i="13"/>
  <c r="F76" i="13" s="1"/>
  <c r="G63" i="13"/>
  <c r="G76" i="13" s="1"/>
  <c r="H63" i="13"/>
  <c r="H76" i="13" s="1"/>
  <c r="J63" i="13"/>
  <c r="J76" i="13" s="1"/>
  <c r="K63" i="13"/>
  <c r="K76" i="13" s="1"/>
  <c r="L63" i="13"/>
  <c r="C63" i="13"/>
  <c r="C76" i="13" s="1"/>
  <c r="E62" i="13"/>
  <c r="I62" i="13"/>
  <c r="K62" i="13"/>
  <c r="L62" i="13"/>
  <c r="M62" i="13"/>
  <c r="N62" i="13"/>
  <c r="M63" i="13"/>
  <c r="N63" i="13"/>
  <c r="F62" i="13"/>
  <c r="G62" i="13"/>
  <c r="L76" i="13"/>
  <c r="M76" i="13"/>
  <c r="N76" i="13"/>
  <c r="E149" i="13"/>
  <c r="F149" i="13"/>
  <c r="G149" i="13"/>
  <c r="J149" i="13"/>
  <c r="H149" i="13"/>
  <c r="I149" i="13"/>
  <c r="J120" i="13"/>
  <c r="J113" i="13"/>
  <c r="J107" i="13"/>
  <c r="H58" i="94"/>
  <c r="I58" i="94"/>
  <c r="C57" i="94"/>
  <c r="D153" i="94"/>
  <c r="E153" i="94"/>
  <c r="F153" i="94"/>
  <c r="G153" i="94"/>
  <c r="H153" i="94"/>
  <c r="I153" i="94"/>
  <c r="J153" i="94"/>
  <c r="C153" i="94"/>
  <c r="C29" i="94"/>
  <c r="D40" i="94"/>
  <c r="E40" i="94"/>
  <c r="F40" i="94"/>
  <c r="G40" i="94"/>
  <c r="H40" i="94"/>
  <c r="I40" i="94"/>
  <c r="J40" i="94"/>
  <c r="K40" i="94"/>
  <c r="L40" i="94"/>
  <c r="M40" i="94"/>
  <c r="N40" i="94"/>
  <c r="D20" i="94"/>
  <c r="E20" i="94"/>
  <c r="F20" i="94"/>
  <c r="G20" i="94"/>
  <c r="H20" i="94"/>
  <c r="I20" i="94"/>
  <c r="J20" i="94"/>
  <c r="C40" i="94"/>
  <c r="C20" i="94"/>
  <c r="D140" i="94"/>
  <c r="E140" i="94"/>
  <c r="F140" i="94"/>
  <c r="G140" i="94"/>
  <c r="H140" i="94"/>
  <c r="I140" i="94"/>
  <c r="J140" i="94"/>
  <c r="C140" i="94"/>
  <c r="D138" i="94"/>
  <c r="E138" i="94"/>
  <c r="F138" i="94"/>
  <c r="G138" i="94"/>
  <c r="H138" i="94"/>
  <c r="I138" i="94"/>
  <c r="J138" i="94"/>
  <c r="C138" i="94"/>
  <c r="D118" i="94"/>
  <c r="E118" i="94"/>
  <c r="F118" i="94"/>
  <c r="G118" i="94"/>
  <c r="H118" i="94"/>
  <c r="I118" i="94"/>
  <c r="J118" i="94"/>
  <c r="K118" i="94"/>
  <c r="C118" i="94"/>
  <c r="C110" i="94"/>
  <c r="I100" i="94"/>
  <c r="J100" i="94"/>
  <c r="H100" i="94"/>
  <c r="C76" i="94"/>
  <c r="C43" i="94"/>
  <c r="I124" i="94"/>
  <c r="H124" i="94"/>
  <c r="G124" i="94"/>
  <c r="F124" i="94"/>
  <c r="E124" i="94"/>
  <c r="D124" i="94"/>
  <c r="C124" i="94"/>
  <c r="N110" i="94"/>
  <c r="M110" i="94"/>
  <c r="L110" i="94"/>
  <c r="K110" i="94"/>
  <c r="J110" i="94"/>
  <c r="I110" i="94"/>
  <c r="H110" i="94"/>
  <c r="G110" i="94"/>
  <c r="F110" i="94"/>
  <c r="E110" i="94"/>
  <c r="D110" i="94"/>
  <c r="N109" i="94"/>
  <c r="M109" i="94"/>
  <c r="L109" i="94"/>
  <c r="K109" i="94"/>
  <c r="J109" i="94"/>
  <c r="I109" i="94"/>
  <c r="H109" i="94"/>
  <c r="G109" i="94"/>
  <c r="F109" i="94"/>
  <c r="E109" i="94"/>
  <c r="D109" i="94"/>
  <c r="C109" i="94"/>
  <c r="N100" i="94"/>
  <c r="M100" i="94"/>
  <c r="L100" i="94"/>
  <c r="K100" i="94"/>
  <c r="G100" i="94"/>
  <c r="F100" i="94"/>
  <c r="E100" i="94"/>
  <c r="D100" i="94"/>
  <c r="C100" i="94"/>
  <c r="N88" i="94"/>
  <c r="M88" i="94"/>
  <c r="L88" i="94"/>
  <c r="K88" i="94"/>
  <c r="J88" i="94"/>
  <c r="I88" i="94"/>
  <c r="H88" i="94"/>
  <c r="G88" i="94"/>
  <c r="F88" i="94"/>
  <c r="E88" i="94"/>
  <c r="D88" i="94"/>
  <c r="C88" i="94"/>
  <c r="N87" i="94"/>
  <c r="M87" i="94"/>
  <c r="L87" i="94"/>
  <c r="K87" i="94"/>
  <c r="J87" i="94"/>
  <c r="I87" i="94"/>
  <c r="H87" i="94"/>
  <c r="G87" i="94"/>
  <c r="F87" i="94"/>
  <c r="E87" i="94"/>
  <c r="D87" i="94"/>
  <c r="C87" i="94"/>
  <c r="N76" i="94"/>
  <c r="M76" i="94"/>
  <c r="L76" i="94"/>
  <c r="K76" i="94"/>
  <c r="J76" i="94"/>
  <c r="I76" i="94"/>
  <c r="H76" i="94"/>
  <c r="G76" i="94"/>
  <c r="F76" i="94"/>
  <c r="E76" i="94"/>
  <c r="D76" i="94"/>
  <c r="N58" i="94"/>
  <c r="N51" i="94"/>
  <c r="M51" i="94"/>
  <c r="L51" i="94"/>
  <c r="K51" i="94"/>
  <c r="J51" i="94"/>
  <c r="I51" i="94"/>
  <c r="H51" i="94"/>
  <c r="G51" i="94"/>
  <c r="F51" i="94"/>
  <c r="E51" i="94"/>
  <c r="D51" i="94"/>
  <c r="C51" i="94"/>
  <c r="N50" i="94"/>
  <c r="M50" i="94"/>
  <c r="L50" i="94"/>
  <c r="K50" i="94"/>
  <c r="J50" i="94"/>
  <c r="I50" i="94"/>
  <c r="H50" i="94"/>
  <c r="G50" i="94"/>
  <c r="F50" i="94"/>
  <c r="E50" i="94"/>
  <c r="D50" i="94"/>
  <c r="C50" i="94"/>
  <c r="N45" i="94"/>
  <c r="M58" i="94" s="1"/>
  <c r="M45" i="94"/>
  <c r="L58" i="94" s="1"/>
  <c r="L45" i="94"/>
  <c r="K58" i="94" s="1"/>
  <c r="K45" i="94"/>
  <c r="J58" i="94" s="1"/>
  <c r="J45" i="94"/>
  <c r="I45" i="94"/>
  <c r="H45" i="94"/>
  <c r="G58" i="94" s="1"/>
  <c r="C59" i="94" s="1"/>
  <c r="G45" i="94"/>
  <c r="F58" i="94" s="1"/>
  <c r="F45" i="94"/>
  <c r="E58" i="94" s="1"/>
  <c r="E45" i="94"/>
  <c r="D58" i="94" s="1"/>
  <c r="D45" i="94"/>
  <c r="C58" i="94" s="1"/>
  <c r="C45" i="94"/>
  <c r="N44" i="94"/>
  <c r="M44" i="94"/>
  <c r="L44" i="94"/>
  <c r="K44" i="94"/>
  <c r="J44" i="94"/>
  <c r="I44" i="94"/>
  <c r="H44" i="94"/>
  <c r="G44" i="94"/>
  <c r="F44" i="94"/>
  <c r="E44" i="94"/>
  <c r="D44" i="94"/>
  <c r="C44" i="94"/>
  <c r="N43" i="94"/>
  <c r="M43" i="94"/>
  <c r="L43" i="94"/>
  <c r="K43" i="94"/>
  <c r="J43" i="94"/>
  <c r="I43" i="94"/>
  <c r="H43" i="94"/>
  <c r="G43" i="94"/>
  <c r="F43" i="94"/>
  <c r="E43" i="94"/>
  <c r="D43" i="94"/>
  <c r="N56" i="94"/>
  <c r="M56" i="94"/>
  <c r="L56" i="94"/>
  <c r="K56" i="94"/>
  <c r="N38" i="94"/>
  <c r="M38" i="94"/>
  <c r="L38" i="94"/>
  <c r="K38" i="94"/>
  <c r="J38" i="94"/>
  <c r="I38" i="94"/>
  <c r="H38" i="94"/>
  <c r="G38" i="94"/>
  <c r="F38" i="94"/>
  <c r="E38" i="94"/>
  <c r="D38" i="94"/>
  <c r="C38" i="94"/>
  <c r="N36" i="94"/>
  <c r="M36" i="94"/>
  <c r="L36" i="94"/>
  <c r="K36" i="94"/>
  <c r="J36" i="94"/>
  <c r="I36" i="94"/>
  <c r="H36" i="94"/>
  <c r="G36" i="94"/>
  <c r="F36" i="94"/>
  <c r="E36" i="94"/>
  <c r="D36" i="94"/>
  <c r="C36" i="94"/>
  <c r="N35" i="94"/>
  <c r="M35" i="94"/>
  <c r="L35" i="94"/>
  <c r="K35" i="94"/>
  <c r="J35" i="94"/>
  <c r="I35" i="94"/>
  <c r="H35" i="94"/>
  <c r="G35" i="94"/>
  <c r="F35" i="94"/>
  <c r="E35" i="94"/>
  <c r="D35" i="94"/>
  <c r="C35" i="94"/>
  <c r="N20" i="94"/>
  <c r="M20" i="94"/>
  <c r="L20" i="94"/>
  <c r="K20" i="94"/>
  <c r="N15" i="94"/>
  <c r="N18" i="94" s="1"/>
  <c r="M15" i="94"/>
  <c r="M18" i="94" s="1"/>
  <c r="L15" i="94"/>
  <c r="L18" i="94" s="1"/>
  <c r="K15" i="94"/>
  <c r="K18" i="94" s="1"/>
  <c r="J15" i="94"/>
  <c r="J18" i="94" s="1"/>
  <c r="I15" i="94"/>
  <c r="I18" i="94" s="1"/>
  <c r="H15" i="94"/>
  <c r="H18" i="94" s="1"/>
  <c r="G15" i="94"/>
  <c r="G18" i="94" s="1"/>
  <c r="F15" i="94"/>
  <c r="F18" i="94" s="1"/>
  <c r="E15" i="94"/>
  <c r="E18" i="94" s="1"/>
  <c r="D15" i="94"/>
  <c r="D18" i="94" s="1"/>
  <c r="C15" i="94"/>
  <c r="C18" i="94" s="1"/>
  <c r="N13" i="94"/>
  <c r="M13" i="94"/>
  <c r="L13" i="94"/>
  <c r="K13" i="94"/>
  <c r="J13" i="94"/>
  <c r="I13" i="94"/>
  <c r="H13" i="94"/>
  <c r="G13" i="94"/>
  <c r="F13" i="94"/>
  <c r="E13" i="94"/>
  <c r="D13" i="94"/>
  <c r="C13" i="94"/>
  <c r="N12" i="94"/>
  <c r="N14" i="94" s="1"/>
  <c r="M12" i="94"/>
  <c r="M14" i="94" s="1"/>
  <c r="L12" i="94"/>
  <c r="L14" i="94" s="1"/>
  <c r="K12" i="94"/>
  <c r="K14" i="94" s="1"/>
  <c r="J12" i="94"/>
  <c r="J14" i="94" s="1"/>
  <c r="I12" i="94"/>
  <c r="I14" i="94" s="1"/>
  <c r="H12" i="94"/>
  <c r="H14" i="94" s="1"/>
  <c r="G12" i="94"/>
  <c r="G14" i="94" s="1"/>
  <c r="F12" i="94"/>
  <c r="F14" i="94" s="1"/>
  <c r="E12" i="94"/>
  <c r="E14" i="94" s="1"/>
  <c r="D12" i="94"/>
  <c r="D14" i="94" s="1"/>
  <c r="C12" i="94"/>
  <c r="C14" i="94" s="1"/>
  <c r="N10" i="94"/>
  <c r="M10" i="94"/>
  <c r="L10" i="94"/>
  <c r="K10" i="94"/>
  <c r="J10" i="94"/>
  <c r="I10" i="94"/>
  <c r="H10" i="94"/>
  <c r="G10" i="94"/>
  <c r="F10" i="94"/>
  <c r="E10" i="94"/>
  <c r="D10" i="94"/>
  <c r="C10" i="94"/>
  <c r="N9" i="94"/>
  <c r="M9" i="94"/>
  <c r="L9" i="94"/>
  <c r="K9" i="94"/>
  <c r="J9" i="94"/>
  <c r="I9" i="94"/>
  <c r="H9" i="94"/>
  <c r="G9" i="94"/>
  <c r="F9" i="94"/>
  <c r="E9" i="94"/>
  <c r="D9" i="94"/>
  <c r="C9" i="94"/>
  <c r="N8" i="94"/>
  <c r="M8" i="94"/>
  <c r="L8" i="94"/>
  <c r="K8" i="94"/>
  <c r="J8" i="94"/>
  <c r="I8" i="94"/>
  <c r="H8" i="94"/>
  <c r="G8" i="94"/>
  <c r="F8" i="94"/>
  <c r="E8" i="94"/>
  <c r="D8" i="94"/>
  <c r="C8" i="94"/>
  <c r="N7" i="94"/>
  <c r="M7" i="94"/>
  <c r="L7" i="94"/>
  <c r="K7" i="94"/>
  <c r="J7" i="94"/>
  <c r="I7" i="94"/>
  <c r="H7" i="94"/>
  <c r="G7" i="94"/>
  <c r="F7" i="94"/>
  <c r="E7" i="94"/>
  <c r="D7" i="94"/>
  <c r="C7" i="94"/>
  <c r="E3" i="94"/>
  <c r="D3" i="94"/>
  <c r="B3" i="94" a="1"/>
  <c r="B3" i="94" s="1"/>
  <c r="C62" i="94" s="1"/>
  <c r="B2" i="94"/>
  <c r="J151" i="49"/>
  <c r="J43" i="49" s="1"/>
  <c r="J122" i="49"/>
  <c r="J127" i="49" s="1"/>
  <c r="J47" i="49"/>
  <c r="C18" i="47"/>
  <c r="C19" i="47"/>
  <c r="C46" i="47"/>
  <c r="C43" i="47"/>
  <c r="C34" i="47"/>
  <c r="C35" i="47"/>
  <c r="C36" i="47"/>
  <c r="D18" i="47"/>
  <c r="E18" i="47"/>
  <c r="F18" i="47"/>
  <c r="G18" i="47"/>
  <c r="H18" i="47"/>
  <c r="I18" i="47"/>
  <c r="H46" i="47"/>
  <c r="G46" i="47"/>
  <c r="F46" i="47"/>
  <c r="E46" i="47"/>
  <c r="D46" i="47"/>
  <c r="J43" i="47"/>
  <c r="I43" i="47"/>
  <c r="H43" i="47"/>
  <c r="G43" i="47"/>
  <c r="F43" i="47"/>
  <c r="E43" i="47"/>
  <c r="D43" i="47"/>
  <c r="N40" i="47"/>
  <c r="M40" i="47"/>
  <c r="L40" i="47"/>
  <c r="J40" i="47"/>
  <c r="I40" i="47"/>
  <c r="H40" i="47"/>
  <c r="G40" i="47"/>
  <c r="D41" i="47" s="1"/>
  <c r="O33" i="1" s="1"/>
  <c r="F40" i="47"/>
  <c r="E40" i="47"/>
  <c r="D40" i="47"/>
  <c r="N36" i="47"/>
  <c r="M36" i="47"/>
  <c r="L36" i="47"/>
  <c r="J36" i="47"/>
  <c r="I36" i="47"/>
  <c r="N35" i="47"/>
  <c r="M35" i="47"/>
  <c r="L35" i="47"/>
  <c r="J35" i="47"/>
  <c r="I35" i="47"/>
  <c r="H35" i="47"/>
  <c r="G35" i="47"/>
  <c r="F35" i="47"/>
  <c r="E35" i="47"/>
  <c r="D35" i="47"/>
  <c r="N34" i="47"/>
  <c r="M34" i="47"/>
  <c r="L34" i="47"/>
  <c r="J34" i="47"/>
  <c r="I34" i="47"/>
  <c r="H34" i="47"/>
  <c r="G34" i="47"/>
  <c r="F34" i="47"/>
  <c r="E34" i="47"/>
  <c r="D34" i="47"/>
  <c r="J25" i="47"/>
  <c r="J30" i="47" s="1"/>
  <c r="I25" i="47"/>
  <c r="I30" i="47" s="1"/>
  <c r="H25" i="47"/>
  <c r="H30" i="47" s="1"/>
  <c r="D31" i="47" s="1"/>
  <c r="M33" i="1" s="1"/>
  <c r="G25" i="47"/>
  <c r="G30" i="47" s="1"/>
  <c r="F25" i="47"/>
  <c r="F30" i="47" s="1"/>
  <c r="E25" i="47"/>
  <c r="E30" i="47" s="1"/>
  <c r="D25" i="47"/>
  <c r="D30" i="47" s="1"/>
  <c r="I24" i="47"/>
  <c r="H24" i="47"/>
  <c r="G24" i="47"/>
  <c r="F24" i="47"/>
  <c r="E24" i="47"/>
  <c r="D24" i="47"/>
  <c r="J19" i="47"/>
  <c r="I19" i="47"/>
  <c r="H19" i="47"/>
  <c r="F3" i="47" s="1"/>
  <c r="G19" i="47"/>
  <c r="F19" i="47"/>
  <c r="E19" i="47"/>
  <c r="D19" i="47"/>
  <c r="J18" i="47"/>
  <c r="H36" i="47"/>
  <c r="H38" i="47" s="1"/>
  <c r="G36" i="47"/>
  <c r="F36" i="47"/>
  <c r="F38" i="47" s="1"/>
  <c r="E36" i="47"/>
  <c r="E38" i="47" s="1"/>
  <c r="D36" i="47"/>
  <c r="B3" i="47" a="1"/>
  <c r="B3" i="47" s="1"/>
  <c r="C32" i="47" s="1"/>
  <c r="B2" i="47"/>
  <c r="B2" i="38"/>
  <c r="D52" i="41"/>
  <c r="E52" i="41"/>
  <c r="F52" i="41"/>
  <c r="G52" i="41"/>
  <c r="H52" i="41"/>
  <c r="I52" i="41"/>
  <c r="J52" i="41"/>
  <c r="K52" i="41"/>
  <c r="L52" i="41"/>
  <c r="M52" i="41"/>
  <c r="N52" i="41"/>
  <c r="D53" i="41"/>
  <c r="E53" i="41"/>
  <c r="F53" i="41"/>
  <c r="G53" i="41"/>
  <c r="H53" i="41"/>
  <c r="I53" i="41"/>
  <c r="J53" i="41"/>
  <c r="K53" i="41"/>
  <c r="L53" i="41"/>
  <c r="M53" i="41"/>
  <c r="N53" i="41"/>
  <c r="F46" i="41"/>
  <c r="I46" i="41"/>
  <c r="J46" i="41"/>
  <c r="K46" i="41"/>
  <c r="L46" i="41"/>
  <c r="M46" i="41"/>
  <c r="N46" i="41"/>
  <c r="F47" i="41"/>
  <c r="I47" i="41"/>
  <c r="J47" i="41"/>
  <c r="K47" i="41"/>
  <c r="L47" i="41"/>
  <c r="M47" i="41"/>
  <c r="N47" i="41"/>
  <c r="C53" i="41"/>
  <c r="C52" i="41"/>
  <c r="J146" i="41"/>
  <c r="J110" i="41"/>
  <c r="J104" i="41"/>
  <c r="J89" i="41"/>
  <c r="J78" i="41"/>
  <c r="J92" i="41"/>
  <c r="J129" i="18"/>
  <c r="J136" i="18" s="1"/>
  <c r="J143" i="18" s="1"/>
  <c r="J145" i="18" s="1"/>
  <c r="J147" i="18" s="1"/>
  <c r="J114" i="18"/>
  <c r="J115" i="18"/>
  <c r="D50" i="18"/>
  <c r="E50" i="18"/>
  <c r="F50" i="18"/>
  <c r="G50" i="18"/>
  <c r="H50" i="18"/>
  <c r="I50" i="18"/>
  <c r="J50" i="18"/>
  <c r="K50" i="18"/>
  <c r="L50" i="18"/>
  <c r="M50" i="18"/>
  <c r="N50" i="18"/>
  <c r="D51" i="18"/>
  <c r="E51" i="18"/>
  <c r="F51" i="18"/>
  <c r="G51" i="18"/>
  <c r="H51" i="18"/>
  <c r="I51" i="18"/>
  <c r="J51" i="18"/>
  <c r="K51" i="18"/>
  <c r="L51" i="18"/>
  <c r="M51" i="18"/>
  <c r="N51" i="18"/>
  <c r="C51" i="18"/>
  <c r="C50" i="18"/>
  <c r="B3" i="23" a="1"/>
  <c r="B3" i="23" s="1"/>
  <c r="F32" i="1" s="1"/>
  <c r="F57" i="22"/>
  <c r="F51" i="22"/>
  <c r="F18" i="91"/>
  <c r="J53" i="15"/>
  <c r="I52" i="15"/>
  <c r="I53" i="15"/>
  <c r="J47" i="15"/>
  <c r="I47" i="15"/>
  <c r="J51" i="15"/>
  <c r="J157" i="23"/>
  <c r="J128" i="23"/>
  <c r="J120" i="23"/>
  <c r="J122" i="23" s="1"/>
  <c r="J114" i="23"/>
  <c r="J78" i="23"/>
  <c r="I78" i="23"/>
  <c r="J93" i="23"/>
  <c r="C45" i="23"/>
  <c r="N51" i="23"/>
  <c r="M51" i="23"/>
  <c r="L51" i="23"/>
  <c r="K51" i="23"/>
  <c r="J51" i="23"/>
  <c r="I51" i="23"/>
  <c r="H51" i="23"/>
  <c r="G51" i="23"/>
  <c r="F51" i="23"/>
  <c r="E51" i="23"/>
  <c r="D51" i="23"/>
  <c r="C51" i="23"/>
  <c r="N50" i="23"/>
  <c r="M50" i="23"/>
  <c r="L50" i="23"/>
  <c r="K50" i="23"/>
  <c r="J50" i="23"/>
  <c r="I50" i="23"/>
  <c r="H50" i="23"/>
  <c r="G50" i="23"/>
  <c r="F50" i="23"/>
  <c r="E50" i="23"/>
  <c r="D50" i="23"/>
  <c r="C50" i="23"/>
  <c r="N45" i="23"/>
  <c r="M45" i="23"/>
  <c r="J45" i="23"/>
  <c r="I45" i="23"/>
  <c r="H45" i="23"/>
  <c r="G45" i="23"/>
  <c r="F45" i="23"/>
  <c r="E45" i="23"/>
  <c r="D45" i="23"/>
  <c r="N44" i="23"/>
  <c r="M44" i="23"/>
  <c r="L44" i="23"/>
  <c r="K44" i="23"/>
  <c r="J44" i="23"/>
  <c r="I44" i="23"/>
  <c r="H44" i="23"/>
  <c r="G44" i="23"/>
  <c r="F44" i="23"/>
  <c r="E44" i="23"/>
  <c r="D44" i="23"/>
  <c r="C44" i="23"/>
  <c r="C53" i="67"/>
  <c r="D47" i="22"/>
  <c r="F47" i="22"/>
  <c r="G47" i="22"/>
  <c r="H47" i="22"/>
  <c r="I47" i="22"/>
  <c r="K47" i="22"/>
  <c r="L47" i="22"/>
  <c r="M47" i="22"/>
  <c r="N47" i="22"/>
  <c r="I46" i="67"/>
  <c r="I52" i="67"/>
  <c r="J53" i="67"/>
  <c r="I53" i="67"/>
  <c r="C60" i="67"/>
  <c r="H53" i="67"/>
  <c r="G53" i="67"/>
  <c r="F53" i="67"/>
  <c r="E53" i="67"/>
  <c r="J47" i="67"/>
  <c r="G47" i="67"/>
  <c r="C50" i="67"/>
  <c r="K50" i="67"/>
  <c r="L50" i="67"/>
  <c r="M50" i="67"/>
  <c r="N50" i="67"/>
  <c r="K51" i="67"/>
  <c r="L51" i="67"/>
  <c r="M51" i="67"/>
  <c r="N51" i="67"/>
  <c r="D53" i="67"/>
  <c r="K44" i="67"/>
  <c r="L44" i="67"/>
  <c r="M44" i="67"/>
  <c r="N44" i="67"/>
  <c r="K45" i="67"/>
  <c r="L45" i="67"/>
  <c r="M45" i="67"/>
  <c r="N45" i="67"/>
  <c r="C47" i="67"/>
  <c r="D47" i="67"/>
  <c r="E47" i="67"/>
  <c r="F47" i="67"/>
  <c r="H47" i="67"/>
  <c r="I47" i="67"/>
  <c r="H49" i="67"/>
  <c r="J150" i="67"/>
  <c r="J134" i="67"/>
  <c r="J137" i="67" s="1"/>
  <c r="J121" i="67"/>
  <c r="J114" i="67"/>
  <c r="J115" i="67" s="1"/>
  <c r="J107" i="67"/>
  <c r="J106" i="67"/>
  <c r="J100" i="67"/>
  <c r="J88" i="67"/>
  <c r="J87" i="67"/>
  <c r="J76" i="67"/>
  <c r="I17" i="7"/>
  <c r="G17" i="7"/>
  <c r="I16" i="7"/>
  <c r="I15" i="7"/>
  <c r="J15" i="7"/>
  <c r="J12" i="7"/>
  <c r="G12" i="7"/>
  <c r="J155" i="22"/>
  <c r="J89" i="22"/>
  <c r="J36" i="22"/>
  <c r="B3" i="15" a="1"/>
  <c r="B3" i="15" s="1"/>
  <c r="B3" i="16" a="1"/>
  <c r="B3" i="16" s="1"/>
  <c r="I152" i="44"/>
  <c r="J123" i="44"/>
  <c r="J128" i="44" s="1"/>
  <c r="J134" i="44" s="1"/>
  <c r="J88" i="44"/>
  <c r="K45" i="44"/>
  <c r="J45" i="44"/>
  <c r="I45" i="44"/>
  <c r="H45" i="44"/>
  <c r="G45" i="44"/>
  <c r="F45" i="44"/>
  <c r="E45" i="44"/>
  <c r="D45" i="44"/>
  <c r="C45" i="44"/>
  <c r="K44" i="44"/>
  <c r="J44" i="44"/>
  <c r="I44" i="44"/>
  <c r="H44" i="44"/>
  <c r="G44" i="44"/>
  <c r="F44" i="44"/>
  <c r="E44" i="44"/>
  <c r="D44" i="44"/>
  <c r="C44" i="44"/>
  <c r="C62" i="60"/>
  <c r="I55" i="60"/>
  <c r="J49" i="60"/>
  <c r="N61" i="60"/>
  <c r="M61" i="60"/>
  <c r="L61" i="60"/>
  <c r="K61" i="60"/>
  <c r="N59" i="60"/>
  <c r="N63" i="60" s="1"/>
  <c r="M59" i="60"/>
  <c r="M63" i="60" s="1"/>
  <c r="L59" i="60"/>
  <c r="L63" i="60" s="1"/>
  <c r="K59" i="60"/>
  <c r="K63" i="60" s="1"/>
  <c r="J59" i="60"/>
  <c r="J63" i="60" s="1"/>
  <c r="I59" i="60"/>
  <c r="I63" i="60" s="1"/>
  <c r="H59" i="60"/>
  <c r="H63" i="60" s="1"/>
  <c r="C64" i="60" s="1"/>
  <c r="G59" i="60"/>
  <c r="F59" i="60"/>
  <c r="F63" i="60" s="1"/>
  <c r="E59" i="60"/>
  <c r="E63" i="60" s="1"/>
  <c r="D59" i="60"/>
  <c r="D63" i="60" s="1"/>
  <c r="C59" i="60"/>
  <c r="C63" i="60" s="1"/>
  <c r="N48" i="60"/>
  <c r="M48" i="60"/>
  <c r="L48" i="60"/>
  <c r="K48" i="60"/>
  <c r="J48" i="60"/>
  <c r="I48" i="60"/>
  <c r="H48" i="60"/>
  <c r="G48" i="60"/>
  <c r="F48" i="60"/>
  <c r="E48" i="60"/>
  <c r="D48" i="60"/>
  <c r="C48" i="60"/>
  <c r="N47" i="60"/>
  <c r="M47" i="60"/>
  <c r="L47" i="60"/>
  <c r="K47" i="60"/>
  <c r="J47" i="60"/>
  <c r="J61" i="60" s="1"/>
  <c r="I47" i="60"/>
  <c r="I61" i="60" s="1"/>
  <c r="H47" i="60"/>
  <c r="H61" i="60" s="1"/>
  <c r="G47" i="60"/>
  <c r="G61" i="60" s="1"/>
  <c r="F47" i="60"/>
  <c r="F61" i="60" s="1"/>
  <c r="E47" i="60"/>
  <c r="E61" i="60" s="1"/>
  <c r="D47" i="60"/>
  <c r="D61" i="60" s="1"/>
  <c r="C47" i="60"/>
  <c r="C61" i="60" s="1"/>
  <c r="I63" i="6"/>
  <c r="J44" i="6"/>
  <c r="I44" i="6"/>
  <c r="C63" i="6"/>
  <c r="D3" i="6"/>
  <c r="D57" i="6"/>
  <c r="E51" i="6"/>
  <c r="D51" i="6"/>
  <c r="N48" i="6"/>
  <c r="M48" i="6"/>
  <c r="L48" i="6"/>
  <c r="K48" i="6"/>
  <c r="J48" i="6"/>
  <c r="I48" i="6"/>
  <c r="H48" i="6"/>
  <c r="G48" i="6"/>
  <c r="F48" i="6"/>
  <c r="E48" i="6"/>
  <c r="D48" i="6"/>
  <c r="C48" i="6"/>
  <c r="N47" i="6"/>
  <c r="M47" i="6"/>
  <c r="L47" i="6"/>
  <c r="K47" i="6"/>
  <c r="J47" i="6"/>
  <c r="I47" i="6"/>
  <c r="H47" i="6"/>
  <c r="G47" i="6"/>
  <c r="F47" i="6"/>
  <c r="E47" i="6"/>
  <c r="D47" i="6"/>
  <c r="C47" i="6"/>
  <c r="N61" i="6"/>
  <c r="M61" i="6"/>
  <c r="L61" i="6"/>
  <c r="K61" i="6"/>
  <c r="C62" i="6" s="1"/>
  <c r="J61" i="6"/>
  <c r="I61" i="6"/>
  <c r="H61" i="6"/>
  <c r="G61" i="6"/>
  <c r="F61" i="6"/>
  <c r="E61" i="6"/>
  <c r="D61" i="6"/>
  <c r="C61" i="6"/>
  <c r="N59" i="6"/>
  <c r="N63" i="6" s="1"/>
  <c r="M59" i="6"/>
  <c r="M63" i="6" s="1"/>
  <c r="L59" i="6"/>
  <c r="L63" i="6" s="1"/>
  <c r="I59" i="6"/>
  <c r="H59" i="6"/>
  <c r="G59" i="6"/>
  <c r="G63" i="6" s="1"/>
  <c r="F59" i="6"/>
  <c r="F63" i="6" s="1"/>
  <c r="E59" i="6"/>
  <c r="E63" i="6" s="1"/>
  <c r="D59" i="6"/>
  <c r="D63" i="6" s="1"/>
  <c r="C59" i="6"/>
  <c r="N54" i="6"/>
  <c r="M54" i="6"/>
  <c r="L54" i="6"/>
  <c r="K54" i="6"/>
  <c r="J54" i="6"/>
  <c r="I54" i="6"/>
  <c r="H54" i="6"/>
  <c r="G54" i="6"/>
  <c r="F54" i="6"/>
  <c r="E54" i="6"/>
  <c r="D54" i="6"/>
  <c r="C54" i="6"/>
  <c r="N53" i="6"/>
  <c r="M53" i="6"/>
  <c r="L53" i="6"/>
  <c r="K53" i="6"/>
  <c r="J53" i="6"/>
  <c r="I53" i="6"/>
  <c r="H53" i="6"/>
  <c r="G53" i="6"/>
  <c r="F53" i="6"/>
  <c r="E53" i="6"/>
  <c r="D53" i="6"/>
  <c r="C53" i="6"/>
  <c r="C65" i="5"/>
  <c r="C63" i="5"/>
  <c r="C61" i="5"/>
  <c r="C60" i="5"/>
  <c r="J62" i="5"/>
  <c r="I62" i="5"/>
  <c r="H62" i="5"/>
  <c r="G62" i="5"/>
  <c r="F62" i="5"/>
  <c r="E62" i="5"/>
  <c r="D62" i="5"/>
  <c r="C62" i="5"/>
  <c r="H44" i="5"/>
  <c r="H48" i="5"/>
  <c r="F58" i="5"/>
  <c r="N62" i="5"/>
  <c r="M62" i="5"/>
  <c r="L62" i="5"/>
  <c r="K62" i="5"/>
  <c r="N60" i="5"/>
  <c r="M60" i="5"/>
  <c r="L60" i="5"/>
  <c r="K60" i="5"/>
  <c r="J60" i="5"/>
  <c r="I60" i="5"/>
  <c r="H60" i="5"/>
  <c r="G60" i="5"/>
  <c r="F60" i="5"/>
  <c r="E60" i="5"/>
  <c r="D60" i="5"/>
  <c r="N55" i="5"/>
  <c r="M55" i="5"/>
  <c r="L55" i="5"/>
  <c r="K55" i="5"/>
  <c r="J55" i="5"/>
  <c r="I55" i="5"/>
  <c r="H55" i="5"/>
  <c r="G55" i="5"/>
  <c r="F55" i="5"/>
  <c r="E55" i="5"/>
  <c r="D55" i="5"/>
  <c r="C54" i="5"/>
  <c r="N49" i="5"/>
  <c r="M49" i="5"/>
  <c r="L49" i="5"/>
  <c r="K49" i="5"/>
  <c r="J49" i="5"/>
  <c r="I49" i="5"/>
  <c r="H49" i="5"/>
  <c r="G49" i="5"/>
  <c r="F49" i="5"/>
  <c r="E49" i="5"/>
  <c r="D49" i="5"/>
  <c r="C49" i="5"/>
  <c r="C48" i="5"/>
  <c r="C55" i="5"/>
  <c r="N54" i="5"/>
  <c r="M54" i="5"/>
  <c r="L54" i="5"/>
  <c r="K54" i="5"/>
  <c r="J54" i="5"/>
  <c r="I54" i="5"/>
  <c r="H54" i="5"/>
  <c r="G54" i="5"/>
  <c r="F54" i="5"/>
  <c r="E54" i="5"/>
  <c r="D54" i="5"/>
  <c r="L48" i="3"/>
  <c r="M48" i="3"/>
  <c r="N48" i="3"/>
  <c r="K54" i="3"/>
  <c r="L54" i="3"/>
  <c r="M54" i="3"/>
  <c r="N54" i="3"/>
  <c r="J50" i="3"/>
  <c r="I50" i="3"/>
  <c r="J54" i="3"/>
  <c r="I54" i="3"/>
  <c r="H54" i="3"/>
  <c r="G54" i="3"/>
  <c r="F54" i="3"/>
  <c r="E54" i="3"/>
  <c r="D54" i="3"/>
  <c r="C54" i="3"/>
  <c r="K48" i="3"/>
  <c r="J48" i="3"/>
  <c r="I48" i="3"/>
  <c r="H48" i="3"/>
  <c r="G48" i="3"/>
  <c r="F48" i="3"/>
  <c r="E48" i="3"/>
  <c r="D48" i="3"/>
  <c r="C48" i="3"/>
  <c r="N53" i="3"/>
  <c r="M53" i="3"/>
  <c r="L53" i="3"/>
  <c r="K53" i="3"/>
  <c r="J53" i="3"/>
  <c r="I53" i="3"/>
  <c r="H53" i="3"/>
  <c r="G53" i="3"/>
  <c r="F53" i="3"/>
  <c r="E53" i="3"/>
  <c r="D53" i="3"/>
  <c r="C53" i="3"/>
  <c r="E24" i="91"/>
  <c r="F25" i="91"/>
  <c r="G23" i="91"/>
  <c r="F23" i="91"/>
  <c r="E23" i="91"/>
  <c r="G22" i="91"/>
  <c r="E22" i="91"/>
  <c r="E17" i="91"/>
  <c r="G16" i="91"/>
  <c r="E16" i="91"/>
  <c r="C44" i="2"/>
  <c r="C60" i="2" s="1"/>
  <c r="D60" i="38"/>
  <c r="E60" i="38"/>
  <c r="F60" i="38"/>
  <c r="G60" i="38"/>
  <c r="H60" i="38"/>
  <c r="L60" i="38"/>
  <c r="M60" i="38"/>
  <c r="N60" i="38"/>
  <c r="C60" i="38"/>
  <c r="N58" i="64"/>
  <c r="D50" i="64"/>
  <c r="E50" i="64"/>
  <c r="F50" i="64"/>
  <c r="G50" i="64"/>
  <c r="H50" i="64"/>
  <c r="I50" i="64"/>
  <c r="J50" i="64"/>
  <c r="K50" i="64"/>
  <c r="L50" i="64"/>
  <c r="M50" i="64"/>
  <c r="N50" i="64"/>
  <c r="D51" i="64"/>
  <c r="E51" i="64"/>
  <c r="F51" i="64"/>
  <c r="G51" i="64"/>
  <c r="H51" i="64"/>
  <c r="I51" i="64"/>
  <c r="J51" i="64"/>
  <c r="D3" i="64" s="1"/>
  <c r="K51" i="64"/>
  <c r="L51" i="64"/>
  <c r="M51" i="64"/>
  <c r="N51" i="64"/>
  <c r="B3" i="64" a="1"/>
  <c r="B3" i="64" s="1"/>
  <c r="C62" i="64" s="1"/>
  <c r="G44" i="64"/>
  <c r="N45" i="64"/>
  <c r="M58" i="64" s="1"/>
  <c r="M45" i="64"/>
  <c r="L58" i="64" s="1"/>
  <c r="L45" i="64"/>
  <c r="K58" i="64" s="1"/>
  <c r="K45" i="64"/>
  <c r="J58" i="64" s="1"/>
  <c r="J45" i="64"/>
  <c r="I58" i="64" s="1"/>
  <c r="I45" i="64"/>
  <c r="H58" i="64" s="1"/>
  <c r="H45" i="64"/>
  <c r="G58" i="64" s="1"/>
  <c r="G45" i="64"/>
  <c r="F58" i="64" s="1"/>
  <c r="F45" i="64"/>
  <c r="E58" i="64" s="1"/>
  <c r="E45" i="64"/>
  <c r="D58" i="64" s="1"/>
  <c r="D45" i="64"/>
  <c r="C58" i="64" s="1"/>
  <c r="C45" i="64"/>
  <c r="N44" i="64"/>
  <c r="M44" i="64"/>
  <c r="L44" i="64"/>
  <c r="K44" i="64"/>
  <c r="J44" i="64"/>
  <c r="I44" i="64"/>
  <c r="H44" i="64"/>
  <c r="F44" i="64"/>
  <c r="E44" i="64"/>
  <c r="D44" i="64"/>
  <c r="C44" i="64"/>
  <c r="C49" i="2"/>
  <c r="C48" i="2"/>
  <c r="C62" i="2" s="1"/>
  <c r="I100" i="64"/>
  <c r="J100" i="64"/>
  <c r="J87" i="64"/>
  <c r="I87" i="64"/>
  <c r="I76" i="64"/>
  <c r="J76" i="64"/>
  <c r="B3" i="2" a="1"/>
  <c r="B3" i="2" s="1"/>
  <c r="E46" i="46"/>
  <c r="F46" i="46"/>
  <c r="G46" i="46"/>
  <c r="H46" i="46"/>
  <c r="I46" i="46"/>
  <c r="D46" i="46"/>
  <c r="J154" i="38"/>
  <c r="H139" i="38"/>
  <c r="H141" i="38"/>
  <c r="F43" i="46"/>
  <c r="G43" i="46"/>
  <c r="H43" i="46"/>
  <c r="I43" i="46"/>
  <c r="J43" i="46"/>
  <c r="E43" i="46"/>
  <c r="D43" i="46"/>
  <c r="J157" i="17"/>
  <c r="J45" i="17" s="1"/>
  <c r="E24" i="46"/>
  <c r="F24" i="46"/>
  <c r="G24" i="46"/>
  <c r="H24" i="46"/>
  <c r="I24" i="46"/>
  <c r="J24" i="46"/>
  <c r="E25" i="46"/>
  <c r="F25" i="46"/>
  <c r="G25" i="46"/>
  <c r="H25" i="46"/>
  <c r="I25" i="46"/>
  <c r="J25" i="46"/>
  <c r="D25" i="46"/>
  <c r="D24" i="46"/>
  <c r="E18" i="46"/>
  <c r="F18" i="46"/>
  <c r="G18" i="46"/>
  <c r="H18" i="46"/>
  <c r="I18" i="46"/>
  <c r="J18" i="46"/>
  <c r="E19" i="46"/>
  <c r="F19" i="46"/>
  <c r="G19" i="46"/>
  <c r="H19" i="46"/>
  <c r="I19" i="46"/>
  <c r="J19" i="46"/>
  <c r="D19" i="46"/>
  <c r="D18" i="46"/>
  <c r="D54" i="2"/>
  <c r="E54" i="2"/>
  <c r="F54" i="2"/>
  <c r="H54" i="2"/>
  <c r="I54" i="2"/>
  <c r="J54" i="2"/>
  <c r="K54" i="2"/>
  <c r="L54" i="2"/>
  <c r="M54" i="2"/>
  <c r="N54" i="2"/>
  <c r="D55" i="2"/>
  <c r="E55" i="2"/>
  <c r="F55" i="2"/>
  <c r="G55" i="2"/>
  <c r="H55" i="2"/>
  <c r="I55" i="2"/>
  <c r="J55" i="2"/>
  <c r="K55" i="2"/>
  <c r="L55" i="2"/>
  <c r="M55" i="2"/>
  <c r="N55" i="2"/>
  <c r="C55" i="2"/>
  <c r="C54" i="2"/>
  <c r="D48" i="2"/>
  <c r="E48" i="2"/>
  <c r="F48" i="2"/>
  <c r="G48" i="2"/>
  <c r="H48" i="2"/>
  <c r="J48" i="2"/>
  <c r="K48" i="2"/>
  <c r="L48" i="2"/>
  <c r="M48" i="2"/>
  <c r="N48" i="2"/>
  <c r="D49" i="2"/>
  <c r="E49" i="2"/>
  <c r="F49" i="2"/>
  <c r="G49" i="2"/>
  <c r="H49" i="2"/>
  <c r="J49" i="2"/>
  <c r="K49" i="2"/>
  <c r="L49" i="2"/>
  <c r="M49" i="2"/>
  <c r="N49" i="2"/>
  <c r="B3" i="7" a="1"/>
  <c r="B3" i="7" s="1"/>
  <c r="C64" i="7" s="1"/>
  <c r="B3" i="11" a="1"/>
  <c r="B3" i="11" s="1"/>
  <c r="E139" i="2"/>
  <c r="I44" i="7"/>
  <c r="I24" i="7" s="1"/>
  <c r="I33" i="7"/>
  <c r="H24" i="7"/>
  <c r="G44" i="7"/>
  <c r="J121" i="14"/>
  <c r="J126" i="14" s="1"/>
  <c r="I121" i="14"/>
  <c r="I126" i="14" s="1"/>
  <c r="J107" i="14"/>
  <c r="I107" i="14"/>
  <c r="J76" i="14"/>
  <c r="J46" i="17"/>
  <c r="J60" i="17" s="1"/>
  <c r="J46" i="9"/>
  <c r="J43" i="9" s="1"/>
  <c r="J57" i="9" s="1"/>
  <c r="I50" i="2"/>
  <c r="J120" i="11"/>
  <c r="J125" i="11" s="1"/>
  <c r="J131" i="11" s="1"/>
  <c r="J133" i="11" s="1"/>
  <c r="E88" i="11"/>
  <c r="G40" i="89"/>
  <c r="G56" i="89" s="1"/>
  <c r="J110" i="9"/>
  <c r="I154" i="38"/>
  <c r="J52" i="9"/>
  <c r="J55" i="9" s="1"/>
  <c r="F52" i="9"/>
  <c r="C154" i="38"/>
  <c r="D154" i="38"/>
  <c r="E154" i="38"/>
  <c r="F154" i="38"/>
  <c r="G154" i="38"/>
  <c r="H154" i="38"/>
  <c r="E52" i="9"/>
  <c r="G52" i="9"/>
  <c r="H131" i="38"/>
  <c r="G131" i="38"/>
  <c r="F131" i="38"/>
  <c r="E131" i="38"/>
  <c r="D131" i="38"/>
  <c r="C131" i="38"/>
  <c r="E152" i="89"/>
  <c r="H152" i="89"/>
  <c r="F118" i="89"/>
  <c r="G118" i="89"/>
  <c r="H118" i="89"/>
  <c r="I118" i="89"/>
  <c r="J118" i="89"/>
  <c r="K118" i="89"/>
  <c r="L118" i="89"/>
  <c r="M118" i="89"/>
  <c r="N118" i="89"/>
  <c r="F100" i="89"/>
  <c r="D76" i="89"/>
  <c r="E76" i="89"/>
  <c r="F76" i="89"/>
  <c r="G76" i="89"/>
  <c r="H76" i="89"/>
  <c r="I76" i="89"/>
  <c r="J76" i="89"/>
  <c r="K76" i="89"/>
  <c r="L76" i="89"/>
  <c r="M76" i="89"/>
  <c r="N76" i="89"/>
  <c r="D87" i="89"/>
  <c r="E87" i="89"/>
  <c r="F87" i="89"/>
  <c r="G87" i="89"/>
  <c r="H87" i="89"/>
  <c r="I87" i="89"/>
  <c r="J87" i="89"/>
  <c r="K87" i="89"/>
  <c r="L87" i="89"/>
  <c r="M87" i="89"/>
  <c r="N87" i="89"/>
  <c r="D88" i="89"/>
  <c r="E88" i="89"/>
  <c r="F88" i="89"/>
  <c r="G88" i="89"/>
  <c r="H88" i="89"/>
  <c r="I88" i="89"/>
  <c r="J88" i="89"/>
  <c r="K88" i="89"/>
  <c r="L88" i="89"/>
  <c r="M88" i="89"/>
  <c r="N88" i="89"/>
  <c r="D100" i="89"/>
  <c r="E100" i="89"/>
  <c r="G100" i="89"/>
  <c r="H100" i="89"/>
  <c r="I100" i="89"/>
  <c r="J100" i="89"/>
  <c r="K100" i="89"/>
  <c r="L100" i="89"/>
  <c r="M100" i="89"/>
  <c r="N100" i="89"/>
  <c r="D109" i="89"/>
  <c r="E109" i="89"/>
  <c r="F109" i="89"/>
  <c r="G109" i="89"/>
  <c r="H109" i="89"/>
  <c r="I109" i="89"/>
  <c r="J109" i="89"/>
  <c r="K109" i="89"/>
  <c r="L109" i="89"/>
  <c r="M109" i="89"/>
  <c r="N109" i="89"/>
  <c r="D110" i="89"/>
  <c r="E110" i="89"/>
  <c r="F110" i="89"/>
  <c r="G110" i="89"/>
  <c r="H110" i="89"/>
  <c r="I110" i="89"/>
  <c r="J110" i="89"/>
  <c r="K110" i="89"/>
  <c r="L110" i="89"/>
  <c r="M110" i="89"/>
  <c r="N110" i="89"/>
  <c r="D118" i="89"/>
  <c r="D124" i="89"/>
  <c r="E124" i="89"/>
  <c r="F124" i="89"/>
  <c r="G124" i="89"/>
  <c r="H124" i="89"/>
  <c r="I124" i="89"/>
  <c r="J124" i="89"/>
  <c r="K124" i="89"/>
  <c r="L124" i="89"/>
  <c r="M124" i="89"/>
  <c r="D130" i="89"/>
  <c r="E130" i="89"/>
  <c r="F130" i="89"/>
  <c r="G130" i="89"/>
  <c r="H130" i="89"/>
  <c r="I130" i="89"/>
  <c r="J130" i="89"/>
  <c r="K130" i="89"/>
  <c r="L130" i="89"/>
  <c r="M130" i="89"/>
  <c r="D136" i="89"/>
  <c r="E136" i="89"/>
  <c r="E138" i="89" s="1"/>
  <c r="F136" i="89"/>
  <c r="G136" i="89"/>
  <c r="H136" i="89"/>
  <c r="I136" i="89"/>
  <c r="J136" i="89"/>
  <c r="K136" i="89"/>
  <c r="L136" i="89"/>
  <c r="M136" i="89"/>
  <c r="D138" i="89"/>
  <c r="F138" i="89"/>
  <c r="G138" i="89"/>
  <c r="H138" i="89"/>
  <c r="I138" i="89"/>
  <c r="J138" i="89"/>
  <c r="K138" i="89"/>
  <c r="L138" i="89"/>
  <c r="M138" i="89"/>
  <c r="D152" i="89"/>
  <c r="F152" i="89"/>
  <c r="G152" i="89"/>
  <c r="I152" i="89"/>
  <c r="L152" i="89"/>
  <c r="C152" i="89"/>
  <c r="C124" i="89"/>
  <c r="C130" i="89" s="1"/>
  <c r="C136" i="89" s="1"/>
  <c r="C138" i="89" s="1"/>
  <c r="C118" i="89"/>
  <c r="C110" i="89"/>
  <c r="C109" i="89"/>
  <c r="C100" i="89"/>
  <c r="C88" i="89"/>
  <c r="C87" i="89"/>
  <c r="C76" i="89"/>
  <c r="N58" i="89"/>
  <c r="N51" i="89"/>
  <c r="M51" i="89"/>
  <c r="L51" i="89"/>
  <c r="K51" i="89"/>
  <c r="J51" i="89"/>
  <c r="I51" i="89"/>
  <c r="H51" i="89"/>
  <c r="G51" i="89"/>
  <c r="F51" i="89"/>
  <c r="E51" i="89"/>
  <c r="D51" i="89"/>
  <c r="C51" i="89"/>
  <c r="N50" i="89"/>
  <c r="M50" i="89"/>
  <c r="L50" i="89"/>
  <c r="K50" i="89"/>
  <c r="J50" i="89"/>
  <c r="I50" i="89"/>
  <c r="H50" i="89"/>
  <c r="G50" i="89"/>
  <c r="F50" i="89"/>
  <c r="E50" i="89"/>
  <c r="D50" i="89"/>
  <c r="C50" i="89"/>
  <c r="N45" i="89"/>
  <c r="M58" i="89" s="1"/>
  <c r="M45" i="89"/>
  <c r="L58" i="89" s="1"/>
  <c r="L45" i="89"/>
  <c r="K58" i="89" s="1"/>
  <c r="K45" i="89"/>
  <c r="J58" i="89" s="1"/>
  <c r="J45" i="89"/>
  <c r="I58" i="89" s="1"/>
  <c r="I45" i="89"/>
  <c r="H58" i="89" s="1"/>
  <c r="H45" i="89"/>
  <c r="G58" i="89" s="1"/>
  <c r="G45" i="89"/>
  <c r="F58" i="89" s="1"/>
  <c r="F45" i="89"/>
  <c r="E58" i="89" s="1"/>
  <c r="E45" i="89"/>
  <c r="D58" i="89" s="1"/>
  <c r="D45" i="89"/>
  <c r="C58" i="89" s="1"/>
  <c r="C45" i="89"/>
  <c r="N44" i="89"/>
  <c r="M44" i="89"/>
  <c r="L44" i="89"/>
  <c r="K44" i="89"/>
  <c r="J44" i="89"/>
  <c r="I44" i="89"/>
  <c r="H44" i="89"/>
  <c r="G44" i="89"/>
  <c r="F44" i="89"/>
  <c r="E44" i="89"/>
  <c r="D44" i="89"/>
  <c r="C44" i="89"/>
  <c r="N43" i="89"/>
  <c r="M43" i="89"/>
  <c r="L43" i="89"/>
  <c r="K43" i="89"/>
  <c r="J43" i="89"/>
  <c r="I43" i="89"/>
  <c r="H43" i="89"/>
  <c r="G43" i="89"/>
  <c r="F43" i="89"/>
  <c r="E43" i="89"/>
  <c r="D43" i="89"/>
  <c r="C43" i="89"/>
  <c r="N40" i="89"/>
  <c r="N56" i="89" s="1"/>
  <c r="M40" i="89"/>
  <c r="M56" i="89" s="1"/>
  <c r="L40" i="89"/>
  <c r="L56" i="89" s="1"/>
  <c r="K40" i="89"/>
  <c r="K56" i="89" s="1"/>
  <c r="J40" i="89"/>
  <c r="J56" i="89" s="1"/>
  <c r="C57" i="89" s="1"/>
  <c r="I40" i="89"/>
  <c r="I56" i="89" s="1"/>
  <c r="H40" i="89"/>
  <c r="H56" i="89" s="1"/>
  <c r="F40" i="89"/>
  <c r="F56" i="89" s="1"/>
  <c r="E40" i="89"/>
  <c r="D40" i="89"/>
  <c r="C40" i="89"/>
  <c r="N38" i="89"/>
  <c r="M38" i="89"/>
  <c r="L38" i="89"/>
  <c r="K38" i="89"/>
  <c r="J38" i="89"/>
  <c r="I38" i="89"/>
  <c r="H38" i="89"/>
  <c r="G38" i="89"/>
  <c r="F38" i="89"/>
  <c r="E38" i="89"/>
  <c r="D38" i="89"/>
  <c r="C38" i="89"/>
  <c r="N36" i="89"/>
  <c r="M36" i="89"/>
  <c r="L36" i="89"/>
  <c r="K36" i="89"/>
  <c r="J36" i="89"/>
  <c r="I36" i="89"/>
  <c r="H36" i="89"/>
  <c r="G36" i="89"/>
  <c r="F36" i="89"/>
  <c r="E36" i="89"/>
  <c r="D36" i="89"/>
  <c r="C36" i="89"/>
  <c r="N35" i="89"/>
  <c r="M35" i="89"/>
  <c r="L35" i="89"/>
  <c r="K35" i="89"/>
  <c r="J35" i="89"/>
  <c r="I35" i="89"/>
  <c r="H35" i="89"/>
  <c r="G35" i="89"/>
  <c r="F35" i="89"/>
  <c r="E35" i="89"/>
  <c r="D35" i="89"/>
  <c r="C35" i="89"/>
  <c r="N20" i="89"/>
  <c r="M20" i="89"/>
  <c r="L20" i="89"/>
  <c r="K20" i="89"/>
  <c r="J20" i="89"/>
  <c r="I20" i="89"/>
  <c r="H20" i="89"/>
  <c r="G20" i="89"/>
  <c r="F20" i="89"/>
  <c r="E20" i="89"/>
  <c r="D20" i="89"/>
  <c r="C20" i="89"/>
  <c r="N15" i="89"/>
  <c r="N18" i="89" s="1"/>
  <c r="M15" i="89"/>
  <c r="M18" i="89" s="1"/>
  <c r="L15" i="89"/>
  <c r="L18" i="89" s="1"/>
  <c r="K15" i="89"/>
  <c r="K18" i="89" s="1"/>
  <c r="J15" i="89"/>
  <c r="I15" i="89"/>
  <c r="I18" i="89" s="1"/>
  <c r="H15" i="89"/>
  <c r="H18" i="89" s="1"/>
  <c r="G15" i="89"/>
  <c r="G18" i="89" s="1"/>
  <c r="F15" i="89"/>
  <c r="F18" i="89" s="1"/>
  <c r="E15" i="89"/>
  <c r="E18" i="89" s="1"/>
  <c r="D15" i="89"/>
  <c r="D18" i="89" s="1"/>
  <c r="C15" i="89"/>
  <c r="C18" i="89" s="1"/>
  <c r="N13" i="89"/>
  <c r="M13" i="89"/>
  <c r="L13" i="89"/>
  <c r="K13" i="89"/>
  <c r="J13" i="89"/>
  <c r="I13" i="89"/>
  <c r="H13" i="89"/>
  <c r="G13" i="89"/>
  <c r="F13" i="89"/>
  <c r="E13" i="89"/>
  <c r="D13" i="89"/>
  <c r="C13" i="89"/>
  <c r="N12" i="89"/>
  <c r="N14" i="89" s="1"/>
  <c r="M12" i="89"/>
  <c r="M14" i="89" s="1"/>
  <c r="L12" i="89"/>
  <c r="L14" i="89" s="1"/>
  <c r="K12" i="89"/>
  <c r="K14" i="89" s="1"/>
  <c r="J12" i="89"/>
  <c r="J14" i="89" s="1"/>
  <c r="I12" i="89"/>
  <c r="I14" i="89" s="1"/>
  <c r="H12" i="89"/>
  <c r="H14" i="89" s="1"/>
  <c r="G12" i="89"/>
  <c r="G14" i="89" s="1"/>
  <c r="F12" i="89"/>
  <c r="F14" i="89" s="1"/>
  <c r="E12" i="89"/>
  <c r="E14" i="89" s="1"/>
  <c r="D12" i="89"/>
  <c r="D14" i="89" s="1"/>
  <c r="C12" i="89"/>
  <c r="C14" i="89" s="1"/>
  <c r="N10" i="89"/>
  <c r="M10" i="89"/>
  <c r="L10" i="89"/>
  <c r="K10" i="89"/>
  <c r="J10" i="89"/>
  <c r="I10" i="89"/>
  <c r="H10" i="89"/>
  <c r="G10" i="89"/>
  <c r="F10" i="89"/>
  <c r="E10" i="89"/>
  <c r="D10" i="89"/>
  <c r="C10" i="89"/>
  <c r="N9" i="89"/>
  <c r="M9" i="89"/>
  <c r="L9" i="89"/>
  <c r="K9" i="89"/>
  <c r="J9" i="89"/>
  <c r="I9" i="89"/>
  <c r="H9" i="89"/>
  <c r="G9" i="89"/>
  <c r="F9" i="89"/>
  <c r="E9" i="89"/>
  <c r="D9" i="89"/>
  <c r="C9" i="89"/>
  <c r="N8" i="89"/>
  <c r="M8" i="89"/>
  <c r="L8" i="89"/>
  <c r="K8" i="89"/>
  <c r="J8" i="89"/>
  <c r="I8" i="89"/>
  <c r="H8" i="89"/>
  <c r="G8" i="89"/>
  <c r="F8" i="89"/>
  <c r="E8" i="89"/>
  <c r="D8" i="89"/>
  <c r="C8" i="89"/>
  <c r="N7" i="89"/>
  <c r="M7" i="89"/>
  <c r="L7" i="89"/>
  <c r="K7" i="89"/>
  <c r="J7" i="89"/>
  <c r="I7" i="89"/>
  <c r="H7" i="89"/>
  <c r="G7" i="89"/>
  <c r="F7" i="89"/>
  <c r="E7" i="89"/>
  <c r="D7" i="89"/>
  <c r="C7" i="89"/>
  <c r="D3" i="89"/>
  <c r="B3" i="89" a="1"/>
  <c r="B3" i="89" s="1"/>
  <c r="B2" i="89"/>
  <c r="F151" i="15"/>
  <c r="J139" i="2"/>
  <c r="J106" i="2"/>
  <c r="J100" i="2"/>
  <c r="U12" i="38"/>
  <c r="V12" i="38" s="1"/>
  <c r="Q8" i="38" a="1"/>
  <c r="Q8" i="38" s="1"/>
  <c r="S8" i="38" s="1"/>
  <c r="U8" i="38" s="1"/>
  <c r="V8" i="38" s="1"/>
  <c r="Q9" i="38" a="1"/>
  <c r="Q9" i="38" s="1"/>
  <c r="S9" i="38" s="1"/>
  <c r="U9" i="38" s="1"/>
  <c r="V9" i="38" s="1"/>
  <c r="Q10" i="38" a="1"/>
  <c r="Q10" i="38" s="1"/>
  <c r="S10" i="38" s="1"/>
  <c r="U10" i="38" s="1"/>
  <c r="V10" i="38" s="1"/>
  <c r="Q7" i="38" a="1"/>
  <c r="Q7" i="38" s="1"/>
  <c r="S7" i="38" s="1"/>
  <c r="U7" i="38" s="1"/>
  <c r="V7" i="38" s="1"/>
  <c r="S4" i="38" a="1"/>
  <c r="S4" i="38" s="1"/>
  <c r="S5" i="38" s="1"/>
  <c r="T2" i="38" a="1"/>
  <c r="T2" i="38" s="1"/>
  <c r="Q11" i="38" s="1" a="1"/>
  <c r="Q11" i="38" s="1"/>
  <c r="S11" i="38" s="1"/>
  <c r="U11" i="38" s="1"/>
  <c r="V11" i="38" s="1"/>
  <c r="T1" i="38" a="1"/>
  <c r="T1" i="38" s="1"/>
  <c r="D9" i="38"/>
  <c r="E9" i="38"/>
  <c r="F9" i="38"/>
  <c r="G9" i="38"/>
  <c r="H9" i="38"/>
  <c r="I9" i="38"/>
  <c r="J9" i="38"/>
  <c r="K9" i="38"/>
  <c r="K154" i="38"/>
  <c r="G139" i="38"/>
  <c r="I139" i="38"/>
  <c r="K139" i="38"/>
  <c r="F139" i="38"/>
  <c r="C139" i="38"/>
  <c r="D139" i="38"/>
  <c r="E139" i="38"/>
  <c r="K142" i="38"/>
  <c r="D126" i="38"/>
  <c r="E126" i="38"/>
  <c r="F126" i="38"/>
  <c r="G126" i="38"/>
  <c r="H126" i="38"/>
  <c r="I126" i="38"/>
  <c r="J126" i="38"/>
  <c r="D141" i="38"/>
  <c r="D142" i="38" s="1"/>
  <c r="E141" i="38"/>
  <c r="E142" i="38" s="1"/>
  <c r="F141" i="38"/>
  <c r="F142" i="38" s="1"/>
  <c r="G141" i="38"/>
  <c r="G142" i="38" s="1"/>
  <c r="H142" i="38"/>
  <c r="I141" i="38"/>
  <c r="I142" i="38" s="1"/>
  <c r="J141" i="38"/>
  <c r="J142" i="38" s="1"/>
  <c r="C126" i="38"/>
  <c r="N58" i="16"/>
  <c r="C53" i="16"/>
  <c r="D53" i="16"/>
  <c r="E53" i="16"/>
  <c r="F53" i="16"/>
  <c r="G53" i="16"/>
  <c r="G54" i="16"/>
  <c r="H53" i="16"/>
  <c r="C50" i="16"/>
  <c r="D50" i="16"/>
  <c r="E50" i="16"/>
  <c r="F50" i="16"/>
  <c r="G50" i="16"/>
  <c r="H50" i="16"/>
  <c r="C51" i="16"/>
  <c r="D51" i="16"/>
  <c r="E51" i="16"/>
  <c r="F51" i="16"/>
  <c r="G51" i="16"/>
  <c r="H51" i="16"/>
  <c r="J51" i="16"/>
  <c r="J50" i="16"/>
  <c r="I53" i="16"/>
  <c r="I52" i="16"/>
  <c r="C9" i="38"/>
  <c r="D52" i="38"/>
  <c r="E52" i="38"/>
  <c r="F52" i="38"/>
  <c r="G52" i="38"/>
  <c r="H52" i="38"/>
  <c r="I52" i="38"/>
  <c r="J52" i="38"/>
  <c r="D53" i="38"/>
  <c r="E53" i="38"/>
  <c r="F53" i="38"/>
  <c r="G53" i="38"/>
  <c r="H53" i="38"/>
  <c r="I53" i="38"/>
  <c r="J53" i="38"/>
  <c r="C53" i="38"/>
  <c r="C52" i="38"/>
  <c r="C91" i="38"/>
  <c r="K44" i="9"/>
  <c r="J44" i="9"/>
  <c r="H46" i="9"/>
  <c r="H44" i="9" s="1"/>
  <c r="G46" i="9"/>
  <c r="G44" i="9" s="1"/>
  <c r="F46" i="9"/>
  <c r="F44" i="9" s="1"/>
  <c r="D46" i="9"/>
  <c r="D44" i="9" s="1"/>
  <c r="C46" i="9"/>
  <c r="J108" i="9"/>
  <c r="J114" i="9" s="1"/>
  <c r="J94" i="9"/>
  <c r="J7" i="9"/>
  <c r="J11" i="9"/>
  <c r="J12" i="9"/>
  <c r="J13" i="9"/>
  <c r="J14" i="9"/>
  <c r="J15" i="9"/>
  <c r="J18" i="9"/>
  <c r="J137" i="9"/>
  <c r="F16" i="88"/>
  <c r="F14" i="88"/>
  <c r="I139" i="2"/>
  <c r="N58" i="15"/>
  <c r="K50" i="15"/>
  <c r="L50" i="15"/>
  <c r="M50" i="15"/>
  <c r="N50" i="15"/>
  <c r="K51" i="15"/>
  <c r="L51" i="15"/>
  <c r="M51" i="15"/>
  <c r="N51" i="15"/>
  <c r="C53" i="15"/>
  <c r="C56" i="15" s="1"/>
  <c r="D53" i="15"/>
  <c r="E53" i="15"/>
  <c r="F53" i="15"/>
  <c r="G54" i="15"/>
  <c r="G53" i="15"/>
  <c r="H53" i="15"/>
  <c r="J47" i="16"/>
  <c r="H10" i="15"/>
  <c r="F36" i="88"/>
  <c r="I29" i="42"/>
  <c r="I36" i="43"/>
  <c r="H50" i="42"/>
  <c r="H137" i="9"/>
  <c r="K35" i="9"/>
  <c r="D137" i="9"/>
  <c r="D42" i="9"/>
  <c r="C55" i="9"/>
  <c r="C110" i="9"/>
  <c r="C108" i="9"/>
  <c r="C114" i="9" s="1"/>
  <c r="C35" i="9" s="1"/>
  <c r="J16" i="46"/>
  <c r="J40" i="46"/>
  <c r="I16" i="46"/>
  <c r="J151" i="16"/>
  <c r="J129" i="16"/>
  <c r="J110" i="16"/>
  <c r="J109" i="16"/>
  <c r="J100" i="16"/>
  <c r="J88" i="16"/>
  <c r="J87" i="16"/>
  <c r="J76" i="16"/>
  <c r="J129" i="15"/>
  <c r="I76" i="15"/>
  <c r="J138" i="14"/>
  <c r="I44" i="15" l="1"/>
  <c r="I45" i="15"/>
  <c r="F50" i="49"/>
  <c r="F51" i="49"/>
  <c r="G50" i="49"/>
  <c r="G51" i="49"/>
  <c r="J50" i="49"/>
  <c r="J51" i="49"/>
  <c r="H50" i="49"/>
  <c r="H51" i="49"/>
  <c r="J36" i="7"/>
  <c r="J16" i="7"/>
  <c r="G73" i="13"/>
  <c r="G68" i="13" s="1"/>
  <c r="G56" i="13"/>
  <c r="C77" i="13"/>
  <c r="D76" i="13"/>
  <c r="D62" i="13"/>
  <c r="C44" i="9"/>
  <c r="C43" i="9"/>
  <c r="I50" i="16"/>
  <c r="I51" i="16"/>
  <c r="I20" i="97"/>
  <c r="I22" i="97" s="1"/>
  <c r="I56" i="97"/>
  <c r="J50" i="97"/>
  <c r="J51" i="97"/>
  <c r="I88" i="97"/>
  <c r="I110" i="97"/>
  <c r="H58" i="97"/>
  <c r="F58" i="97"/>
  <c r="E58" i="97"/>
  <c r="D58" i="97"/>
  <c r="D44" i="97"/>
  <c r="D45" i="97"/>
  <c r="C58" i="97" s="1"/>
  <c r="C45" i="97"/>
  <c r="J44" i="97"/>
  <c r="J45" i="97"/>
  <c r="I60" i="97"/>
  <c r="F23" i="97"/>
  <c r="F25" i="97" s="1"/>
  <c r="F24" i="97"/>
  <c r="F27" i="97" s="1"/>
  <c r="E23" i="97"/>
  <c r="E25" i="97" s="1"/>
  <c r="E24" i="97"/>
  <c r="E27" i="97" s="1"/>
  <c r="D23" i="97"/>
  <c r="D25" i="97" s="1"/>
  <c r="D24" i="97"/>
  <c r="D27" i="97" s="1"/>
  <c r="C23" i="97"/>
  <c r="C25" i="97" s="1"/>
  <c r="C24" i="97"/>
  <c r="C27" i="97" s="1"/>
  <c r="N56" i="97"/>
  <c r="N60" i="97" s="1"/>
  <c r="N20" i="97"/>
  <c r="N22" i="97" s="1"/>
  <c r="M56" i="97"/>
  <c r="M60" i="97" s="1"/>
  <c r="M20" i="97"/>
  <c r="M22" i="97" s="1"/>
  <c r="L56" i="97"/>
  <c r="L60" i="97" s="1"/>
  <c r="L20" i="97"/>
  <c r="L22" i="97" s="1"/>
  <c r="K56" i="97"/>
  <c r="K60" i="97" s="1"/>
  <c r="K20" i="97"/>
  <c r="K22" i="97" s="1"/>
  <c r="J60" i="97"/>
  <c r="J20" i="97"/>
  <c r="J22" i="97" s="1"/>
  <c r="H56" i="97"/>
  <c r="H20" i="97"/>
  <c r="H22" i="97" s="1"/>
  <c r="G56" i="97"/>
  <c r="G60" i="97" s="1"/>
  <c r="G20" i="97"/>
  <c r="G22" i="97" s="1"/>
  <c r="F56" i="97"/>
  <c r="F60" i="97" s="1"/>
  <c r="F20" i="97"/>
  <c r="F22" i="97" s="1"/>
  <c r="E56" i="97"/>
  <c r="E60" i="97" s="1"/>
  <c r="E20" i="97"/>
  <c r="E22" i="97" s="1"/>
  <c r="D56" i="97"/>
  <c r="D60" i="97" s="1"/>
  <c r="D20" i="97"/>
  <c r="D22" i="97" s="1"/>
  <c r="C56" i="97"/>
  <c r="C60" i="97" s="1"/>
  <c r="C20" i="97"/>
  <c r="C22" i="97" s="1"/>
  <c r="I50" i="49"/>
  <c r="I51" i="49"/>
  <c r="E3" i="47"/>
  <c r="Q33" i="1" s="1"/>
  <c r="C31" i="95"/>
  <c r="C30" i="95"/>
  <c r="C29" i="95"/>
  <c r="C11" i="95"/>
  <c r="D31" i="95"/>
  <c r="D30" i="95"/>
  <c r="D29" i="95"/>
  <c r="D11" i="95"/>
  <c r="E31" i="95"/>
  <c r="E30" i="95"/>
  <c r="E29" i="95"/>
  <c r="E11" i="95"/>
  <c r="F31" i="95"/>
  <c r="F30" i="95"/>
  <c r="F29" i="95"/>
  <c r="F11" i="95"/>
  <c r="G31" i="95"/>
  <c r="G30" i="95"/>
  <c r="G29" i="95"/>
  <c r="G11" i="95"/>
  <c r="H31" i="95"/>
  <c r="H30" i="95"/>
  <c r="H29" i="95"/>
  <c r="H11" i="95"/>
  <c r="I31" i="95"/>
  <c r="I30" i="95"/>
  <c r="I29" i="95"/>
  <c r="I11" i="95"/>
  <c r="J31" i="95"/>
  <c r="J30" i="95"/>
  <c r="J29" i="95"/>
  <c r="J11" i="95"/>
  <c r="K31" i="95"/>
  <c r="K30" i="95"/>
  <c r="K29" i="95"/>
  <c r="K11" i="95"/>
  <c r="L31" i="95"/>
  <c r="L30" i="95"/>
  <c r="L29" i="95"/>
  <c r="L11" i="95"/>
  <c r="M31" i="95"/>
  <c r="M30" i="95"/>
  <c r="M29" i="95"/>
  <c r="M11" i="95"/>
  <c r="N31" i="95"/>
  <c r="N30" i="95"/>
  <c r="N29" i="95"/>
  <c r="N11" i="95"/>
  <c r="C32" i="95"/>
  <c r="D32" i="95"/>
  <c r="E32" i="95"/>
  <c r="F32" i="95"/>
  <c r="G32" i="95"/>
  <c r="H32" i="95"/>
  <c r="I32" i="95"/>
  <c r="J32" i="95"/>
  <c r="K32" i="95"/>
  <c r="L32" i="95"/>
  <c r="M32" i="95"/>
  <c r="N32" i="95"/>
  <c r="C21" i="95"/>
  <c r="D21" i="95"/>
  <c r="E21" i="95"/>
  <c r="F21" i="95"/>
  <c r="G27" i="95"/>
  <c r="G25" i="95"/>
  <c r="G26" i="95" s="1"/>
  <c r="G21" i="95"/>
  <c r="H27" i="95"/>
  <c r="H25" i="95"/>
  <c r="H26" i="95" s="1"/>
  <c r="H21" i="95"/>
  <c r="I27" i="95"/>
  <c r="I25" i="95"/>
  <c r="I26" i="95" s="1"/>
  <c r="I21" i="95"/>
  <c r="J27" i="95"/>
  <c r="J25" i="95"/>
  <c r="J26" i="95" s="1"/>
  <c r="J21" i="95"/>
  <c r="K27" i="95"/>
  <c r="K25" i="95"/>
  <c r="K26" i="95" s="1"/>
  <c r="K21" i="95"/>
  <c r="L27" i="95"/>
  <c r="L25" i="95"/>
  <c r="L26" i="95" s="1"/>
  <c r="L21" i="95"/>
  <c r="M27" i="95"/>
  <c r="M25" i="95"/>
  <c r="M26" i="95" s="1"/>
  <c r="M21" i="95"/>
  <c r="N27" i="95"/>
  <c r="N25" i="95"/>
  <c r="N26" i="95" s="1"/>
  <c r="N21" i="95"/>
  <c r="C22" i="95"/>
  <c r="D22" i="95"/>
  <c r="E22" i="95"/>
  <c r="F22" i="95"/>
  <c r="G22" i="95"/>
  <c r="H22" i="95"/>
  <c r="I22" i="95"/>
  <c r="J22" i="95"/>
  <c r="K22" i="95"/>
  <c r="L22" i="95"/>
  <c r="M22" i="95"/>
  <c r="N22" i="95"/>
  <c r="C37" i="95"/>
  <c r="D37" i="95"/>
  <c r="E37" i="95"/>
  <c r="F37" i="95"/>
  <c r="G37" i="95"/>
  <c r="H37" i="95"/>
  <c r="I37" i="95"/>
  <c r="J37" i="95"/>
  <c r="K37" i="95"/>
  <c r="L37" i="95"/>
  <c r="M37" i="95"/>
  <c r="N37" i="95"/>
  <c r="C41" i="95"/>
  <c r="C39" i="95"/>
  <c r="D41" i="95"/>
  <c r="D39" i="95"/>
  <c r="E41" i="95"/>
  <c r="E39" i="95"/>
  <c r="F41" i="95"/>
  <c r="F39" i="95"/>
  <c r="G41" i="95"/>
  <c r="G60" i="95" s="1"/>
  <c r="G39" i="95"/>
  <c r="H41" i="95"/>
  <c r="H39" i="95"/>
  <c r="I41" i="95"/>
  <c r="I60" i="95" s="1"/>
  <c r="I39" i="95"/>
  <c r="J41" i="95"/>
  <c r="J60" i="95" s="1"/>
  <c r="J39" i="95"/>
  <c r="K41" i="95"/>
  <c r="K60" i="95" s="1"/>
  <c r="K39" i="95"/>
  <c r="L41" i="95"/>
  <c r="L60" i="95" s="1"/>
  <c r="L39" i="95"/>
  <c r="M41" i="95"/>
  <c r="M60" i="95" s="1"/>
  <c r="M39" i="95"/>
  <c r="N41" i="95"/>
  <c r="N60" i="95" s="1"/>
  <c r="N39" i="95"/>
  <c r="C31" i="94"/>
  <c r="C30" i="94"/>
  <c r="C11" i="94"/>
  <c r="D31" i="94"/>
  <c r="D30" i="94"/>
  <c r="D29" i="94"/>
  <c r="D11" i="94"/>
  <c r="E31" i="94"/>
  <c r="E30" i="94"/>
  <c r="E29" i="94"/>
  <c r="E11" i="94"/>
  <c r="F31" i="94"/>
  <c r="F30" i="94"/>
  <c r="F29" i="94"/>
  <c r="F11" i="94"/>
  <c r="G31" i="94"/>
  <c r="G30" i="94"/>
  <c r="G29" i="94"/>
  <c r="G11" i="94"/>
  <c r="H31" i="94"/>
  <c r="H30" i="94"/>
  <c r="H29" i="94"/>
  <c r="H11" i="94"/>
  <c r="I31" i="94"/>
  <c r="I30" i="94"/>
  <c r="I29" i="94"/>
  <c r="I11" i="94"/>
  <c r="J31" i="94"/>
  <c r="J30" i="94"/>
  <c r="J29" i="94"/>
  <c r="J11" i="94"/>
  <c r="K31" i="94"/>
  <c r="K30" i="94"/>
  <c r="K29" i="94"/>
  <c r="K11" i="94"/>
  <c r="L31" i="94"/>
  <c r="L30" i="94"/>
  <c r="L29" i="94"/>
  <c r="L11" i="94"/>
  <c r="M31" i="94"/>
  <c r="M30" i="94"/>
  <c r="M29" i="94"/>
  <c r="M11" i="94"/>
  <c r="N31" i="94"/>
  <c r="N30" i="94"/>
  <c r="N29" i="94"/>
  <c r="N11" i="94"/>
  <c r="C32" i="94"/>
  <c r="D32" i="94"/>
  <c r="E32" i="94"/>
  <c r="F32" i="94"/>
  <c r="G32" i="94"/>
  <c r="H32" i="94"/>
  <c r="I32" i="94"/>
  <c r="J32" i="94"/>
  <c r="K32" i="94"/>
  <c r="L32" i="94"/>
  <c r="M32" i="94"/>
  <c r="N32" i="94"/>
  <c r="C21" i="94"/>
  <c r="D21" i="94"/>
  <c r="E21" i="94"/>
  <c r="F21" i="94"/>
  <c r="G27" i="94"/>
  <c r="G25" i="94"/>
  <c r="G26" i="94" s="1"/>
  <c r="G21" i="94"/>
  <c r="H27" i="94"/>
  <c r="H25" i="94"/>
  <c r="H26" i="94" s="1"/>
  <c r="H21" i="94"/>
  <c r="I27" i="94"/>
  <c r="I25" i="94"/>
  <c r="I26" i="94" s="1"/>
  <c r="I21" i="94"/>
  <c r="J27" i="94"/>
  <c r="J25" i="94"/>
  <c r="J26" i="94" s="1"/>
  <c r="J21" i="94"/>
  <c r="K27" i="94"/>
  <c r="K25" i="94"/>
  <c r="K26" i="94" s="1"/>
  <c r="K21" i="94"/>
  <c r="L27" i="94"/>
  <c r="L25" i="94"/>
  <c r="L26" i="94" s="1"/>
  <c r="L21" i="94"/>
  <c r="M27" i="94"/>
  <c r="M25" i="94"/>
  <c r="M26" i="94" s="1"/>
  <c r="M21" i="94"/>
  <c r="N27" i="94"/>
  <c r="N25" i="94"/>
  <c r="N26" i="94" s="1"/>
  <c r="N21" i="94"/>
  <c r="C22" i="94"/>
  <c r="D22" i="94"/>
  <c r="E22" i="94"/>
  <c r="F22" i="94"/>
  <c r="G22" i="94"/>
  <c r="H22" i="94"/>
  <c r="I22" i="94"/>
  <c r="J22" i="94"/>
  <c r="K22" i="94"/>
  <c r="L22" i="94"/>
  <c r="M22" i="94"/>
  <c r="N22" i="94"/>
  <c r="C37" i="94"/>
  <c r="D37" i="94"/>
  <c r="E37" i="94"/>
  <c r="F37" i="94"/>
  <c r="G37" i="94"/>
  <c r="H37" i="94"/>
  <c r="I37" i="94"/>
  <c r="J37" i="94"/>
  <c r="K37" i="94"/>
  <c r="L37" i="94"/>
  <c r="M37" i="94"/>
  <c r="N37" i="94"/>
  <c r="C41" i="94"/>
  <c r="C39" i="94"/>
  <c r="D41" i="94"/>
  <c r="D39" i="94"/>
  <c r="E41" i="94"/>
  <c r="E39" i="94"/>
  <c r="F41" i="94"/>
  <c r="F39" i="94"/>
  <c r="G41" i="94"/>
  <c r="G39" i="94"/>
  <c r="H41" i="94"/>
  <c r="H39" i="94"/>
  <c r="I41" i="94"/>
  <c r="I39" i="94"/>
  <c r="J41" i="94"/>
  <c r="J39" i="94"/>
  <c r="K41" i="94"/>
  <c r="K60" i="94" s="1"/>
  <c r="K39" i="94"/>
  <c r="L41" i="94"/>
  <c r="L60" i="94" s="1"/>
  <c r="L39" i="94"/>
  <c r="M41" i="94"/>
  <c r="M60" i="94" s="1"/>
  <c r="M39" i="94"/>
  <c r="N41" i="94"/>
  <c r="N60" i="94" s="1"/>
  <c r="N39" i="94"/>
  <c r="I56" i="94"/>
  <c r="C56" i="94"/>
  <c r="C60" i="94" s="1"/>
  <c r="D56" i="94"/>
  <c r="E56" i="94"/>
  <c r="F56" i="94"/>
  <c r="G56" i="94"/>
  <c r="H56" i="94"/>
  <c r="J56" i="94"/>
  <c r="G38" i="47"/>
  <c r="D37" i="47"/>
  <c r="H40" i="1" s="1"/>
  <c r="I46" i="47"/>
  <c r="J46" i="47"/>
  <c r="I38" i="47"/>
  <c r="J38" i="47"/>
  <c r="L38" i="47"/>
  <c r="M38" i="47"/>
  <c r="N38" i="47"/>
  <c r="J50" i="67"/>
  <c r="J51" i="67"/>
  <c r="H50" i="67"/>
  <c r="H51" i="67"/>
  <c r="G50" i="67"/>
  <c r="G51" i="67"/>
  <c r="F50" i="67"/>
  <c r="F51" i="67"/>
  <c r="E50" i="67"/>
  <c r="E51" i="67"/>
  <c r="D50" i="67"/>
  <c r="D51" i="67"/>
  <c r="C51" i="67"/>
  <c r="I50" i="67"/>
  <c r="I51" i="67"/>
  <c r="J44" i="67"/>
  <c r="J45" i="67"/>
  <c r="H44" i="67"/>
  <c r="H45" i="67"/>
  <c r="G44" i="67"/>
  <c r="G45" i="67"/>
  <c r="F44" i="67"/>
  <c r="F45" i="67"/>
  <c r="E44" i="67"/>
  <c r="E45" i="67"/>
  <c r="D44" i="67"/>
  <c r="D45" i="67"/>
  <c r="C44" i="67"/>
  <c r="C45" i="67"/>
  <c r="I44" i="67"/>
  <c r="I45" i="67"/>
  <c r="G63" i="60"/>
  <c r="C60" i="60"/>
  <c r="H63" i="6"/>
  <c r="I48" i="2"/>
  <c r="I49" i="2"/>
  <c r="C59" i="89"/>
  <c r="C62" i="89"/>
  <c r="C3" i="89"/>
  <c r="C31" i="89"/>
  <c r="C30" i="89"/>
  <c r="C29" i="89"/>
  <c r="C11" i="89"/>
  <c r="D31" i="89"/>
  <c r="D30" i="89"/>
  <c r="D29" i="89"/>
  <c r="D11" i="89"/>
  <c r="E31" i="89"/>
  <c r="E30" i="89"/>
  <c r="E29" i="89"/>
  <c r="E11" i="89"/>
  <c r="F31" i="89"/>
  <c r="F30" i="89"/>
  <c r="F29" i="89"/>
  <c r="F11" i="89"/>
  <c r="G31" i="89"/>
  <c r="G30" i="89"/>
  <c r="G29" i="89"/>
  <c r="G11" i="89"/>
  <c r="H31" i="89"/>
  <c r="H30" i="89"/>
  <c r="H29" i="89"/>
  <c r="H11" i="89"/>
  <c r="I31" i="89"/>
  <c r="I30" i="89"/>
  <c r="I29" i="89"/>
  <c r="I11" i="89"/>
  <c r="J31" i="89"/>
  <c r="J29" i="89"/>
  <c r="J11" i="89"/>
  <c r="K31" i="89"/>
  <c r="K30" i="89"/>
  <c r="K29" i="89"/>
  <c r="K11" i="89"/>
  <c r="L31" i="89"/>
  <c r="L30" i="89"/>
  <c r="L29" i="89"/>
  <c r="L11" i="89"/>
  <c r="M31" i="89"/>
  <c r="M30" i="89"/>
  <c r="M29" i="89"/>
  <c r="M11" i="89"/>
  <c r="N31" i="89"/>
  <c r="N30" i="89"/>
  <c r="N29" i="89"/>
  <c r="N11" i="89"/>
  <c r="C32" i="89"/>
  <c r="D32" i="89"/>
  <c r="E32" i="89"/>
  <c r="F32" i="89"/>
  <c r="G32" i="89"/>
  <c r="H32" i="89"/>
  <c r="I32" i="89"/>
  <c r="J32" i="89"/>
  <c r="K32" i="89"/>
  <c r="L32" i="89"/>
  <c r="M32" i="89"/>
  <c r="N32" i="89"/>
  <c r="C21" i="89"/>
  <c r="D21" i="89"/>
  <c r="E21" i="89"/>
  <c r="F21" i="89"/>
  <c r="G21" i="89"/>
  <c r="H21" i="89"/>
  <c r="I21" i="89"/>
  <c r="J21" i="89"/>
  <c r="K21" i="89"/>
  <c r="L21" i="89"/>
  <c r="M21" i="89"/>
  <c r="N21" i="89"/>
  <c r="C22" i="89"/>
  <c r="D22" i="89"/>
  <c r="E22" i="89"/>
  <c r="G22" i="89"/>
  <c r="H22" i="89"/>
  <c r="I22" i="89"/>
  <c r="J22" i="89"/>
  <c r="K22" i="89"/>
  <c r="L22" i="89"/>
  <c r="M22" i="89"/>
  <c r="N22" i="89"/>
  <c r="C37" i="89"/>
  <c r="D37" i="89"/>
  <c r="E37" i="89"/>
  <c r="F37" i="89"/>
  <c r="G37" i="89"/>
  <c r="H37" i="89"/>
  <c r="I37" i="89"/>
  <c r="J37" i="89"/>
  <c r="K37" i="89"/>
  <c r="L37" i="89"/>
  <c r="M37" i="89"/>
  <c r="N37" i="89"/>
  <c r="C41" i="89"/>
  <c r="C39" i="89"/>
  <c r="D41" i="89"/>
  <c r="D39" i="89"/>
  <c r="E41" i="89"/>
  <c r="E23" i="89" s="1"/>
  <c r="E39" i="89"/>
  <c r="F41" i="89"/>
  <c r="F39" i="89"/>
  <c r="G41" i="89"/>
  <c r="G39" i="89"/>
  <c r="H41" i="89"/>
  <c r="H39" i="89"/>
  <c r="I41" i="89"/>
  <c r="I39" i="89"/>
  <c r="J39" i="89"/>
  <c r="K41" i="89"/>
  <c r="K39" i="89"/>
  <c r="L41" i="89"/>
  <c r="L39" i="89"/>
  <c r="M41" i="89"/>
  <c r="M39" i="89"/>
  <c r="N41" i="89"/>
  <c r="N39" i="89"/>
  <c r="C56" i="89"/>
  <c r="D56" i="89"/>
  <c r="E56" i="89"/>
  <c r="E60" i="89" s="1"/>
  <c r="F60" i="89"/>
  <c r="V13" i="38"/>
  <c r="C141" i="38"/>
  <c r="J50" i="15"/>
  <c r="I50" i="15"/>
  <c r="I51" i="15"/>
  <c r="H50" i="15"/>
  <c r="H51" i="15"/>
  <c r="G50" i="15"/>
  <c r="G51" i="15"/>
  <c r="F50" i="15"/>
  <c r="F51" i="15"/>
  <c r="E50" i="15"/>
  <c r="E51" i="15"/>
  <c r="D50" i="15"/>
  <c r="D51" i="15"/>
  <c r="C51" i="15"/>
  <c r="C50" i="15"/>
  <c r="J135" i="16"/>
  <c r="J36" i="16"/>
  <c r="J36" i="15"/>
  <c r="F14" i="87" s="1"/>
  <c r="J135" i="15"/>
  <c r="I38" i="14"/>
  <c r="J112" i="17"/>
  <c r="J89" i="17"/>
  <c r="Q61" i="1"/>
  <c r="C37" i="84"/>
  <c r="O61" i="1"/>
  <c r="M61" i="1"/>
  <c r="K61" i="1"/>
  <c r="C50" i="84"/>
  <c r="C48" i="84"/>
  <c r="C46" i="84"/>
  <c r="N110" i="84"/>
  <c r="M110" i="84"/>
  <c r="L110" i="84"/>
  <c r="L38" i="84" s="1"/>
  <c r="K110" i="84"/>
  <c r="J110" i="84"/>
  <c r="I110" i="84"/>
  <c r="H110" i="84"/>
  <c r="H38" i="84" s="1"/>
  <c r="G110" i="84"/>
  <c r="G38" i="84" s="1"/>
  <c r="F110" i="84"/>
  <c r="E110" i="84"/>
  <c r="E38" i="84" s="1"/>
  <c r="D110" i="84"/>
  <c r="D38" i="84" s="1"/>
  <c r="C110" i="84"/>
  <c r="C38" i="84" s="1"/>
  <c r="J108" i="84"/>
  <c r="I108" i="84"/>
  <c r="H108" i="84"/>
  <c r="G108" i="84"/>
  <c r="F108" i="84"/>
  <c r="E108" i="84"/>
  <c r="D108" i="84"/>
  <c r="C108" i="84"/>
  <c r="N84" i="84"/>
  <c r="N86" i="84" s="1"/>
  <c r="N92" i="84" s="1"/>
  <c r="M84" i="84"/>
  <c r="M86" i="84" s="1"/>
  <c r="M92" i="84" s="1"/>
  <c r="L84" i="84"/>
  <c r="L86" i="84" s="1"/>
  <c r="L92" i="84" s="1"/>
  <c r="K84" i="84"/>
  <c r="K86" i="84" s="1"/>
  <c r="K92" i="84" s="1"/>
  <c r="J84" i="84"/>
  <c r="J86" i="84" s="1"/>
  <c r="I84" i="84"/>
  <c r="I86" i="84" s="1"/>
  <c r="H84" i="84"/>
  <c r="H86" i="84" s="1"/>
  <c r="G84" i="84"/>
  <c r="G86" i="84" s="1"/>
  <c r="F84" i="84"/>
  <c r="F86" i="84" s="1"/>
  <c r="E84" i="84"/>
  <c r="E86" i="84" s="1"/>
  <c r="D84" i="84"/>
  <c r="D86" i="84" s="1"/>
  <c r="C84" i="84"/>
  <c r="C86" i="84" s="1"/>
  <c r="N78" i="84"/>
  <c r="N13" i="84" s="1"/>
  <c r="N16" i="84" s="1"/>
  <c r="M78" i="84"/>
  <c r="M13" i="84" s="1"/>
  <c r="M16" i="84" s="1"/>
  <c r="L78" i="84"/>
  <c r="L13" i="84" s="1"/>
  <c r="L16" i="84" s="1"/>
  <c r="K78" i="84"/>
  <c r="K13" i="84" s="1"/>
  <c r="K16" i="84" s="1"/>
  <c r="N76" i="84"/>
  <c r="M76" i="84"/>
  <c r="L76" i="84"/>
  <c r="K76" i="84"/>
  <c r="J76" i="84"/>
  <c r="J78" i="84" s="1"/>
  <c r="J13" i="84" s="1"/>
  <c r="J16" i="84" s="1"/>
  <c r="I76" i="84"/>
  <c r="I78" i="84" s="1"/>
  <c r="I13" i="84" s="1"/>
  <c r="I16" i="84" s="1"/>
  <c r="H76" i="84"/>
  <c r="H78" i="84" s="1"/>
  <c r="H13" i="84" s="1"/>
  <c r="H16" i="84" s="1"/>
  <c r="G76" i="84"/>
  <c r="G78" i="84" s="1"/>
  <c r="G13" i="84" s="1"/>
  <c r="G16" i="84" s="1"/>
  <c r="F76" i="84"/>
  <c r="F78" i="84" s="1"/>
  <c r="F13" i="84" s="1"/>
  <c r="F16" i="84" s="1"/>
  <c r="E76" i="84"/>
  <c r="E78" i="84" s="1"/>
  <c r="E13" i="84" s="1"/>
  <c r="E16" i="84" s="1"/>
  <c r="D76" i="84"/>
  <c r="D78" i="84" s="1"/>
  <c r="D13" i="84" s="1"/>
  <c r="D16" i="84" s="1"/>
  <c r="C76" i="84"/>
  <c r="C78" i="84" s="1"/>
  <c r="C13" i="84" s="1"/>
  <c r="C16" i="84" s="1"/>
  <c r="N69" i="84"/>
  <c r="M69" i="84"/>
  <c r="L69" i="84"/>
  <c r="L12" i="84" s="1"/>
  <c r="K69" i="84"/>
  <c r="K12" i="84" s="1"/>
  <c r="J69" i="84"/>
  <c r="I69" i="84"/>
  <c r="H69" i="84"/>
  <c r="G69" i="84"/>
  <c r="F69" i="84"/>
  <c r="F12" i="84" s="1"/>
  <c r="E69" i="84"/>
  <c r="E12" i="84" s="1"/>
  <c r="D69" i="84"/>
  <c r="D12" i="84" s="1"/>
  <c r="C69" i="84"/>
  <c r="C12" i="84" s="1"/>
  <c r="N60" i="84"/>
  <c r="M60" i="84"/>
  <c r="L60" i="84"/>
  <c r="K60" i="84"/>
  <c r="J60" i="84"/>
  <c r="I60" i="84"/>
  <c r="H60" i="84"/>
  <c r="G60" i="84"/>
  <c r="F60" i="84"/>
  <c r="E60" i="84"/>
  <c r="D60" i="84"/>
  <c r="C60" i="84"/>
  <c r="N57" i="84"/>
  <c r="M57" i="84"/>
  <c r="L57" i="84"/>
  <c r="K57" i="84"/>
  <c r="J57" i="84"/>
  <c r="I57" i="84"/>
  <c r="H57" i="84"/>
  <c r="G57" i="84"/>
  <c r="F57" i="84"/>
  <c r="E57" i="84"/>
  <c r="D57" i="84"/>
  <c r="C57" i="84"/>
  <c r="N53" i="84"/>
  <c r="L53" i="84"/>
  <c r="J53" i="84"/>
  <c r="H53" i="84"/>
  <c r="G53" i="84"/>
  <c r="F53" i="84"/>
  <c r="E53" i="84"/>
  <c r="D53" i="84"/>
  <c r="C53" i="84"/>
  <c r="K45" i="84"/>
  <c r="N39" i="84"/>
  <c r="N47" i="84" s="1"/>
  <c r="M39" i="84"/>
  <c r="M47" i="84" s="1"/>
  <c r="L39" i="84"/>
  <c r="L47" i="84" s="1"/>
  <c r="K39" i="84"/>
  <c r="K47" i="84" s="1"/>
  <c r="J39" i="84"/>
  <c r="J47" i="84" s="1"/>
  <c r="I39" i="84"/>
  <c r="I47" i="84" s="1"/>
  <c r="H39" i="84"/>
  <c r="H40" i="84" s="1"/>
  <c r="G39" i="84"/>
  <c r="G47" i="84" s="1"/>
  <c r="F39" i="84"/>
  <c r="F47" i="84" s="1"/>
  <c r="E39" i="84"/>
  <c r="E47" i="84" s="1"/>
  <c r="D39" i="84"/>
  <c r="D47" i="84" s="1"/>
  <c r="C39" i="84"/>
  <c r="C40" i="84" s="1"/>
  <c r="N38" i="84"/>
  <c r="M38" i="84"/>
  <c r="K38" i="84"/>
  <c r="J38" i="84"/>
  <c r="I38" i="84"/>
  <c r="F38" i="84"/>
  <c r="N35" i="84"/>
  <c r="N45" i="84" s="1"/>
  <c r="M35" i="84"/>
  <c r="M45" i="84" s="1"/>
  <c r="L35" i="84"/>
  <c r="L45" i="84" s="1"/>
  <c r="K35" i="84"/>
  <c r="K18" i="84" s="1"/>
  <c r="N34" i="84"/>
  <c r="M34" i="84"/>
  <c r="L34" i="84"/>
  <c r="K34" i="84"/>
  <c r="N32" i="84"/>
  <c r="M32" i="84"/>
  <c r="L32" i="84"/>
  <c r="K32" i="84"/>
  <c r="J32" i="84"/>
  <c r="I32" i="84"/>
  <c r="H32" i="84"/>
  <c r="G32" i="84"/>
  <c r="F32" i="84"/>
  <c r="E32" i="84"/>
  <c r="D32" i="84"/>
  <c r="C32" i="84"/>
  <c r="N12" i="84"/>
  <c r="M12" i="84"/>
  <c r="J12" i="84"/>
  <c r="I12" i="84"/>
  <c r="H12" i="84"/>
  <c r="G12" i="84"/>
  <c r="N11" i="84"/>
  <c r="M11" i="84"/>
  <c r="L11" i="84"/>
  <c r="K11" i="84"/>
  <c r="J11" i="84"/>
  <c r="I11" i="84"/>
  <c r="H11" i="84"/>
  <c r="G11" i="84"/>
  <c r="F11" i="84"/>
  <c r="E11" i="84"/>
  <c r="D11" i="84"/>
  <c r="C11" i="84"/>
  <c r="N10" i="84"/>
  <c r="M10" i="84"/>
  <c r="L10" i="84"/>
  <c r="K10" i="84"/>
  <c r="J10" i="84"/>
  <c r="I10" i="84"/>
  <c r="H10" i="84"/>
  <c r="G10" i="84"/>
  <c r="F10" i="84"/>
  <c r="E10" i="84"/>
  <c r="D10" i="84"/>
  <c r="C10" i="84"/>
  <c r="N8" i="84"/>
  <c r="M8" i="84"/>
  <c r="L8" i="84"/>
  <c r="K8" i="84"/>
  <c r="J8" i="84"/>
  <c r="I8" i="84"/>
  <c r="H8" i="84"/>
  <c r="G8" i="84"/>
  <c r="F8" i="84"/>
  <c r="E8" i="84"/>
  <c r="D8" i="84"/>
  <c r="C8" i="84"/>
  <c r="N7" i="84"/>
  <c r="N29" i="84" s="1"/>
  <c r="M7" i="84"/>
  <c r="M29" i="84" s="1"/>
  <c r="L7" i="84"/>
  <c r="L9" i="84" s="1"/>
  <c r="K7" i="84"/>
  <c r="K29" i="84" s="1"/>
  <c r="J7" i="84"/>
  <c r="J29" i="84" s="1"/>
  <c r="I7" i="84"/>
  <c r="I29" i="84" s="1"/>
  <c r="H7" i="84"/>
  <c r="H29" i="84" s="1"/>
  <c r="G7" i="84"/>
  <c r="G29" i="84" s="1"/>
  <c r="F7" i="84"/>
  <c r="E7" i="84"/>
  <c r="E9" i="84" s="1"/>
  <c r="D7" i="84"/>
  <c r="D29" i="84" s="1"/>
  <c r="C7" i="84"/>
  <c r="C29" i="84" s="1"/>
  <c r="B3" i="84" a="1"/>
  <c r="B3" i="84" s="1"/>
  <c r="F61" i="1" s="1"/>
  <c r="B2" i="84"/>
  <c r="C61" i="95" l="1"/>
  <c r="J20" i="7"/>
  <c r="J25" i="7" s="1"/>
  <c r="J26" i="7" s="1"/>
  <c r="J17" i="7"/>
  <c r="C57" i="97"/>
  <c r="H60" i="97"/>
  <c r="C61" i="97" s="1"/>
  <c r="C26" i="97"/>
  <c r="D26" i="97"/>
  <c r="E26" i="97"/>
  <c r="F26" i="97"/>
  <c r="G58" i="97"/>
  <c r="C59" i="97" s="1"/>
  <c r="D3" i="97"/>
  <c r="E3" i="97"/>
  <c r="H60" i="95"/>
  <c r="F60" i="95"/>
  <c r="F24" i="95"/>
  <c r="F27" i="95" s="1"/>
  <c r="F23" i="95"/>
  <c r="F25" i="95" s="1"/>
  <c r="F26" i="95" s="1"/>
  <c r="E60" i="95"/>
  <c r="E24" i="95"/>
  <c r="E27" i="95" s="1"/>
  <c r="E23" i="95"/>
  <c r="E25" i="95" s="1"/>
  <c r="E26" i="95" s="1"/>
  <c r="D60" i="95"/>
  <c r="D24" i="95"/>
  <c r="D27" i="95" s="1"/>
  <c r="D23" i="95"/>
  <c r="D25" i="95" s="1"/>
  <c r="D26" i="95" s="1"/>
  <c r="C60" i="95"/>
  <c r="C24" i="95"/>
  <c r="C27" i="95" s="1"/>
  <c r="C23" i="95"/>
  <c r="C25" i="95" s="1"/>
  <c r="C26" i="95" s="1"/>
  <c r="J60" i="94"/>
  <c r="C61" i="94" s="1"/>
  <c r="I60" i="94"/>
  <c r="H60" i="94"/>
  <c r="G60" i="94"/>
  <c r="F60" i="94"/>
  <c r="F24" i="94"/>
  <c r="F27" i="94" s="1"/>
  <c r="F23" i="94"/>
  <c r="F25" i="94" s="1"/>
  <c r="F26" i="94" s="1"/>
  <c r="E60" i="94"/>
  <c r="E24" i="94"/>
  <c r="E27" i="94" s="1"/>
  <c r="E23" i="94"/>
  <c r="E25" i="94" s="1"/>
  <c r="E26" i="94" s="1"/>
  <c r="D60" i="94"/>
  <c r="D24" i="94"/>
  <c r="D27" i="94" s="1"/>
  <c r="D23" i="94"/>
  <c r="D25" i="94" s="1"/>
  <c r="D26" i="94" s="1"/>
  <c r="C24" i="94"/>
  <c r="C27" i="94" s="1"/>
  <c r="C23" i="94"/>
  <c r="C25" i="94" s="1"/>
  <c r="C26" i="94" s="1"/>
  <c r="D39" i="47"/>
  <c r="K33" i="1" s="1"/>
  <c r="C142" i="38"/>
  <c r="C40" i="38"/>
  <c r="N23" i="89"/>
  <c r="N25" i="89" s="1"/>
  <c r="N26" i="89" s="1"/>
  <c r="N24" i="89"/>
  <c r="N27" i="89" s="1"/>
  <c r="N60" i="89"/>
  <c r="M23" i="89"/>
  <c r="M25" i="89" s="1"/>
  <c r="M26" i="89" s="1"/>
  <c r="M24" i="89"/>
  <c r="M27" i="89" s="1"/>
  <c r="M60" i="89"/>
  <c r="L23" i="89"/>
  <c r="L25" i="89" s="1"/>
  <c r="L26" i="89" s="1"/>
  <c r="L24" i="89"/>
  <c r="L27" i="89" s="1"/>
  <c r="L60" i="89"/>
  <c r="K23" i="89"/>
  <c r="K25" i="89" s="1"/>
  <c r="K24" i="89"/>
  <c r="K27" i="89" s="1"/>
  <c r="K60" i="89"/>
  <c r="J23" i="89"/>
  <c r="J25" i="89" s="1"/>
  <c r="J24" i="89"/>
  <c r="J27" i="89" s="1"/>
  <c r="J60" i="89"/>
  <c r="I23" i="89"/>
  <c r="I25" i="89" s="1"/>
  <c r="I24" i="89"/>
  <c r="I27" i="89" s="1"/>
  <c r="I60" i="89"/>
  <c r="H23" i="89"/>
  <c r="H25" i="89" s="1"/>
  <c r="H24" i="89"/>
  <c r="H27" i="89" s="1"/>
  <c r="H60" i="89"/>
  <c r="C61" i="89" s="1"/>
  <c r="G23" i="89"/>
  <c r="G25" i="89" s="1"/>
  <c r="G24" i="89"/>
  <c r="G27" i="89" s="1"/>
  <c r="G60" i="89"/>
  <c r="F23" i="89"/>
  <c r="F24" i="89"/>
  <c r="D60" i="89"/>
  <c r="C60" i="89"/>
  <c r="C42" i="89"/>
  <c r="F27" i="89"/>
  <c r="F25" i="89"/>
  <c r="F26" i="89" s="1"/>
  <c r="E24" i="89"/>
  <c r="E27" i="89" s="1"/>
  <c r="E25" i="89"/>
  <c r="E26" i="89" s="1"/>
  <c r="D24" i="89"/>
  <c r="D27" i="89" s="1"/>
  <c r="D23" i="89"/>
  <c r="D25" i="89" s="1"/>
  <c r="D26" i="89" s="1"/>
  <c r="C24" i="89"/>
  <c r="C27" i="89" s="1"/>
  <c r="C23" i="89"/>
  <c r="C25" i="89" s="1"/>
  <c r="C26" i="89" s="1"/>
  <c r="S61" i="1"/>
  <c r="L18" i="84"/>
  <c r="M18" i="84"/>
  <c r="N18" i="84"/>
  <c r="L30" i="84"/>
  <c r="L36" i="84"/>
  <c r="L49" i="84" s="1"/>
  <c r="F29" i="84"/>
  <c r="M36" i="84"/>
  <c r="M49" i="84" s="1"/>
  <c r="N36" i="84"/>
  <c r="N49" i="84" s="1"/>
  <c r="N25" i="84"/>
  <c r="N23" i="84"/>
  <c r="N24" i="84" s="1"/>
  <c r="N19" i="84"/>
  <c r="D25" i="84"/>
  <c r="D23" i="84"/>
  <c r="D19" i="84"/>
  <c r="G25" i="84"/>
  <c r="G23" i="84"/>
  <c r="G19" i="84"/>
  <c r="C33" i="84"/>
  <c r="C92" i="84"/>
  <c r="C94" i="84" s="1"/>
  <c r="C25" i="84"/>
  <c r="C23" i="84"/>
  <c r="C24" i="84" s="1"/>
  <c r="C19" i="84"/>
  <c r="N20" i="84"/>
  <c r="H25" i="84"/>
  <c r="H23" i="84"/>
  <c r="H19" i="84"/>
  <c r="D33" i="84"/>
  <c r="D92" i="84"/>
  <c r="D94" i="84" s="1"/>
  <c r="K36" i="84"/>
  <c r="K49" i="84" s="1"/>
  <c r="I25" i="84"/>
  <c r="I23" i="84"/>
  <c r="I19" i="84"/>
  <c r="E92" i="84"/>
  <c r="E94" i="84" s="1"/>
  <c r="E33" i="84"/>
  <c r="K25" i="84"/>
  <c r="K23" i="84"/>
  <c r="K24" i="84" s="1"/>
  <c r="K19" i="84"/>
  <c r="K20" i="84" s="1"/>
  <c r="J25" i="84"/>
  <c r="J23" i="84"/>
  <c r="J24" i="84" s="1"/>
  <c r="J19" i="84"/>
  <c r="F33" i="84"/>
  <c r="F92" i="84"/>
  <c r="F94" i="84" s="1"/>
  <c r="M25" i="84"/>
  <c r="M23" i="84"/>
  <c r="M24" i="84" s="1"/>
  <c r="M19" i="84"/>
  <c r="M20" i="84" s="1"/>
  <c r="E23" i="84"/>
  <c r="E25" i="84"/>
  <c r="E19" i="84"/>
  <c r="F25" i="84"/>
  <c r="F23" i="84"/>
  <c r="F19" i="84"/>
  <c r="G33" i="84"/>
  <c r="G92" i="84"/>
  <c r="G94" i="84" s="1"/>
  <c r="E30" i="84"/>
  <c r="H33" i="84"/>
  <c r="H92" i="84"/>
  <c r="H94" i="84" s="1"/>
  <c r="I92" i="84"/>
  <c r="I94" i="84" s="1"/>
  <c r="I33" i="84"/>
  <c r="L25" i="84"/>
  <c r="L19" i="84"/>
  <c r="L20" i="84" s="1"/>
  <c r="L23" i="84"/>
  <c r="L24" i="84" s="1"/>
  <c r="J92" i="84"/>
  <c r="J94" i="84" s="1"/>
  <c r="J33" i="84"/>
  <c r="E29" i="84"/>
  <c r="H47" i="84"/>
  <c r="I9" i="84"/>
  <c r="I30" i="84" s="1"/>
  <c r="I27" i="84"/>
  <c r="I28" i="84"/>
  <c r="L40" i="84"/>
  <c r="J9" i="84"/>
  <c r="J30" i="84" s="1"/>
  <c r="J27" i="84"/>
  <c r="J28" i="84"/>
  <c r="M40" i="84"/>
  <c r="K9" i="84"/>
  <c r="K30" i="84" s="1"/>
  <c r="K27" i="84"/>
  <c r="K28" i="84"/>
  <c r="N40" i="84"/>
  <c r="L28" i="84"/>
  <c r="M9" i="84"/>
  <c r="M30" i="84" s="1"/>
  <c r="M27" i="84"/>
  <c r="M28" i="84"/>
  <c r="D40" i="84"/>
  <c r="C47" i="84"/>
  <c r="E3" i="84"/>
  <c r="N9" i="84"/>
  <c r="N30" i="84" s="1"/>
  <c r="N27" i="84"/>
  <c r="N28" i="84"/>
  <c r="E40" i="84"/>
  <c r="L27" i="84"/>
  <c r="L29" i="84"/>
  <c r="C9" i="84"/>
  <c r="C30" i="84" s="1"/>
  <c r="C27" i="84"/>
  <c r="F40" i="84"/>
  <c r="D9" i="84"/>
  <c r="D30" i="84" s="1"/>
  <c r="D27" i="84"/>
  <c r="D28" i="84"/>
  <c r="G40" i="84"/>
  <c r="E27" i="84"/>
  <c r="F9" i="84"/>
  <c r="F30" i="84" s="1"/>
  <c r="F27" i="84"/>
  <c r="F28" i="84"/>
  <c r="I40" i="84"/>
  <c r="E28" i="84"/>
  <c r="G9" i="84"/>
  <c r="G30" i="84" s="1"/>
  <c r="G27" i="84"/>
  <c r="G28" i="84"/>
  <c r="J40" i="84"/>
  <c r="H9" i="84"/>
  <c r="H30" i="84" s="1"/>
  <c r="H27" i="84"/>
  <c r="H28" i="84"/>
  <c r="K40" i="84"/>
  <c r="K26" i="89" l="1"/>
  <c r="G26" i="89"/>
  <c r="H26" i="89"/>
  <c r="I26" i="89"/>
  <c r="J26" i="89"/>
  <c r="D24" i="84"/>
  <c r="I24" i="84"/>
  <c r="D3" i="84"/>
  <c r="H24" i="84"/>
  <c r="E95" i="84"/>
  <c r="E35" i="84" s="1"/>
  <c r="E34" i="84"/>
  <c r="E36" i="84" s="1"/>
  <c r="H34" i="84"/>
  <c r="H36" i="84" s="1"/>
  <c r="H95" i="84"/>
  <c r="H35" i="84" s="1"/>
  <c r="F95" i="84"/>
  <c r="F35" i="84" s="1"/>
  <c r="F34" i="84"/>
  <c r="F36" i="84" s="1"/>
  <c r="J34" i="84"/>
  <c r="J36" i="84" s="1"/>
  <c r="J95" i="84"/>
  <c r="J35" i="84" s="1"/>
  <c r="G34" i="84"/>
  <c r="G36" i="84" s="1"/>
  <c r="G95" i="84"/>
  <c r="G35" i="84" s="1"/>
  <c r="I34" i="84"/>
  <c r="I36" i="84" s="1"/>
  <c r="I95" i="84"/>
  <c r="I35" i="84" s="1"/>
  <c r="C95" i="84"/>
  <c r="C35" i="84" s="1"/>
  <c r="C34" i="84"/>
  <c r="C36" i="84" s="1"/>
  <c r="E24" i="84"/>
  <c r="D95" i="84"/>
  <c r="D35" i="84" s="1"/>
  <c r="D34" i="84"/>
  <c r="D36" i="84" s="1"/>
  <c r="F24" i="84"/>
  <c r="G24" i="84"/>
  <c r="G18" i="84" l="1"/>
  <c r="G20" i="84" s="1"/>
  <c r="G45" i="84"/>
  <c r="J45" i="84"/>
  <c r="J18" i="84"/>
  <c r="J20" i="84" s="1"/>
  <c r="H47" i="1"/>
  <c r="D18" i="84"/>
  <c r="D20" i="84" s="1"/>
  <c r="D45" i="84"/>
  <c r="D49" i="84" s="1"/>
  <c r="E49" i="84"/>
  <c r="G49" i="84"/>
  <c r="H18" i="84"/>
  <c r="H20" i="84" s="1"/>
  <c r="H45" i="84"/>
  <c r="H49" i="84" s="1"/>
  <c r="C45" i="84"/>
  <c r="C49" i="84" s="1"/>
  <c r="C18" i="84"/>
  <c r="C20" i="84" s="1"/>
  <c r="E45" i="84"/>
  <c r="E18" i="84"/>
  <c r="E20" i="84" s="1"/>
  <c r="J49" i="84"/>
  <c r="F18" i="84"/>
  <c r="F20" i="84" s="1"/>
  <c r="F45" i="84"/>
  <c r="F49" i="84" s="1"/>
  <c r="I45" i="84"/>
  <c r="I49" i="84" s="1"/>
  <c r="I18" i="84"/>
  <c r="I20" i="84" s="1"/>
  <c r="O26" i="1"/>
  <c r="O40" i="1"/>
  <c r="D27" i="62"/>
  <c r="E27" i="62"/>
  <c r="F27" i="62"/>
  <c r="G27" i="62"/>
  <c r="H27" i="62"/>
  <c r="I27" i="62"/>
  <c r="J27" i="62"/>
  <c r="K27" i="62"/>
  <c r="L27" i="62"/>
  <c r="M27" i="62"/>
  <c r="C27" i="62"/>
  <c r="C27" i="61"/>
  <c r="D27" i="61"/>
  <c r="E27" i="61"/>
  <c r="F27" i="61"/>
  <c r="G27" i="61"/>
  <c r="H27" i="61"/>
  <c r="I27" i="61"/>
  <c r="J27" i="61"/>
  <c r="K27" i="61"/>
  <c r="L27" i="61"/>
  <c r="M27" i="61"/>
  <c r="C28" i="61"/>
  <c r="O36" i="1"/>
  <c r="D28" i="48"/>
  <c r="E28" i="48"/>
  <c r="F28" i="48"/>
  <c r="G28" i="48"/>
  <c r="H28" i="48"/>
  <c r="I28" i="48"/>
  <c r="J28" i="48"/>
  <c r="K28" i="48"/>
  <c r="L28" i="48"/>
  <c r="M28" i="48"/>
  <c r="C28" i="48"/>
  <c r="E40" i="46"/>
  <c r="F40" i="46"/>
  <c r="G40" i="46"/>
  <c r="H40" i="46"/>
  <c r="I40" i="46"/>
  <c r="K40" i="46"/>
  <c r="L40" i="46"/>
  <c r="M40" i="46"/>
  <c r="N40" i="46"/>
  <c r="D40" i="46"/>
  <c r="O60" i="1"/>
  <c r="M60" i="1"/>
  <c r="O59" i="1"/>
  <c r="M59" i="1"/>
  <c r="O58" i="1"/>
  <c r="M58" i="1"/>
  <c r="O57" i="1"/>
  <c r="M57" i="1"/>
  <c r="O56" i="1"/>
  <c r="M56" i="1"/>
  <c r="O55" i="1"/>
  <c r="M55" i="1"/>
  <c r="O53" i="1"/>
  <c r="M53" i="1"/>
  <c r="O52" i="1"/>
  <c r="M52" i="1"/>
  <c r="O50" i="1"/>
  <c r="M50" i="1"/>
  <c r="M49" i="1"/>
  <c r="O48" i="1"/>
  <c r="M48" i="1"/>
  <c r="O9" i="1"/>
  <c r="M9" i="1"/>
  <c r="O38" i="1"/>
  <c r="M38" i="1"/>
  <c r="O25" i="1"/>
  <c r="M25" i="1"/>
  <c r="O31" i="1"/>
  <c r="M31" i="1"/>
  <c r="O35" i="1"/>
  <c r="M35" i="1"/>
  <c r="O20" i="1"/>
  <c r="M20" i="1"/>
  <c r="O12" i="1"/>
  <c r="O15" i="1"/>
  <c r="O37" i="1"/>
  <c r="M37" i="1"/>
  <c r="O29" i="1"/>
  <c r="M29" i="1"/>
  <c r="O28" i="1"/>
  <c r="C155" i="22"/>
  <c r="D155" i="22"/>
  <c r="E155" i="22"/>
  <c r="F155" i="22"/>
  <c r="G155" i="22"/>
  <c r="H155" i="22"/>
  <c r="I155" i="22"/>
  <c r="C138" i="3"/>
  <c r="D138" i="3"/>
  <c r="E138" i="3"/>
  <c r="F138" i="3"/>
  <c r="G138" i="3"/>
  <c r="H138" i="3"/>
  <c r="I138" i="3"/>
  <c r="K136" i="58"/>
  <c r="L136" i="58"/>
  <c r="M136" i="58"/>
  <c r="N136" i="58"/>
  <c r="C136" i="58"/>
  <c r="D136" i="58"/>
  <c r="E136" i="58"/>
  <c r="F136" i="58"/>
  <c r="G136" i="58"/>
  <c r="H136" i="58"/>
  <c r="I136" i="58"/>
  <c r="L151" i="13"/>
  <c r="M151" i="13"/>
  <c r="N151" i="13"/>
  <c r="C151" i="13"/>
  <c r="D151" i="13"/>
  <c r="E151" i="13"/>
  <c r="F151" i="13"/>
  <c r="G151" i="13"/>
  <c r="H151" i="13"/>
  <c r="I151" i="13"/>
  <c r="C148" i="60"/>
  <c r="D148" i="60"/>
  <c r="E148" i="60"/>
  <c r="F148" i="60"/>
  <c r="G148" i="60"/>
  <c r="H148" i="60"/>
  <c r="I148" i="60"/>
  <c r="J145" i="25"/>
  <c r="K145" i="25"/>
  <c r="L145" i="25"/>
  <c r="M145" i="25"/>
  <c r="N145" i="25"/>
  <c r="C145" i="25"/>
  <c r="D145" i="25"/>
  <c r="E145" i="25"/>
  <c r="F145" i="25"/>
  <c r="G145" i="25"/>
  <c r="H145" i="25"/>
  <c r="I145" i="25"/>
  <c r="C132" i="8"/>
  <c r="D132" i="8"/>
  <c r="E132" i="8"/>
  <c r="F132" i="8"/>
  <c r="G132" i="8"/>
  <c r="H132" i="8"/>
  <c r="I132" i="8"/>
  <c r="C139" i="2"/>
  <c r="D139" i="2"/>
  <c r="F139" i="2"/>
  <c r="G139" i="2"/>
  <c r="C144" i="5"/>
  <c r="D144" i="5"/>
  <c r="E144" i="5"/>
  <c r="F144" i="5"/>
  <c r="G144" i="5"/>
  <c r="H144" i="5"/>
  <c r="I144" i="5"/>
  <c r="C137" i="9"/>
  <c r="E137" i="9"/>
  <c r="F137" i="9"/>
  <c r="G137" i="9"/>
  <c r="I137" i="9"/>
  <c r="K60" i="1"/>
  <c r="K57" i="1"/>
  <c r="C54" i="80"/>
  <c r="C56" i="80"/>
  <c r="C58" i="80"/>
  <c r="K56" i="1"/>
  <c r="K55" i="1"/>
  <c r="K53" i="1"/>
  <c r="J47" i="66"/>
  <c r="K52" i="1"/>
  <c r="K50" i="1"/>
  <c r="K49" i="1"/>
  <c r="Q48" i="1"/>
  <c r="H36" i="1"/>
  <c r="K47" i="1"/>
  <c r="K9" i="1"/>
  <c r="K38" i="1"/>
  <c r="J47" i="52"/>
  <c r="K31" i="1"/>
  <c r="K35" i="1"/>
  <c r="K12" i="1"/>
  <c r="K37" i="1"/>
  <c r="E3" i="61"/>
  <c r="D3" i="61"/>
  <c r="M18" i="48"/>
  <c r="L18" i="48"/>
  <c r="K18" i="48"/>
  <c r="J18" i="48"/>
  <c r="I18" i="48"/>
  <c r="H18" i="48"/>
  <c r="F18" i="48"/>
  <c r="E18" i="48"/>
  <c r="D18" i="48"/>
  <c r="E3" i="48"/>
  <c r="D3" i="48"/>
  <c r="K139" i="2"/>
  <c r="L139" i="2"/>
  <c r="M139" i="2"/>
  <c r="N139" i="2"/>
  <c r="N144" i="83"/>
  <c r="M144" i="83"/>
  <c r="L144" i="83"/>
  <c r="K144" i="83"/>
  <c r="J144" i="83"/>
  <c r="F38" i="83"/>
  <c r="E38" i="83"/>
  <c r="D38" i="83"/>
  <c r="I38" i="83"/>
  <c r="H38" i="83"/>
  <c r="G38" i="83"/>
  <c r="C38" i="83"/>
  <c r="N116" i="83"/>
  <c r="N121" i="83" s="1"/>
  <c r="M116" i="83"/>
  <c r="M121" i="83" s="1"/>
  <c r="L116" i="83"/>
  <c r="L121" i="83" s="1"/>
  <c r="K116" i="83"/>
  <c r="K121" i="83" s="1"/>
  <c r="J116" i="83"/>
  <c r="J121" i="83" s="1"/>
  <c r="N109" i="83"/>
  <c r="N110" i="83" s="1"/>
  <c r="M109" i="83"/>
  <c r="M15" i="83" s="1"/>
  <c r="M18" i="83" s="1"/>
  <c r="L109" i="83"/>
  <c r="L110" i="83" s="1"/>
  <c r="K109" i="83"/>
  <c r="K15" i="83" s="1"/>
  <c r="K18" i="83" s="1"/>
  <c r="J109" i="83"/>
  <c r="J110" i="83" s="1"/>
  <c r="N100" i="83"/>
  <c r="M100" i="83"/>
  <c r="L100" i="83"/>
  <c r="K100" i="83"/>
  <c r="J100" i="83"/>
  <c r="N99" i="83"/>
  <c r="M99" i="83"/>
  <c r="L99" i="83"/>
  <c r="K99" i="83"/>
  <c r="J99" i="83"/>
  <c r="N93" i="83"/>
  <c r="M93" i="83"/>
  <c r="L93" i="83"/>
  <c r="K93" i="83"/>
  <c r="J93" i="83"/>
  <c r="G12" i="83"/>
  <c r="N81" i="83"/>
  <c r="M81" i="83"/>
  <c r="L81" i="83"/>
  <c r="K81" i="83"/>
  <c r="J81" i="83"/>
  <c r="N80" i="83"/>
  <c r="M80" i="83"/>
  <c r="L80" i="83"/>
  <c r="K80" i="83"/>
  <c r="J80" i="83"/>
  <c r="F9" i="83"/>
  <c r="D9" i="83"/>
  <c r="H8" i="83"/>
  <c r="F8" i="83"/>
  <c r="N45" i="83"/>
  <c r="M45" i="83"/>
  <c r="L45" i="83"/>
  <c r="K45" i="83"/>
  <c r="J45" i="83"/>
  <c r="I45" i="83"/>
  <c r="H45" i="83"/>
  <c r="G45" i="83"/>
  <c r="F45" i="83"/>
  <c r="E45" i="83"/>
  <c r="D45" i="83"/>
  <c r="C45" i="83"/>
  <c r="N44" i="83"/>
  <c r="N52" i="83" s="1"/>
  <c r="M44" i="83"/>
  <c r="M52" i="83" s="1"/>
  <c r="L44" i="83"/>
  <c r="L52" i="83" s="1"/>
  <c r="K44" i="83"/>
  <c r="K52" i="83" s="1"/>
  <c r="J44" i="83"/>
  <c r="J52" i="83" s="1"/>
  <c r="I44" i="83"/>
  <c r="I52" i="83" s="1"/>
  <c r="H44" i="83"/>
  <c r="H52" i="83" s="1"/>
  <c r="G44" i="83"/>
  <c r="G52" i="83" s="1"/>
  <c r="F44" i="83"/>
  <c r="F52" i="83" s="1"/>
  <c r="E44" i="83"/>
  <c r="E52" i="83" s="1"/>
  <c r="D44" i="83"/>
  <c r="D52" i="83" s="1"/>
  <c r="C44" i="83"/>
  <c r="C52" i="83" s="1"/>
  <c r="C53" i="83" s="1"/>
  <c r="N43" i="83"/>
  <c r="M43" i="83"/>
  <c r="L43" i="83"/>
  <c r="K43" i="83"/>
  <c r="J43" i="83"/>
  <c r="I43" i="83"/>
  <c r="H43" i="83"/>
  <c r="G43" i="83"/>
  <c r="F43" i="83"/>
  <c r="E43" i="83"/>
  <c r="D43" i="83"/>
  <c r="C43" i="83"/>
  <c r="N40" i="83"/>
  <c r="N20" i="83" s="1"/>
  <c r="M40" i="83"/>
  <c r="M50" i="83" s="1"/>
  <c r="L40" i="83"/>
  <c r="L50" i="83" s="1"/>
  <c r="K40" i="83"/>
  <c r="K50" i="83" s="1"/>
  <c r="J40" i="83"/>
  <c r="J50" i="83" s="1"/>
  <c r="I40" i="83"/>
  <c r="I50" i="83" s="1"/>
  <c r="H40" i="83"/>
  <c r="H20" i="83" s="1"/>
  <c r="G40" i="83"/>
  <c r="G20" i="83" s="1"/>
  <c r="F40" i="83"/>
  <c r="F50" i="83" s="1"/>
  <c r="E40" i="83"/>
  <c r="E50" i="83" s="1"/>
  <c r="D40" i="83"/>
  <c r="D50" i="83" s="1"/>
  <c r="C40" i="83"/>
  <c r="C50" i="83" s="1"/>
  <c r="I36" i="83"/>
  <c r="H36" i="83"/>
  <c r="G36" i="83"/>
  <c r="F36" i="83"/>
  <c r="E36" i="83"/>
  <c r="D36" i="83"/>
  <c r="C36" i="83"/>
  <c r="N35" i="83"/>
  <c r="M35" i="83"/>
  <c r="L35" i="83"/>
  <c r="K35" i="83"/>
  <c r="J35" i="83"/>
  <c r="I35" i="83"/>
  <c r="H35" i="83"/>
  <c r="G35" i="83"/>
  <c r="F35" i="83"/>
  <c r="E35" i="83"/>
  <c r="D35" i="83"/>
  <c r="C35" i="83"/>
  <c r="F20" i="83"/>
  <c r="J15" i="83"/>
  <c r="J18" i="83" s="1"/>
  <c r="N13" i="83"/>
  <c r="M13" i="83"/>
  <c r="L13" i="83"/>
  <c r="K13" i="83"/>
  <c r="J13" i="83"/>
  <c r="I13" i="83"/>
  <c r="H13" i="83"/>
  <c r="G13" i="83"/>
  <c r="F13" i="83"/>
  <c r="E13" i="83"/>
  <c r="D13" i="83"/>
  <c r="C13" i="83"/>
  <c r="N12" i="83"/>
  <c r="N14" i="83" s="1"/>
  <c r="M12" i="83"/>
  <c r="M14" i="83" s="1"/>
  <c r="L12" i="83"/>
  <c r="L14" i="83" s="1"/>
  <c r="K12" i="83"/>
  <c r="J12" i="83"/>
  <c r="J14" i="83" s="1"/>
  <c r="I12" i="83"/>
  <c r="H12" i="83"/>
  <c r="H14" i="83" s="1"/>
  <c r="F12" i="83"/>
  <c r="E12" i="83"/>
  <c r="D12" i="83"/>
  <c r="C12" i="83"/>
  <c r="N10" i="83"/>
  <c r="M10" i="83"/>
  <c r="L10" i="83"/>
  <c r="K10" i="83"/>
  <c r="J10" i="83"/>
  <c r="I10" i="83"/>
  <c r="H10" i="83"/>
  <c r="G10" i="83"/>
  <c r="F10" i="83"/>
  <c r="E10" i="83"/>
  <c r="C10" i="83"/>
  <c r="N9" i="83"/>
  <c r="M9" i="83"/>
  <c r="L9" i="83"/>
  <c r="K9" i="83"/>
  <c r="J9" i="83"/>
  <c r="I9" i="83"/>
  <c r="H9" i="83"/>
  <c r="G9" i="83"/>
  <c r="E9" i="83"/>
  <c r="C9" i="83"/>
  <c r="N8" i="83"/>
  <c r="M8" i="83"/>
  <c r="L8" i="83"/>
  <c r="K8" i="83"/>
  <c r="J8" i="83"/>
  <c r="I8" i="83"/>
  <c r="G8" i="83"/>
  <c r="E8" i="83"/>
  <c r="D8" i="83"/>
  <c r="C8" i="83"/>
  <c r="N7" i="83"/>
  <c r="M7" i="83"/>
  <c r="L7" i="83"/>
  <c r="K7" i="83"/>
  <c r="J7" i="83"/>
  <c r="I7" i="83"/>
  <c r="G7" i="83"/>
  <c r="F7" i="83"/>
  <c r="F31" i="83" s="1"/>
  <c r="E7" i="83"/>
  <c r="D7" i="83"/>
  <c r="C7" i="83"/>
  <c r="B3" i="83" a="1"/>
  <c r="B3" i="83" s="1"/>
  <c r="F60" i="1" s="1"/>
  <c r="B2" i="83"/>
  <c r="D41" i="46" l="1"/>
  <c r="O34" i="1" s="1"/>
  <c r="C19" i="48"/>
  <c r="M36" i="1" s="1"/>
  <c r="C29" i="48"/>
  <c r="I14" i="83"/>
  <c r="K14" i="83"/>
  <c r="L11" i="83"/>
  <c r="N11" i="83"/>
  <c r="D14" i="83"/>
  <c r="I20" i="83"/>
  <c r="J20" i="83"/>
  <c r="F14" i="83"/>
  <c r="L15" i="83"/>
  <c r="L18" i="83" s="1"/>
  <c r="K20" i="83"/>
  <c r="L20" i="83"/>
  <c r="M20" i="83"/>
  <c r="J11" i="83"/>
  <c r="J32" i="83" s="1"/>
  <c r="D31" i="83"/>
  <c r="I11" i="83"/>
  <c r="C31" i="83"/>
  <c r="N50" i="83"/>
  <c r="M11" i="83"/>
  <c r="M32" i="83" s="1"/>
  <c r="N32" i="83"/>
  <c r="J31" i="83"/>
  <c r="E3" i="83"/>
  <c r="D3" i="83"/>
  <c r="Q60" i="1" s="1"/>
  <c r="H50" i="83"/>
  <c r="G50" i="83"/>
  <c r="C51" i="83" s="1"/>
  <c r="K31" i="83"/>
  <c r="N15" i="83"/>
  <c r="N18" i="83" s="1"/>
  <c r="N21" i="83" s="1"/>
  <c r="N22" i="83" s="1"/>
  <c r="L31" i="83"/>
  <c r="E14" i="83"/>
  <c r="E20" i="83"/>
  <c r="E37" i="83"/>
  <c r="M31" i="83"/>
  <c r="N31" i="83"/>
  <c r="G11" i="83"/>
  <c r="F37" i="83"/>
  <c r="G37" i="83"/>
  <c r="H37" i="83"/>
  <c r="E31" i="83"/>
  <c r="I37" i="83"/>
  <c r="G31" i="83"/>
  <c r="I30" i="83"/>
  <c r="C14" i="83"/>
  <c r="C11" i="83"/>
  <c r="E11" i="83"/>
  <c r="C20" i="83"/>
  <c r="C37" i="83"/>
  <c r="G14" i="83"/>
  <c r="F11" i="83"/>
  <c r="F32" i="83" s="1"/>
  <c r="D20" i="83"/>
  <c r="D37" i="83"/>
  <c r="H15" i="83"/>
  <c r="H18" i="83" s="1"/>
  <c r="J21" i="83"/>
  <c r="J22" i="83" s="1"/>
  <c r="I15" i="83"/>
  <c r="I18" i="83" s="1"/>
  <c r="J127" i="83"/>
  <c r="J129" i="83" s="1"/>
  <c r="J131" i="83" s="1"/>
  <c r="J38" i="83" s="1"/>
  <c r="J36" i="83"/>
  <c r="J37" i="83" s="1"/>
  <c r="C39" i="83"/>
  <c r="L21" i="83"/>
  <c r="L22" i="83" s="1"/>
  <c r="K21" i="83"/>
  <c r="K22" i="83" s="1"/>
  <c r="K36" i="83"/>
  <c r="K37" i="83" s="1"/>
  <c r="K127" i="83"/>
  <c r="K129" i="83" s="1"/>
  <c r="K131" i="83" s="1"/>
  <c r="K38" i="83" s="1"/>
  <c r="L36" i="83"/>
  <c r="L37" i="83" s="1"/>
  <c r="L127" i="83"/>
  <c r="L129" i="83" s="1"/>
  <c r="L131" i="83" s="1"/>
  <c r="L38" i="83" s="1"/>
  <c r="D39" i="83"/>
  <c r="N36" i="83"/>
  <c r="N37" i="83" s="1"/>
  <c r="N127" i="83"/>
  <c r="N129" i="83" s="1"/>
  <c r="N131" i="83" s="1"/>
  <c r="N38" i="83" s="1"/>
  <c r="G39" i="83"/>
  <c r="F39" i="83"/>
  <c r="H39" i="83"/>
  <c r="I32" i="83"/>
  <c r="C15" i="83"/>
  <c r="C18" i="83" s="1"/>
  <c r="I39" i="83"/>
  <c r="D15" i="83"/>
  <c r="D18" i="83" s="1"/>
  <c r="M21" i="83"/>
  <c r="E15" i="83"/>
  <c r="E18" i="83" s="1"/>
  <c r="M127" i="83"/>
  <c r="M129" i="83" s="1"/>
  <c r="M131" i="83" s="1"/>
  <c r="M38" i="83" s="1"/>
  <c r="M36" i="83"/>
  <c r="M37" i="83" s="1"/>
  <c r="L32" i="83"/>
  <c r="F15" i="83"/>
  <c r="F18" i="83" s="1"/>
  <c r="E39" i="83"/>
  <c r="G15" i="83"/>
  <c r="G18" i="83" s="1"/>
  <c r="K110" i="83"/>
  <c r="J29" i="83"/>
  <c r="J30" i="83"/>
  <c r="K11" i="83"/>
  <c r="K32" i="83" s="1"/>
  <c r="L29" i="83"/>
  <c r="L30" i="83"/>
  <c r="M110" i="83"/>
  <c r="M29" i="83"/>
  <c r="M30" i="83"/>
  <c r="K29" i="83"/>
  <c r="N29" i="83"/>
  <c r="N30" i="83"/>
  <c r="I29" i="83"/>
  <c r="C29" i="83"/>
  <c r="C30" i="83"/>
  <c r="K30" i="83"/>
  <c r="D10" i="83"/>
  <c r="D11" i="83" s="1"/>
  <c r="D32" i="83" s="1"/>
  <c r="D29" i="83"/>
  <c r="D30" i="83"/>
  <c r="E29" i="83"/>
  <c r="E30" i="83"/>
  <c r="I31" i="83"/>
  <c r="F29" i="83"/>
  <c r="F30" i="83"/>
  <c r="G29" i="83"/>
  <c r="G30" i="83"/>
  <c r="H7" i="83"/>
  <c r="H11" i="83" s="1"/>
  <c r="H32" i="83" s="1"/>
  <c r="M22" i="83" l="1"/>
  <c r="E32" i="83"/>
  <c r="I41" i="83"/>
  <c r="G32" i="83"/>
  <c r="C41" i="83"/>
  <c r="C54" i="83" s="1"/>
  <c r="C32" i="83"/>
  <c r="H41" i="83"/>
  <c r="H23" i="83" s="1"/>
  <c r="H25" i="83" s="1"/>
  <c r="F41" i="83"/>
  <c r="F54" i="83" s="1"/>
  <c r="M41" i="83"/>
  <c r="M39" i="83"/>
  <c r="I24" i="83"/>
  <c r="I27" i="83" s="1"/>
  <c r="I23" i="83"/>
  <c r="I25" i="83" s="1"/>
  <c r="I54" i="83"/>
  <c r="G41" i="83"/>
  <c r="E21" i="83"/>
  <c r="E22" i="83" s="1"/>
  <c r="C21" i="83"/>
  <c r="C22" i="83" s="1"/>
  <c r="J41" i="83"/>
  <c r="J39" i="83"/>
  <c r="G21" i="83"/>
  <c r="G22" i="83" s="1"/>
  <c r="N41" i="83"/>
  <c r="N39" i="83"/>
  <c r="I21" i="83"/>
  <c r="I22" i="83" s="1"/>
  <c r="K39" i="83"/>
  <c r="K41" i="83"/>
  <c r="H31" i="83"/>
  <c r="H30" i="83"/>
  <c r="H29" i="83"/>
  <c r="E41" i="83"/>
  <c r="H24" i="83"/>
  <c r="H27" i="83" s="1"/>
  <c r="D41" i="83"/>
  <c r="F21" i="83"/>
  <c r="F22" i="83" s="1"/>
  <c r="D21" i="83"/>
  <c r="D22" i="83" s="1"/>
  <c r="L41" i="83"/>
  <c r="L39" i="83"/>
  <c r="H21" i="83"/>
  <c r="H22" i="83" s="1"/>
  <c r="C23" i="83" l="1"/>
  <c r="C25" i="83" s="1"/>
  <c r="C24" i="83"/>
  <c r="C27" i="83" s="1"/>
  <c r="F23" i="83"/>
  <c r="F25" i="83" s="1"/>
  <c r="C42" i="83"/>
  <c r="H10" i="1" s="1"/>
  <c r="F24" i="83"/>
  <c r="F27" i="83" s="1"/>
  <c r="H54" i="83"/>
  <c r="C26" i="83"/>
  <c r="N54" i="83"/>
  <c r="N24" i="83"/>
  <c r="N27" i="83" s="1"/>
  <c r="N23" i="83"/>
  <c r="N25" i="83" s="1"/>
  <c r="N26" i="83" s="1"/>
  <c r="E54" i="83"/>
  <c r="E24" i="83"/>
  <c r="E27" i="83" s="1"/>
  <c r="E23" i="83"/>
  <c r="E25" i="83" s="1"/>
  <c r="E26" i="83" s="1"/>
  <c r="H26" i="83"/>
  <c r="J54" i="83"/>
  <c r="J24" i="83"/>
  <c r="J27" i="83" s="1"/>
  <c r="J23" i="83"/>
  <c r="J25" i="83" s="1"/>
  <c r="J26" i="83" s="1"/>
  <c r="F26" i="83"/>
  <c r="I26" i="83"/>
  <c r="G54" i="83"/>
  <c r="G24" i="83"/>
  <c r="G27" i="83" s="1"/>
  <c r="G23" i="83"/>
  <c r="G25" i="83" s="1"/>
  <c r="G26" i="83" s="1"/>
  <c r="L54" i="83"/>
  <c r="L24" i="83"/>
  <c r="L27" i="83" s="1"/>
  <c r="L23" i="83"/>
  <c r="L25" i="83" s="1"/>
  <c r="L26" i="83" s="1"/>
  <c r="D54" i="83"/>
  <c r="D24" i="83"/>
  <c r="D27" i="83" s="1"/>
  <c r="D23" i="83"/>
  <c r="D25" i="83" s="1"/>
  <c r="D26" i="83" s="1"/>
  <c r="K23" i="83"/>
  <c r="K25" i="83" s="1"/>
  <c r="K26" i="83" s="1"/>
  <c r="K24" i="83"/>
  <c r="K27" i="83" s="1"/>
  <c r="K54" i="83"/>
  <c r="M54" i="83"/>
  <c r="M24" i="83"/>
  <c r="M27" i="83" s="1"/>
  <c r="M23" i="83"/>
  <c r="M25" i="83" s="1"/>
  <c r="M26" i="83" s="1"/>
  <c r="C55" i="83" l="1"/>
  <c r="N143" i="82"/>
  <c r="M143" i="82"/>
  <c r="L143" i="82"/>
  <c r="K143" i="82"/>
  <c r="J143" i="82"/>
  <c r="I38" i="82"/>
  <c r="H38" i="82"/>
  <c r="G38" i="82"/>
  <c r="F38" i="82"/>
  <c r="E38" i="82"/>
  <c r="D38" i="82"/>
  <c r="C38" i="82"/>
  <c r="N115" i="82"/>
  <c r="N120" i="82" s="1"/>
  <c r="M115" i="82"/>
  <c r="M120" i="82" s="1"/>
  <c r="M36" i="82" s="1"/>
  <c r="L115" i="82"/>
  <c r="L120" i="82" s="1"/>
  <c r="K115" i="82"/>
  <c r="K120" i="82" s="1"/>
  <c r="J115" i="82"/>
  <c r="J120" i="82" s="1"/>
  <c r="N108" i="82"/>
  <c r="N109" i="82" s="1"/>
  <c r="M108" i="82"/>
  <c r="M15" i="82" s="1"/>
  <c r="M18" i="82" s="1"/>
  <c r="L108" i="82"/>
  <c r="L109" i="82" s="1"/>
  <c r="K108" i="82"/>
  <c r="K109" i="82" s="1"/>
  <c r="J108" i="82"/>
  <c r="J109" i="82" s="1"/>
  <c r="N100" i="82"/>
  <c r="M100" i="82"/>
  <c r="L100" i="82"/>
  <c r="K100" i="82"/>
  <c r="J100" i="82"/>
  <c r="N99" i="82"/>
  <c r="M99" i="82"/>
  <c r="L99" i="82"/>
  <c r="K99" i="82"/>
  <c r="J99" i="82"/>
  <c r="N93" i="82"/>
  <c r="M93" i="82"/>
  <c r="L93" i="82"/>
  <c r="K93" i="82"/>
  <c r="J93" i="82"/>
  <c r="N81" i="82"/>
  <c r="M81" i="82"/>
  <c r="L81" i="82"/>
  <c r="K81" i="82"/>
  <c r="J81" i="82"/>
  <c r="N80" i="82"/>
  <c r="M80" i="82"/>
  <c r="L80" i="82"/>
  <c r="K80" i="82"/>
  <c r="J80" i="82"/>
  <c r="N45" i="82"/>
  <c r="M45" i="82"/>
  <c r="L45" i="82"/>
  <c r="K45" i="82"/>
  <c r="J45" i="82"/>
  <c r="I45" i="82"/>
  <c r="H45" i="82"/>
  <c r="G45" i="82"/>
  <c r="F45" i="82"/>
  <c r="E45" i="82"/>
  <c r="D45" i="82"/>
  <c r="C45" i="82"/>
  <c r="N44" i="82"/>
  <c r="N52" i="82" s="1"/>
  <c r="M44" i="82"/>
  <c r="M52" i="82" s="1"/>
  <c r="L44" i="82"/>
  <c r="L52" i="82" s="1"/>
  <c r="K44" i="82"/>
  <c r="K52" i="82" s="1"/>
  <c r="J44" i="82"/>
  <c r="J52" i="82" s="1"/>
  <c r="I44" i="82"/>
  <c r="I52" i="82" s="1"/>
  <c r="H44" i="82"/>
  <c r="H52" i="82" s="1"/>
  <c r="G44" i="82"/>
  <c r="G52" i="82" s="1"/>
  <c r="F44" i="82"/>
  <c r="F52" i="82" s="1"/>
  <c r="E44" i="82"/>
  <c r="E52" i="82" s="1"/>
  <c r="D44" i="82"/>
  <c r="D52" i="82" s="1"/>
  <c r="C44" i="82"/>
  <c r="N43" i="82"/>
  <c r="M43" i="82"/>
  <c r="L43" i="82"/>
  <c r="K43" i="82"/>
  <c r="J43" i="82"/>
  <c r="I43" i="82"/>
  <c r="H43" i="82"/>
  <c r="G43" i="82"/>
  <c r="F43" i="82"/>
  <c r="E43" i="82"/>
  <c r="D43" i="82"/>
  <c r="C43" i="82"/>
  <c r="N40" i="82"/>
  <c r="N50" i="82" s="1"/>
  <c r="M40" i="82"/>
  <c r="M50" i="82" s="1"/>
  <c r="L40" i="82"/>
  <c r="L50" i="82" s="1"/>
  <c r="K40" i="82"/>
  <c r="K50" i="82" s="1"/>
  <c r="J40" i="82"/>
  <c r="J50" i="82" s="1"/>
  <c r="I40" i="82"/>
  <c r="I50" i="82" s="1"/>
  <c r="H40" i="82"/>
  <c r="H50" i="82" s="1"/>
  <c r="G40" i="82"/>
  <c r="G50" i="82" s="1"/>
  <c r="F40" i="82"/>
  <c r="F50" i="82" s="1"/>
  <c r="E40" i="82"/>
  <c r="E50" i="82" s="1"/>
  <c r="D40" i="82"/>
  <c r="D50" i="82" s="1"/>
  <c r="C40" i="82"/>
  <c r="C50" i="82" s="1"/>
  <c r="I36" i="82"/>
  <c r="H36" i="82"/>
  <c r="G36" i="82"/>
  <c r="F36" i="82"/>
  <c r="E36" i="82"/>
  <c r="D36" i="82"/>
  <c r="C36" i="82"/>
  <c r="N35" i="82"/>
  <c r="M35" i="82"/>
  <c r="L35" i="82"/>
  <c r="K35" i="82"/>
  <c r="J35" i="82"/>
  <c r="I35" i="82"/>
  <c r="H35" i="82"/>
  <c r="G35" i="82"/>
  <c r="F35" i="82"/>
  <c r="E35" i="82"/>
  <c r="D35" i="82"/>
  <c r="C35" i="82"/>
  <c r="M20" i="82"/>
  <c r="L20" i="82"/>
  <c r="K20" i="82"/>
  <c r="J20" i="82"/>
  <c r="I20" i="82"/>
  <c r="N15" i="82"/>
  <c r="N18" i="82" s="1"/>
  <c r="N13" i="82"/>
  <c r="M13" i="82"/>
  <c r="L13" i="82"/>
  <c r="K13" i="82"/>
  <c r="J13" i="82"/>
  <c r="I13" i="82"/>
  <c r="H13" i="82"/>
  <c r="F13" i="82"/>
  <c r="E13" i="82"/>
  <c r="D13" i="82"/>
  <c r="C13" i="82"/>
  <c r="N12" i="82"/>
  <c r="N14" i="82" s="1"/>
  <c r="M12" i="82"/>
  <c r="L12" i="82"/>
  <c r="K12" i="82"/>
  <c r="J12" i="82"/>
  <c r="I12" i="82"/>
  <c r="H12" i="82"/>
  <c r="G12" i="82"/>
  <c r="F12" i="82"/>
  <c r="F14" i="82" s="1"/>
  <c r="E12" i="82"/>
  <c r="E14" i="82" s="1"/>
  <c r="D12" i="82"/>
  <c r="D14" i="82" s="1"/>
  <c r="C12" i="82"/>
  <c r="C14" i="82" s="1"/>
  <c r="N10" i="82"/>
  <c r="M10" i="82"/>
  <c r="L10" i="82"/>
  <c r="K10" i="82"/>
  <c r="J10" i="82"/>
  <c r="H10" i="82"/>
  <c r="G10" i="82"/>
  <c r="F10" i="82"/>
  <c r="E10" i="82"/>
  <c r="D10" i="82"/>
  <c r="C10" i="82"/>
  <c r="N9" i="82"/>
  <c r="M9" i="82"/>
  <c r="L9" i="82"/>
  <c r="K9" i="82"/>
  <c r="J9" i="82"/>
  <c r="I9" i="82"/>
  <c r="H9" i="82"/>
  <c r="G9" i="82"/>
  <c r="F9" i="82"/>
  <c r="E9" i="82"/>
  <c r="D9" i="82"/>
  <c r="C9" i="82"/>
  <c r="N8" i="82"/>
  <c r="M8" i="82"/>
  <c r="L8" i="82"/>
  <c r="K8" i="82"/>
  <c r="J8" i="82"/>
  <c r="I8" i="82"/>
  <c r="H8" i="82"/>
  <c r="G8" i="82"/>
  <c r="F8" i="82"/>
  <c r="E8" i="82"/>
  <c r="D8" i="82"/>
  <c r="C8" i="82"/>
  <c r="N7" i="82"/>
  <c r="N31" i="82" s="1"/>
  <c r="M7" i="82"/>
  <c r="M31" i="82" s="1"/>
  <c r="L7" i="82"/>
  <c r="K7" i="82"/>
  <c r="J7" i="82"/>
  <c r="I7" i="82"/>
  <c r="H7" i="82"/>
  <c r="G7" i="82"/>
  <c r="F7" i="82"/>
  <c r="E7" i="82"/>
  <c r="D7" i="82"/>
  <c r="B3" i="82" a="1"/>
  <c r="B3" i="82" s="1"/>
  <c r="F59" i="1" s="1"/>
  <c r="B2" i="82"/>
  <c r="D30" i="82" l="1"/>
  <c r="N20" i="82"/>
  <c r="F31" i="82"/>
  <c r="J11" i="82"/>
  <c r="J14" i="82"/>
  <c r="L11" i="82"/>
  <c r="J15" i="82"/>
  <c r="J18" i="82" s="1"/>
  <c r="E31" i="82"/>
  <c r="K11" i="82"/>
  <c r="G31" i="82"/>
  <c r="H14" i="82"/>
  <c r="L31" i="82"/>
  <c r="L14" i="82"/>
  <c r="J31" i="82"/>
  <c r="M11" i="82"/>
  <c r="M14" i="82"/>
  <c r="N11" i="82"/>
  <c r="N32" i="82" s="1"/>
  <c r="K15" i="82"/>
  <c r="K18" i="82" s="1"/>
  <c r="L15" i="82"/>
  <c r="L18" i="82" s="1"/>
  <c r="L21" i="82" s="1"/>
  <c r="L22" i="82" s="1"/>
  <c r="K31" i="82"/>
  <c r="I31" i="82"/>
  <c r="K14" i="82"/>
  <c r="K32" i="82" s="1"/>
  <c r="C20" i="82"/>
  <c r="M37" i="82"/>
  <c r="C51" i="82"/>
  <c r="E3" i="82"/>
  <c r="D3" i="82"/>
  <c r="Q59" i="1" s="1"/>
  <c r="H31" i="82"/>
  <c r="D11" i="82"/>
  <c r="D32" i="82" s="1"/>
  <c r="E11" i="82"/>
  <c r="E32" i="82" s="1"/>
  <c r="C37" i="82"/>
  <c r="F11" i="82"/>
  <c r="F32" i="82" s="1"/>
  <c r="D20" i="82"/>
  <c r="D37" i="82"/>
  <c r="G11" i="82"/>
  <c r="E20" i="82"/>
  <c r="E37" i="82"/>
  <c r="H11" i="82"/>
  <c r="H32" i="82" s="1"/>
  <c r="I14" i="82"/>
  <c r="F20" i="82"/>
  <c r="F37" i="82"/>
  <c r="G20" i="82"/>
  <c r="G37" i="82"/>
  <c r="H20" i="82"/>
  <c r="H37" i="82"/>
  <c r="I37" i="82"/>
  <c r="M21" i="82"/>
  <c r="M22" i="82" s="1"/>
  <c r="N21" i="82"/>
  <c r="N22" i="82" s="1"/>
  <c r="N36" i="82"/>
  <c r="N37" i="82" s="1"/>
  <c r="N126" i="82"/>
  <c r="N128" i="82" s="1"/>
  <c r="N130" i="82" s="1"/>
  <c r="N38" i="82" s="1"/>
  <c r="G39" i="82"/>
  <c r="E15" i="82"/>
  <c r="E18" i="82" s="1"/>
  <c r="G15" i="82"/>
  <c r="G18" i="82" s="1"/>
  <c r="H39" i="82"/>
  <c r="I39" i="82"/>
  <c r="I15" i="82"/>
  <c r="I18" i="82" s="1"/>
  <c r="J32" i="82"/>
  <c r="H15" i="82"/>
  <c r="H18" i="82" s="1"/>
  <c r="F39" i="82"/>
  <c r="L32" i="82"/>
  <c r="D15" i="82"/>
  <c r="D18" i="82" s="1"/>
  <c r="E39" i="82"/>
  <c r="M32" i="82"/>
  <c r="J126" i="82"/>
  <c r="J128" i="82" s="1"/>
  <c r="J130" i="82" s="1"/>
  <c r="J38" i="82" s="1"/>
  <c r="J36" i="82"/>
  <c r="J37" i="82" s="1"/>
  <c r="J21" i="82"/>
  <c r="J22" i="82" s="1"/>
  <c r="C15" i="82"/>
  <c r="C18" i="82" s="1"/>
  <c r="F15" i="82"/>
  <c r="F18" i="82" s="1"/>
  <c r="K126" i="82"/>
  <c r="K128" i="82" s="1"/>
  <c r="K130" i="82" s="1"/>
  <c r="K38" i="82" s="1"/>
  <c r="K36" i="82"/>
  <c r="K37" i="82" s="1"/>
  <c r="C39" i="82"/>
  <c r="K21" i="82"/>
  <c r="K22" i="82" s="1"/>
  <c r="L126" i="82"/>
  <c r="L128" i="82" s="1"/>
  <c r="L130" i="82" s="1"/>
  <c r="L38" i="82" s="1"/>
  <c r="L36" i="82"/>
  <c r="L37" i="82" s="1"/>
  <c r="D39" i="82"/>
  <c r="D29" i="82"/>
  <c r="C52" i="82"/>
  <c r="C53" i="82" s="1"/>
  <c r="E29" i="82"/>
  <c r="E30" i="82"/>
  <c r="D31" i="82"/>
  <c r="F29" i="82"/>
  <c r="F30" i="82"/>
  <c r="G13" i="82"/>
  <c r="G14" i="82" s="1"/>
  <c r="G32" i="82" s="1"/>
  <c r="G29" i="82"/>
  <c r="G30" i="82"/>
  <c r="H29" i="82"/>
  <c r="H30" i="82"/>
  <c r="M126" i="82"/>
  <c r="M128" i="82" s="1"/>
  <c r="M130" i="82" s="1"/>
  <c r="M38" i="82" s="1"/>
  <c r="I10" i="82"/>
  <c r="I11" i="82" s="1"/>
  <c r="I29" i="82"/>
  <c r="I30" i="82"/>
  <c r="J29" i="82"/>
  <c r="J30" i="82"/>
  <c r="K29" i="82"/>
  <c r="K30" i="82"/>
  <c r="L29" i="82"/>
  <c r="L30" i="82"/>
  <c r="M109" i="82"/>
  <c r="M29" i="82"/>
  <c r="M30" i="82"/>
  <c r="N29" i="82"/>
  <c r="N30" i="82"/>
  <c r="C7" i="82"/>
  <c r="C11" i="82" s="1"/>
  <c r="C32" i="82" s="1"/>
  <c r="C41" i="82" l="1"/>
  <c r="I32" i="82"/>
  <c r="D41" i="82"/>
  <c r="I41" i="82"/>
  <c r="I54" i="82" s="1"/>
  <c r="G24" i="82"/>
  <c r="G27" i="82" s="1"/>
  <c r="C24" i="82"/>
  <c r="C27" i="82" s="1"/>
  <c r="C23" i="82"/>
  <c r="C25" i="82" s="1"/>
  <c r="C54" i="82"/>
  <c r="J41" i="82"/>
  <c r="J39" i="82"/>
  <c r="K41" i="82"/>
  <c r="K39" i="82"/>
  <c r="H21" i="82"/>
  <c r="H22" i="82" s="1"/>
  <c r="F21" i="82"/>
  <c r="F22" i="82" s="1"/>
  <c r="C31" i="82"/>
  <c r="C30" i="82"/>
  <c r="C29" i="82"/>
  <c r="D23" i="82"/>
  <c r="D25" i="82" s="1"/>
  <c r="D24" i="82"/>
  <c r="D27" i="82" s="1"/>
  <c r="D54" i="82"/>
  <c r="E41" i="82"/>
  <c r="N41" i="82"/>
  <c r="N39" i="82"/>
  <c r="D21" i="82"/>
  <c r="D22" i="82" s="1"/>
  <c r="L41" i="82"/>
  <c r="L39" i="82"/>
  <c r="C21" i="82"/>
  <c r="C22" i="82" s="1"/>
  <c r="H41" i="82"/>
  <c r="E21" i="82"/>
  <c r="E22" i="82" s="1"/>
  <c r="G21" i="82"/>
  <c r="G22" i="82" s="1"/>
  <c r="M41" i="82"/>
  <c r="M39" i="82"/>
  <c r="I21" i="82"/>
  <c r="I22" i="82" s="1"/>
  <c r="F41" i="82"/>
  <c r="G23" i="82" l="1"/>
  <c r="G25" i="82" s="1"/>
  <c r="G54" i="82"/>
  <c r="C42" i="82"/>
  <c r="H8" i="1" s="1"/>
  <c r="I23" i="82"/>
  <c r="I25" i="82" s="1"/>
  <c r="I24" i="82"/>
  <c r="I27" i="82" s="1"/>
  <c r="E54" i="82"/>
  <c r="C55" i="82" s="1"/>
  <c r="K59" i="1" s="1"/>
  <c r="E23" i="82"/>
  <c r="E25" i="82" s="1"/>
  <c r="E24" i="82"/>
  <c r="E27" i="82" s="1"/>
  <c r="I26" i="82"/>
  <c r="K54" i="82"/>
  <c r="K24" i="82"/>
  <c r="K27" i="82" s="1"/>
  <c r="K23" i="82"/>
  <c r="K25" i="82" s="1"/>
  <c r="K26" i="82" s="1"/>
  <c r="G26" i="82"/>
  <c r="H54" i="82"/>
  <c r="H24" i="82"/>
  <c r="H27" i="82" s="1"/>
  <c r="H23" i="82"/>
  <c r="H25" i="82" s="1"/>
  <c r="J54" i="82"/>
  <c r="J24" i="82"/>
  <c r="J27" i="82" s="1"/>
  <c r="J23" i="82"/>
  <c r="J25" i="82" s="1"/>
  <c r="J26" i="82" s="1"/>
  <c r="D26" i="82"/>
  <c r="C26" i="82"/>
  <c r="F54" i="82"/>
  <c r="F24" i="82"/>
  <c r="F27" i="82" s="1"/>
  <c r="F23" i="82"/>
  <c r="F25" i="82" s="1"/>
  <c r="L54" i="82"/>
  <c r="L24" i="82"/>
  <c r="L27" i="82" s="1"/>
  <c r="L23" i="82"/>
  <c r="L25" i="82" s="1"/>
  <c r="L26" i="82" s="1"/>
  <c r="M54" i="82"/>
  <c r="M24" i="82"/>
  <c r="M27" i="82" s="1"/>
  <c r="M23" i="82"/>
  <c r="M25" i="82" s="1"/>
  <c r="M26" i="82" s="1"/>
  <c r="N54" i="82"/>
  <c r="N24" i="82"/>
  <c r="N27" i="82" s="1"/>
  <c r="N23" i="82"/>
  <c r="N25" i="82" s="1"/>
  <c r="N26" i="82" s="1"/>
  <c r="H26" i="82" l="1"/>
  <c r="F26" i="82"/>
  <c r="E26" i="82"/>
  <c r="N143" i="81"/>
  <c r="M143" i="81"/>
  <c r="L143" i="81"/>
  <c r="K143" i="81"/>
  <c r="J143" i="81"/>
  <c r="I38" i="81"/>
  <c r="H38" i="81"/>
  <c r="G38" i="81"/>
  <c r="F38" i="81"/>
  <c r="E38" i="81"/>
  <c r="D38" i="81"/>
  <c r="C38" i="81"/>
  <c r="N115" i="81"/>
  <c r="N120" i="81" s="1"/>
  <c r="M115" i="81"/>
  <c r="M120" i="81" s="1"/>
  <c r="L115" i="81"/>
  <c r="L120" i="81" s="1"/>
  <c r="K115" i="81"/>
  <c r="K120" i="81" s="1"/>
  <c r="J115" i="81"/>
  <c r="J120" i="81" s="1"/>
  <c r="N108" i="81"/>
  <c r="N109" i="81" s="1"/>
  <c r="M108" i="81"/>
  <c r="M15" i="81" s="1"/>
  <c r="M18" i="81" s="1"/>
  <c r="L108" i="81"/>
  <c r="L109" i="81" s="1"/>
  <c r="K108" i="81"/>
  <c r="K109" i="81" s="1"/>
  <c r="J108" i="81"/>
  <c r="J109" i="81" s="1"/>
  <c r="N100" i="81"/>
  <c r="M100" i="81"/>
  <c r="L100" i="81"/>
  <c r="K100" i="81"/>
  <c r="J100" i="81"/>
  <c r="N99" i="81"/>
  <c r="M99" i="81"/>
  <c r="L99" i="81"/>
  <c r="K99" i="81"/>
  <c r="J99" i="81"/>
  <c r="G13" i="81"/>
  <c r="N93" i="81"/>
  <c r="M93" i="81"/>
  <c r="L93" i="81"/>
  <c r="K93" i="81"/>
  <c r="J93" i="81"/>
  <c r="N81" i="81"/>
  <c r="M81" i="81"/>
  <c r="L81" i="81"/>
  <c r="K81" i="81"/>
  <c r="J81" i="81"/>
  <c r="N80" i="81"/>
  <c r="M80" i="81"/>
  <c r="L80" i="81"/>
  <c r="K80" i="81"/>
  <c r="J80" i="81"/>
  <c r="I10" i="81"/>
  <c r="F48" i="81"/>
  <c r="I47" i="81"/>
  <c r="H47" i="81"/>
  <c r="H45" i="81" s="1"/>
  <c r="E47" i="81"/>
  <c r="C47" i="81"/>
  <c r="G46" i="81"/>
  <c r="G44" i="81" s="1"/>
  <c r="G52" i="81" s="1"/>
  <c r="D46" i="81"/>
  <c r="D45" i="81" s="1"/>
  <c r="N45" i="81"/>
  <c r="M45" i="81"/>
  <c r="L45" i="81"/>
  <c r="K45" i="81"/>
  <c r="J45" i="81"/>
  <c r="F45" i="81"/>
  <c r="N44" i="81"/>
  <c r="N52" i="81" s="1"/>
  <c r="M44" i="81"/>
  <c r="M52" i="81" s="1"/>
  <c r="L44" i="81"/>
  <c r="L52" i="81" s="1"/>
  <c r="K44" i="81"/>
  <c r="K52" i="81" s="1"/>
  <c r="J44" i="81"/>
  <c r="J52" i="81" s="1"/>
  <c r="I44" i="81"/>
  <c r="I52" i="81" s="1"/>
  <c r="F44" i="81"/>
  <c r="F52" i="81" s="1"/>
  <c r="C44" i="81"/>
  <c r="C52" i="81" s="1"/>
  <c r="N43" i="81"/>
  <c r="M43" i="81"/>
  <c r="L43" i="81"/>
  <c r="K43" i="81"/>
  <c r="J43" i="81"/>
  <c r="I43" i="81"/>
  <c r="H43" i="81"/>
  <c r="G43" i="81"/>
  <c r="F43" i="81"/>
  <c r="E43" i="81"/>
  <c r="D43" i="81"/>
  <c r="C43" i="81"/>
  <c r="N40" i="81"/>
  <c r="N50" i="81" s="1"/>
  <c r="M40" i="81"/>
  <c r="M50" i="81" s="1"/>
  <c r="L40" i="81"/>
  <c r="L50" i="81" s="1"/>
  <c r="K40" i="81"/>
  <c r="K50" i="81" s="1"/>
  <c r="J40" i="81"/>
  <c r="J50" i="81" s="1"/>
  <c r="I40" i="81"/>
  <c r="I20" i="81" s="1"/>
  <c r="H40" i="81"/>
  <c r="H20" i="81" s="1"/>
  <c r="G40" i="81"/>
  <c r="G50" i="81" s="1"/>
  <c r="F40" i="81"/>
  <c r="E40" i="81"/>
  <c r="D40" i="81"/>
  <c r="D50" i="81" s="1"/>
  <c r="C40" i="81"/>
  <c r="C20" i="81" s="1"/>
  <c r="I36" i="81"/>
  <c r="H36" i="81"/>
  <c r="G36" i="81"/>
  <c r="F36" i="81"/>
  <c r="E36" i="81"/>
  <c r="D36" i="81"/>
  <c r="C36" i="81"/>
  <c r="N35" i="81"/>
  <c r="M35" i="81"/>
  <c r="L35" i="81"/>
  <c r="K35" i="81"/>
  <c r="J35" i="81"/>
  <c r="I35" i="81"/>
  <c r="H35" i="81"/>
  <c r="G35" i="81"/>
  <c r="F35" i="81"/>
  <c r="E35" i="81"/>
  <c r="D35" i="81"/>
  <c r="C35" i="81"/>
  <c r="G20" i="81"/>
  <c r="F20" i="81"/>
  <c r="E20" i="81"/>
  <c r="N15" i="81"/>
  <c r="N18" i="81" s="1"/>
  <c r="L15" i="81"/>
  <c r="L18" i="81" s="1"/>
  <c r="N13" i="81"/>
  <c r="M13" i="81"/>
  <c r="L13" i="81"/>
  <c r="K13" i="81"/>
  <c r="J13" i="81"/>
  <c r="I13" i="81"/>
  <c r="H13" i="81"/>
  <c r="F13" i="81"/>
  <c r="E13" i="81"/>
  <c r="D13" i="81"/>
  <c r="C13" i="81"/>
  <c r="N12" i="81"/>
  <c r="N14" i="81" s="1"/>
  <c r="M12" i="81"/>
  <c r="L12" i="81"/>
  <c r="K12" i="81"/>
  <c r="K14" i="81" s="1"/>
  <c r="J12" i="81"/>
  <c r="I12" i="81"/>
  <c r="H12" i="81"/>
  <c r="G12" i="81"/>
  <c r="F12" i="81"/>
  <c r="F14" i="81" s="1"/>
  <c r="E12" i="81"/>
  <c r="E14" i="81" s="1"/>
  <c r="D12" i="81"/>
  <c r="D14" i="81" s="1"/>
  <c r="C12" i="81"/>
  <c r="C14" i="81" s="1"/>
  <c r="N10" i="81"/>
  <c r="M10" i="81"/>
  <c r="L10" i="81"/>
  <c r="L11" i="81" s="1"/>
  <c r="K10" i="81"/>
  <c r="J10" i="81"/>
  <c r="H10" i="81"/>
  <c r="G10" i="81"/>
  <c r="F10" i="81"/>
  <c r="E10" i="81"/>
  <c r="D10" i="81"/>
  <c r="C10" i="81"/>
  <c r="N9" i="81"/>
  <c r="M9" i="81"/>
  <c r="L9" i="81"/>
  <c r="K9" i="81"/>
  <c r="J9" i="81"/>
  <c r="I9" i="81"/>
  <c r="H9" i="81"/>
  <c r="G9" i="81"/>
  <c r="F9" i="81"/>
  <c r="E9" i="81"/>
  <c r="D9" i="81"/>
  <c r="C9" i="81"/>
  <c r="N8" i="81"/>
  <c r="M8" i="81"/>
  <c r="L8" i="81"/>
  <c r="K8" i="81"/>
  <c r="J8" i="81"/>
  <c r="I8" i="81"/>
  <c r="H8" i="81"/>
  <c r="G8" i="81"/>
  <c r="F8" i="81"/>
  <c r="E8" i="81"/>
  <c r="D8" i="81"/>
  <c r="C8" i="81"/>
  <c r="N7" i="81"/>
  <c r="M7" i="81"/>
  <c r="M31" i="81" s="1"/>
  <c r="L7" i="81"/>
  <c r="K7" i="81"/>
  <c r="K31" i="81" s="1"/>
  <c r="J7" i="81"/>
  <c r="J31" i="81" s="1"/>
  <c r="I7" i="81"/>
  <c r="H7" i="81"/>
  <c r="G7" i="81"/>
  <c r="F7" i="81"/>
  <c r="E7" i="81"/>
  <c r="E31" i="81" s="1"/>
  <c r="D7" i="81"/>
  <c r="B3" i="81" a="1"/>
  <c r="B3" i="81" s="1"/>
  <c r="F58" i="1" s="1"/>
  <c r="B2" i="81"/>
  <c r="N31" i="81" l="1"/>
  <c r="N20" i="81"/>
  <c r="L14" i="81"/>
  <c r="L31" i="81"/>
  <c r="N11" i="81"/>
  <c r="N32" i="81" s="1"/>
  <c r="J15" i="81"/>
  <c r="J18" i="81" s="1"/>
  <c r="J21" i="81" s="1"/>
  <c r="K15" i="81"/>
  <c r="K18" i="81" s="1"/>
  <c r="K21" i="81" s="1"/>
  <c r="H14" i="81"/>
  <c r="C45" i="81"/>
  <c r="C50" i="81"/>
  <c r="I31" i="81"/>
  <c r="J11" i="81"/>
  <c r="J14" i="81"/>
  <c r="E45" i="81"/>
  <c r="E50" i="81"/>
  <c r="K11" i="81"/>
  <c r="K32" i="81" s="1"/>
  <c r="J20" i="81"/>
  <c r="G45" i="81"/>
  <c r="H50" i="81"/>
  <c r="K20" i="81"/>
  <c r="D44" i="81"/>
  <c r="D52" i="81" s="1"/>
  <c r="I50" i="81"/>
  <c r="M11" i="81"/>
  <c r="M14" i="81"/>
  <c r="L20" i="81"/>
  <c r="I45" i="81"/>
  <c r="F50" i="81"/>
  <c r="D31" i="81"/>
  <c r="M20" i="81"/>
  <c r="F31" i="81"/>
  <c r="H44" i="81"/>
  <c r="H52" i="81" s="1"/>
  <c r="G31" i="81"/>
  <c r="G11" i="81"/>
  <c r="E37" i="81"/>
  <c r="H31" i="81"/>
  <c r="H11" i="81"/>
  <c r="I14" i="81"/>
  <c r="F37" i="81"/>
  <c r="H37" i="81"/>
  <c r="I37" i="81"/>
  <c r="D11" i="81"/>
  <c r="D32" i="81" s="1"/>
  <c r="G37" i="81"/>
  <c r="E11" i="81"/>
  <c r="E32" i="81" s="1"/>
  <c r="C37" i="81"/>
  <c r="F11" i="81"/>
  <c r="F32" i="81" s="1"/>
  <c r="G14" i="81"/>
  <c r="D20" i="81"/>
  <c r="D37" i="81"/>
  <c r="I11" i="81"/>
  <c r="D15" i="81"/>
  <c r="D18" i="81" s="1"/>
  <c r="L32" i="81"/>
  <c r="E15" i="81"/>
  <c r="E18" i="81" s="1"/>
  <c r="M21" i="81"/>
  <c r="M22" i="81" s="1"/>
  <c r="M36" i="81"/>
  <c r="M37" i="81" s="1"/>
  <c r="M126" i="81"/>
  <c r="M128" i="81" s="1"/>
  <c r="M130" i="81" s="1"/>
  <c r="M38" i="81" s="1"/>
  <c r="G39" i="81"/>
  <c r="F15" i="81"/>
  <c r="F18" i="81" s="1"/>
  <c r="N36" i="81"/>
  <c r="N37" i="81" s="1"/>
  <c r="N126" i="81"/>
  <c r="N128" i="81" s="1"/>
  <c r="N130" i="81" s="1"/>
  <c r="N38" i="81" s="1"/>
  <c r="H39" i="81"/>
  <c r="G15" i="81"/>
  <c r="G18" i="81" s="1"/>
  <c r="I39" i="81"/>
  <c r="H15" i="81"/>
  <c r="H18" i="81" s="1"/>
  <c r="F39" i="81"/>
  <c r="L21" i="81"/>
  <c r="L22" i="81" s="1"/>
  <c r="I15" i="81"/>
  <c r="I18" i="81" s="1"/>
  <c r="N21" i="81"/>
  <c r="N22" i="81" s="1"/>
  <c r="L126" i="81"/>
  <c r="L128" i="81" s="1"/>
  <c r="L130" i="81" s="1"/>
  <c r="L38" i="81" s="1"/>
  <c r="L36" i="81"/>
  <c r="L37" i="81" s="1"/>
  <c r="J36" i="81"/>
  <c r="J37" i="81" s="1"/>
  <c r="J126" i="81"/>
  <c r="J128" i="81" s="1"/>
  <c r="J130" i="81" s="1"/>
  <c r="J38" i="81" s="1"/>
  <c r="C39" i="81"/>
  <c r="E39" i="81"/>
  <c r="C15" i="81"/>
  <c r="C18" i="81" s="1"/>
  <c r="K126" i="81"/>
  <c r="K128" i="81" s="1"/>
  <c r="K130" i="81" s="1"/>
  <c r="K38" i="81" s="1"/>
  <c r="K36" i="81"/>
  <c r="K37" i="81" s="1"/>
  <c r="D39" i="81"/>
  <c r="K30" i="81"/>
  <c r="M109" i="81"/>
  <c r="L29" i="81"/>
  <c r="L30" i="81"/>
  <c r="M29" i="81"/>
  <c r="M30" i="81"/>
  <c r="N29" i="81"/>
  <c r="N30" i="81"/>
  <c r="C7" i="81"/>
  <c r="D29" i="81"/>
  <c r="D30" i="81"/>
  <c r="K29" i="81"/>
  <c r="E29" i="81"/>
  <c r="E30" i="81"/>
  <c r="F29" i="81"/>
  <c r="F30" i="81"/>
  <c r="E44" i="81"/>
  <c r="G29" i="81"/>
  <c r="G30" i="81"/>
  <c r="H29" i="81"/>
  <c r="H30" i="81"/>
  <c r="I29" i="81"/>
  <c r="I30" i="81"/>
  <c r="J29" i="81"/>
  <c r="J30" i="81"/>
  <c r="J22" i="81" l="1"/>
  <c r="G32" i="81"/>
  <c r="K22" i="81"/>
  <c r="H32" i="81"/>
  <c r="M32" i="81"/>
  <c r="J32" i="81"/>
  <c r="F41" i="81"/>
  <c r="F24" i="81" s="1"/>
  <c r="F27" i="81" s="1"/>
  <c r="G41" i="81"/>
  <c r="G24" i="81" s="1"/>
  <c r="G27" i="81" s="1"/>
  <c r="C51" i="81"/>
  <c r="D3" i="81"/>
  <c r="E41" i="81"/>
  <c r="E24" i="81" s="1"/>
  <c r="E27" i="81" s="1"/>
  <c r="C41" i="81"/>
  <c r="C54" i="81" s="1"/>
  <c r="I32" i="81"/>
  <c r="D41" i="81"/>
  <c r="D24" i="81" s="1"/>
  <c r="D27" i="81" s="1"/>
  <c r="H21" i="81"/>
  <c r="H22" i="81" s="1"/>
  <c r="M41" i="81"/>
  <c r="M39" i="81"/>
  <c r="F23" i="81"/>
  <c r="F25" i="81" s="1"/>
  <c r="F54" i="81"/>
  <c r="J41" i="81"/>
  <c r="J39" i="81"/>
  <c r="D23" i="81"/>
  <c r="D25" i="81" s="1"/>
  <c r="D54" i="81"/>
  <c r="H41" i="81"/>
  <c r="I21" i="81"/>
  <c r="I22" i="81" s="1"/>
  <c r="N41" i="81"/>
  <c r="N39" i="81"/>
  <c r="K41" i="81"/>
  <c r="K39" i="81"/>
  <c r="E3" i="81"/>
  <c r="E52" i="81"/>
  <c r="C53" i="81" s="1"/>
  <c r="E21" i="81"/>
  <c r="E22" i="81" s="1"/>
  <c r="L41" i="81"/>
  <c r="L39" i="81"/>
  <c r="C31" i="81"/>
  <c r="C30" i="81"/>
  <c r="C29" i="81"/>
  <c r="C21" i="81"/>
  <c r="C22" i="81" s="1"/>
  <c r="I41" i="81"/>
  <c r="F21" i="81"/>
  <c r="F22" i="81" s="1"/>
  <c r="C11" i="81"/>
  <c r="C32" i="81" s="1"/>
  <c r="G21" i="81"/>
  <c r="G22" i="81" s="1"/>
  <c r="D21" i="81"/>
  <c r="D22" i="81" s="1"/>
  <c r="E23" i="81" l="1"/>
  <c r="E25" i="81" s="1"/>
  <c r="G54" i="81"/>
  <c r="G23" i="81"/>
  <c r="G25" i="81" s="1"/>
  <c r="E54" i="81"/>
  <c r="C24" i="81"/>
  <c r="C27" i="81" s="1"/>
  <c r="C42" i="81"/>
  <c r="H15" i="1" s="1"/>
  <c r="Q58" i="1"/>
  <c r="C23" i="81"/>
  <c r="C25" i="81" s="1"/>
  <c r="C26" i="81" s="1"/>
  <c r="F26" i="81"/>
  <c r="L54" i="81"/>
  <c r="L24" i="81"/>
  <c r="L27" i="81" s="1"/>
  <c r="L23" i="81"/>
  <c r="L25" i="81" s="1"/>
  <c r="L26" i="81" s="1"/>
  <c r="M54" i="81"/>
  <c r="M24" i="81"/>
  <c r="M27" i="81" s="1"/>
  <c r="M23" i="81"/>
  <c r="M25" i="81" s="1"/>
  <c r="M26" i="81" s="1"/>
  <c r="J24" i="81"/>
  <c r="J27" i="81" s="1"/>
  <c r="J23" i="81"/>
  <c r="J25" i="81" s="1"/>
  <c r="J26" i="81" s="1"/>
  <c r="J54" i="81"/>
  <c r="H24" i="81"/>
  <c r="H27" i="81" s="1"/>
  <c r="H23" i="81"/>
  <c r="H25" i="81" s="1"/>
  <c r="H54" i="81"/>
  <c r="E26" i="81"/>
  <c r="N54" i="81"/>
  <c r="N24" i="81"/>
  <c r="N27" i="81" s="1"/>
  <c r="N23" i="81"/>
  <c r="N25" i="81" s="1"/>
  <c r="N26" i="81" s="1"/>
  <c r="K24" i="81"/>
  <c r="K27" i="81" s="1"/>
  <c r="K54" i="81"/>
  <c r="K23" i="81"/>
  <c r="K25" i="81" s="1"/>
  <c r="K26" i="81" s="1"/>
  <c r="D26" i="81"/>
  <c r="G26" i="81"/>
  <c r="I24" i="81"/>
  <c r="I27" i="81" s="1"/>
  <c r="I23" i="81"/>
  <c r="I25" i="81" s="1"/>
  <c r="I54" i="81"/>
  <c r="J41" i="80"/>
  <c r="J42" i="80" s="1"/>
  <c r="J53" i="80" s="1"/>
  <c r="K41" i="80"/>
  <c r="K42" i="80" s="1"/>
  <c r="K53" i="80" s="1"/>
  <c r="L41" i="80"/>
  <c r="L42" i="80" s="1"/>
  <c r="L53" i="80" s="1"/>
  <c r="M41" i="80"/>
  <c r="M42" i="80" s="1"/>
  <c r="M53" i="80" s="1"/>
  <c r="N41" i="80"/>
  <c r="N42" i="80" s="1"/>
  <c r="N53" i="80" s="1"/>
  <c r="D50" i="80"/>
  <c r="F50" i="80"/>
  <c r="H50" i="80"/>
  <c r="D37" i="80"/>
  <c r="F37" i="80"/>
  <c r="H37" i="80"/>
  <c r="C46" i="80"/>
  <c r="D46" i="80"/>
  <c r="E46" i="80"/>
  <c r="G46" i="80"/>
  <c r="I46" i="80"/>
  <c r="C41" i="80"/>
  <c r="C42" i="80" s="1"/>
  <c r="C53" i="80" s="1"/>
  <c r="D41" i="80"/>
  <c r="D42" i="80" s="1"/>
  <c r="D21" i="80" s="1"/>
  <c r="E41" i="80"/>
  <c r="E42" i="80" s="1"/>
  <c r="E53" i="80" s="1"/>
  <c r="F41" i="80"/>
  <c r="F42" i="80" s="1"/>
  <c r="G41" i="80"/>
  <c r="G42" i="80" s="1"/>
  <c r="G53" i="80" s="1"/>
  <c r="H41" i="80"/>
  <c r="H42" i="80" s="1"/>
  <c r="I41" i="80"/>
  <c r="I42" i="80" s="1"/>
  <c r="I53" i="80" s="1"/>
  <c r="C13" i="80"/>
  <c r="D13" i="80"/>
  <c r="E13" i="80"/>
  <c r="D12" i="80"/>
  <c r="F12" i="80"/>
  <c r="D8" i="80"/>
  <c r="E8" i="80"/>
  <c r="F8" i="80"/>
  <c r="H8" i="80"/>
  <c r="D9" i="80"/>
  <c r="E9" i="80"/>
  <c r="F9" i="80"/>
  <c r="H9" i="80"/>
  <c r="I8" i="80"/>
  <c r="D7" i="80"/>
  <c r="F7" i="80"/>
  <c r="H7" i="80"/>
  <c r="I7" i="80"/>
  <c r="N146" i="80"/>
  <c r="M146" i="80"/>
  <c r="L146" i="80"/>
  <c r="K146" i="80"/>
  <c r="J146" i="80"/>
  <c r="C37" i="80"/>
  <c r="N118" i="80"/>
  <c r="N123" i="80" s="1"/>
  <c r="M118" i="80"/>
  <c r="M123" i="80" s="1"/>
  <c r="L118" i="80"/>
  <c r="L123" i="80" s="1"/>
  <c r="K118" i="80"/>
  <c r="K123" i="80" s="1"/>
  <c r="J118" i="80"/>
  <c r="J123" i="80" s="1"/>
  <c r="I36" i="80"/>
  <c r="G36" i="80"/>
  <c r="E36" i="80"/>
  <c r="C36" i="80"/>
  <c r="N111" i="80"/>
  <c r="N112" i="80" s="1"/>
  <c r="M111" i="80"/>
  <c r="M15" i="80" s="1"/>
  <c r="M18" i="80" s="1"/>
  <c r="M19" i="80" s="1"/>
  <c r="L111" i="80"/>
  <c r="L112" i="80" s="1"/>
  <c r="K111" i="80"/>
  <c r="K112" i="80" s="1"/>
  <c r="J111" i="80"/>
  <c r="J112" i="80" s="1"/>
  <c r="N103" i="80"/>
  <c r="M103" i="80"/>
  <c r="L103" i="80"/>
  <c r="K103" i="80"/>
  <c r="J103" i="80"/>
  <c r="N102" i="80"/>
  <c r="M102" i="80"/>
  <c r="L102" i="80"/>
  <c r="K102" i="80"/>
  <c r="J102" i="80"/>
  <c r="N96" i="80"/>
  <c r="M96" i="80"/>
  <c r="L96" i="80"/>
  <c r="K96" i="80"/>
  <c r="J96" i="80"/>
  <c r="N84" i="80"/>
  <c r="M84" i="80"/>
  <c r="L84" i="80"/>
  <c r="K84" i="80"/>
  <c r="J84" i="80"/>
  <c r="N83" i="80"/>
  <c r="M83" i="80"/>
  <c r="L83" i="80"/>
  <c r="K83" i="80"/>
  <c r="J83" i="80"/>
  <c r="F10" i="80"/>
  <c r="C8" i="80"/>
  <c r="N48" i="80"/>
  <c r="M48" i="80"/>
  <c r="L48" i="80"/>
  <c r="K48" i="80"/>
  <c r="J48" i="80"/>
  <c r="I48" i="80"/>
  <c r="G48" i="80"/>
  <c r="F48" i="80"/>
  <c r="E48" i="80"/>
  <c r="C48" i="80"/>
  <c r="N47" i="80"/>
  <c r="N55" i="80" s="1"/>
  <c r="M47" i="80"/>
  <c r="M55" i="80" s="1"/>
  <c r="L47" i="80"/>
  <c r="L55" i="80" s="1"/>
  <c r="K47" i="80"/>
  <c r="K55" i="80" s="1"/>
  <c r="J47" i="80"/>
  <c r="J55" i="80" s="1"/>
  <c r="I47" i="80"/>
  <c r="I55" i="80" s="1"/>
  <c r="G47" i="80"/>
  <c r="G55" i="80" s="1"/>
  <c r="F47" i="80"/>
  <c r="F55" i="80" s="1"/>
  <c r="E47" i="80"/>
  <c r="E55" i="80" s="1"/>
  <c r="C47" i="80"/>
  <c r="N46" i="80"/>
  <c r="M46" i="80"/>
  <c r="L46" i="80"/>
  <c r="K46" i="80"/>
  <c r="J46" i="80"/>
  <c r="H46" i="80"/>
  <c r="F46" i="80"/>
  <c r="I37" i="80"/>
  <c r="G37" i="80"/>
  <c r="E37" i="80"/>
  <c r="N36" i="80"/>
  <c r="M36" i="80"/>
  <c r="L36" i="80"/>
  <c r="K36" i="80"/>
  <c r="J36" i="80"/>
  <c r="H36" i="80"/>
  <c r="F36" i="80"/>
  <c r="D36" i="80"/>
  <c r="N13" i="80"/>
  <c r="M13" i="80"/>
  <c r="L13" i="80"/>
  <c r="K13" i="80"/>
  <c r="J13" i="80"/>
  <c r="H13" i="80"/>
  <c r="F13" i="80"/>
  <c r="N12" i="80"/>
  <c r="M12" i="80"/>
  <c r="L12" i="80"/>
  <c r="K12" i="80"/>
  <c r="J12" i="80"/>
  <c r="I12" i="80"/>
  <c r="E12" i="80"/>
  <c r="C12" i="80"/>
  <c r="N10" i="80"/>
  <c r="M10" i="80"/>
  <c r="L10" i="80"/>
  <c r="K10" i="80"/>
  <c r="J10" i="80"/>
  <c r="H10" i="80"/>
  <c r="N9" i="80"/>
  <c r="M9" i="80"/>
  <c r="L9" i="80"/>
  <c r="K9" i="80"/>
  <c r="J9" i="80"/>
  <c r="I9" i="80"/>
  <c r="G9" i="80"/>
  <c r="C9" i="80"/>
  <c r="N8" i="80"/>
  <c r="M8" i="80"/>
  <c r="L8" i="80"/>
  <c r="K8" i="80"/>
  <c r="J8" i="80"/>
  <c r="G8" i="80"/>
  <c r="N7" i="80"/>
  <c r="M7" i="80"/>
  <c r="L7" i="80"/>
  <c r="K7" i="80"/>
  <c r="J7" i="80"/>
  <c r="B3" i="80" a="1"/>
  <c r="B3" i="80" s="1"/>
  <c r="F57" i="1" s="1"/>
  <c r="B2" i="80"/>
  <c r="D130" i="76"/>
  <c r="E130" i="76"/>
  <c r="F130" i="76"/>
  <c r="G130" i="76"/>
  <c r="H130" i="76"/>
  <c r="I130" i="76"/>
  <c r="F126" i="76"/>
  <c r="G126" i="76"/>
  <c r="H126" i="76"/>
  <c r="I126" i="76"/>
  <c r="I143" i="76"/>
  <c r="I47" i="76" s="1"/>
  <c r="H143" i="76"/>
  <c r="H47" i="76" s="1"/>
  <c r="G143" i="76"/>
  <c r="F143" i="76"/>
  <c r="E143" i="76"/>
  <c r="E47" i="76" s="1"/>
  <c r="D143" i="76"/>
  <c r="C143" i="76"/>
  <c r="N130" i="76"/>
  <c r="M130" i="76"/>
  <c r="L130" i="76"/>
  <c r="K130" i="76"/>
  <c r="J130" i="76"/>
  <c r="J40" i="76" s="1"/>
  <c r="I128" i="76"/>
  <c r="I40" i="76" s="1"/>
  <c r="H128" i="76"/>
  <c r="H40" i="76" s="1"/>
  <c r="G128" i="76"/>
  <c r="F128" i="76"/>
  <c r="E126" i="76"/>
  <c r="E128" i="76" s="1"/>
  <c r="E40" i="76" s="1"/>
  <c r="D126" i="76"/>
  <c r="D128" i="76" s="1"/>
  <c r="D40" i="76" s="1"/>
  <c r="C120" i="76"/>
  <c r="C126" i="76" s="1"/>
  <c r="C128" i="76" s="1"/>
  <c r="C130" i="76" s="1"/>
  <c r="C40" i="76" s="1"/>
  <c r="I115" i="76"/>
  <c r="H115" i="76"/>
  <c r="G115" i="76"/>
  <c r="F115" i="76"/>
  <c r="E115" i="76"/>
  <c r="D115" i="76"/>
  <c r="C115" i="76"/>
  <c r="N109" i="76"/>
  <c r="M109" i="76"/>
  <c r="L109" i="76"/>
  <c r="K109" i="76"/>
  <c r="J109" i="76"/>
  <c r="I109" i="76"/>
  <c r="H109" i="76"/>
  <c r="G109" i="76"/>
  <c r="F109" i="76"/>
  <c r="I108" i="76"/>
  <c r="H108" i="76"/>
  <c r="G108" i="76"/>
  <c r="F108" i="76"/>
  <c r="E108" i="76"/>
  <c r="E109" i="76" s="1"/>
  <c r="D108" i="76"/>
  <c r="D109" i="76" s="1"/>
  <c r="C108" i="76"/>
  <c r="C109" i="76" s="1"/>
  <c r="I101" i="76"/>
  <c r="H101" i="76"/>
  <c r="G101" i="76"/>
  <c r="F101" i="76"/>
  <c r="E101" i="76"/>
  <c r="D101" i="76"/>
  <c r="C101" i="76"/>
  <c r="M100" i="76"/>
  <c r="L100" i="76"/>
  <c r="K100" i="76"/>
  <c r="J100" i="76"/>
  <c r="I100" i="76"/>
  <c r="H100" i="76"/>
  <c r="G100" i="76"/>
  <c r="F100" i="76"/>
  <c r="E100" i="76"/>
  <c r="D100" i="76"/>
  <c r="C100" i="76"/>
  <c r="M94" i="76"/>
  <c r="L94" i="76"/>
  <c r="K94" i="76"/>
  <c r="J94" i="76"/>
  <c r="I94" i="76"/>
  <c r="H94" i="76"/>
  <c r="G94" i="76"/>
  <c r="F94" i="76"/>
  <c r="E94" i="76"/>
  <c r="D94" i="76"/>
  <c r="C94" i="76"/>
  <c r="I82" i="76"/>
  <c r="H82" i="76"/>
  <c r="G82" i="76"/>
  <c r="F82" i="76"/>
  <c r="E82" i="76"/>
  <c r="D82" i="76"/>
  <c r="C82" i="76"/>
  <c r="M81" i="76"/>
  <c r="L81" i="76"/>
  <c r="K81" i="76"/>
  <c r="J81" i="76"/>
  <c r="I81" i="76"/>
  <c r="H81" i="76"/>
  <c r="G81" i="76"/>
  <c r="F81" i="76"/>
  <c r="E81" i="76"/>
  <c r="D81" i="76"/>
  <c r="C81" i="76"/>
  <c r="M70" i="76"/>
  <c r="L70" i="76"/>
  <c r="K70" i="76"/>
  <c r="J70" i="76"/>
  <c r="I70" i="76"/>
  <c r="H70" i="76"/>
  <c r="G70" i="76"/>
  <c r="F70" i="76"/>
  <c r="E70" i="76"/>
  <c r="D70" i="76"/>
  <c r="C70" i="76"/>
  <c r="L55" i="76"/>
  <c r="K55" i="76"/>
  <c r="J55" i="76"/>
  <c r="I55" i="76"/>
  <c r="N49" i="76"/>
  <c r="M49" i="76"/>
  <c r="L49" i="76"/>
  <c r="K49" i="76"/>
  <c r="J49" i="76"/>
  <c r="I49" i="76"/>
  <c r="F49" i="76"/>
  <c r="D49" i="76"/>
  <c r="C49" i="76"/>
  <c r="N48" i="76"/>
  <c r="N55" i="76" s="1"/>
  <c r="M48" i="76"/>
  <c r="M55" i="76" s="1"/>
  <c r="L48" i="76"/>
  <c r="K48" i="76"/>
  <c r="J48" i="76"/>
  <c r="I48" i="76"/>
  <c r="H48" i="76"/>
  <c r="H55" i="76" s="1"/>
  <c r="F48" i="76"/>
  <c r="F55" i="76" s="1"/>
  <c r="D48" i="76"/>
  <c r="D55" i="76" s="1"/>
  <c r="C48" i="76"/>
  <c r="C55" i="76" s="1"/>
  <c r="N47" i="76"/>
  <c r="M47" i="76"/>
  <c r="L47" i="76"/>
  <c r="K47" i="76"/>
  <c r="J47" i="76"/>
  <c r="G47" i="76"/>
  <c r="F47" i="76"/>
  <c r="D47" i="76"/>
  <c r="C47" i="76"/>
  <c r="N42" i="76"/>
  <c r="N43" i="76" s="1"/>
  <c r="M42" i="76"/>
  <c r="M43" i="76" s="1"/>
  <c r="L42" i="76"/>
  <c r="L43" i="76" s="1"/>
  <c r="K42" i="76"/>
  <c r="K43" i="76" s="1"/>
  <c r="J42" i="76"/>
  <c r="J43" i="76" s="1"/>
  <c r="I42" i="76"/>
  <c r="I43" i="76" s="1"/>
  <c r="H42" i="76"/>
  <c r="H43" i="76" s="1"/>
  <c r="H22" i="76" s="1"/>
  <c r="G42" i="76"/>
  <c r="G43" i="76" s="1"/>
  <c r="G22" i="76" s="1"/>
  <c r="F42" i="76"/>
  <c r="F43" i="76" s="1"/>
  <c r="F22" i="76" s="1"/>
  <c r="E42" i="76"/>
  <c r="E43" i="76" s="1"/>
  <c r="E22" i="76" s="1"/>
  <c r="D42" i="76"/>
  <c r="D43" i="76" s="1"/>
  <c r="C42" i="76"/>
  <c r="C43" i="76" s="1"/>
  <c r="N40" i="76"/>
  <c r="N45" i="76" s="1"/>
  <c r="M40" i="76"/>
  <c r="M45" i="76" s="1"/>
  <c r="L40" i="76"/>
  <c r="L45" i="76" s="1"/>
  <c r="K40" i="76"/>
  <c r="K45" i="76" s="1"/>
  <c r="N38" i="76"/>
  <c r="N39" i="76" s="1"/>
  <c r="M38" i="76"/>
  <c r="M39" i="76" s="1"/>
  <c r="L38" i="76"/>
  <c r="L39" i="76" s="1"/>
  <c r="K38" i="76"/>
  <c r="K39" i="76" s="1"/>
  <c r="J38" i="76"/>
  <c r="J39" i="76" s="1"/>
  <c r="I38" i="76"/>
  <c r="H38" i="76"/>
  <c r="G38" i="76"/>
  <c r="F38" i="76"/>
  <c r="E38" i="76"/>
  <c r="D38" i="76"/>
  <c r="C38" i="76"/>
  <c r="C39" i="76" s="1"/>
  <c r="N37" i="76"/>
  <c r="M37" i="76"/>
  <c r="L37" i="76"/>
  <c r="K37" i="76"/>
  <c r="J37" i="76"/>
  <c r="I37" i="76"/>
  <c r="H37" i="76"/>
  <c r="G37" i="76"/>
  <c r="F37" i="76"/>
  <c r="E37" i="76"/>
  <c r="D37" i="76"/>
  <c r="C37" i="76"/>
  <c r="N16" i="76"/>
  <c r="N19" i="76" s="1"/>
  <c r="N20" i="76" s="1"/>
  <c r="M16" i="76"/>
  <c r="M19" i="76" s="1"/>
  <c r="M20" i="76" s="1"/>
  <c r="L16" i="76"/>
  <c r="L19" i="76" s="1"/>
  <c r="L20" i="76" s="1"/>
  <c r="K16" i="76"/>
  <c r="K19" i="76" s="1"/>
  <c r="K20" i="76" s="1"/>
  <c r="J16" i="76"/>
  <c r="J19" i="76" s="1"/>
  <c r="J20" i="76" s="1"/>
  <c r="I16" i="76"/>
  <c r="I19" i="76" s="1"/>
  <c r="I20" i="76" s="1"/>
  <c r="H16" i="76"/>
  <c r="H19" i="76" s="1"/>
  <c r="H20" i="76" s="1"/>
  <c r="G16" i="76"/>
  <c r="G19" i="76" s="1"/>
  <c r="G20" i="76" s="1"/>
  <c r="F16" i="76"/>
  <c r="F19" i="76" s="1"/>
  <c r="F20" i="76" s="1"/>
  <c r="E16" i="76"/>
  <c r="E19" i="76" s="1"/>
  <c r="E20" i="76" s="1"/>
  <c r="D16" i="76"/>
  <c r="D19" i="76" s="1"/>
  <c r="D20" i="76" s="1"/>
  <c r="C16" i="76"/>
  <c r="C19" i="76" s="1"/>
  <c r="C20" i="76" s="1"/>
  <c r="N14" i="76"/>
  <c r="M14" i="76"/>
  <c r="L14" i="76"/>
  <c r="K14" i="76"/>
  <c r="J14" i="76"/>
  <c r="I14" i="76"/>
  <c r="H14" i="76"/>
  <c r="G14" i="76"/>
  <c r="F14" i="76"/>
  <c r="E14" i="76"/>
  <c r="D14" i="76"/>
  <c r="C14" i="76"/>
  <c r="N13" i="76"/>
  <c r="N33" i="76" s="1"/>
  <c r="M13" i="76"/>
  <c r="M15" i="76" s="1"/>
  <c r="L13" i="76"/>
  <c r="L15" i="76" s="1"/>
  <c r="K13" i="76"/>
  <c r="K15" i="76" s="1"/>
  <c r="J13" i="76"/>
  <c r="J15" i="76" s="1"/>
  <c r="I13" i="76"/>
  <c r="I15" i="76" s="1"/>
  <c r="H13" i="76"/>
  <c r="H15" i="76" s="1"/>
  <c r="G13" i="76"/>
  <c r="G15" i="76" s="1"/>
  <c r="F13" i="76"/>
  <c r="F15" i="76" s="1"/>
  <c r="E13" i="76"/>
  <c r="E15" i="76" s="1"/>
  <c r="D13" i="76"/>
  <c r="D15" i="76" s="1"/>
  <c r="C13" i="76"/>
  <c r="C15" i="76" s="1"/>
  <c r="N11" i="76"/>
  <c r="N12" i="76" s="1"/>
  <c r="M11" i="76"/>
  <c r="M12" i="76" s="1"/>
  <c r="L11" i="76"/>
  <c r="L12" i="76" s="1"/>
  <c r="K11" i="76"/>
  <c r="K12" i="76" s="1"/>
  <c r="J11" i="76"/>
  <c r="J12" i="76" s="1"/>
  <c r="I11" i="76"/>
  <c r="H11" i="76"/>
  <c r="G11" i="76"/>
  <c r="F11" i="76"/>
  <c r="E11" i="76"/>
  <c r="D11" i="76"/>
  <c r="C11" i="76"/>
  <c r="C12" i="76" s="1"/>
  <c r="N9" i="76"/>
  <c r="M9" i="76"/>
  <c r="M10" i="76" s="1"/>
  <c r="L9" i="76"/>
  <c r="L10" i="76" s="1"/>
  <c r="K9" i="76"/>
  <c r="K10" i="76" s="1"/>
  <c r="J9" i="76"/>
  <c r="J10" i="76" s="1"/>
  <c r="I9" i="76"/>
  <c r="H9" i="76"/>
  <c r="G9" i="76"/>
  <c r="F9" i="76"/>
  <c r="E9" i="76"/>
  <c r="D9" i="76"/>
  <c r="C9" i="76"/>
  <c r="C10" i="76" s="1"/>
  <c r="N8" i="76"/>
  <c r="M8" i="76"/>
  <c r="L8" i="76"/>
  <c r="K8" i="76"/>
  <c r="J8" i="76"/>
  <c r="I8" i="76"/>
  <c r="H8" i="76"/>
  <c r="G8" i="76"/>
  <c r="F8" i="76"/>
  <c r="E8" i="76"/>
  <c r="D8" i="76"/>
  <c r="C8" i="76"/>
  <c r="N7" i="76"/>
  <c r="M7" i="76"/>
  <c r="M33" i="76" s="1"/>
  <c r="L7" i="76"/>
  <c r="L33" i="76" s="1"/>
  <c r="K7" i="76"/>
  <c r="K33" i="76" s="1"/>
  <c r="J7" i="76"/>
  <c r="J33" i="76" s="1"/>
  <c r="I7" i="76"/>
  <c r="I33" i="76" s="1"/>
  <c r="H7" i="76"/>
  <c r="H33" i="76" s="1"/>
  <c r="G7" i="76"/>
  <c r="G33" i="76" s="1"/>
  <c r="F7" i="76"/>
  <c r="F33" i="76" s="1"/>
  <c r="E7" i="76"/>
  <c r="E33" i="76" s="1"/>
  <c r="D7" i="76"/>
  <c r="D33" i="76" s="1"/>
  <c r="C7" i="76"/>
  <c r="C33" i="76" s="1"/>
  <c r="B3" i="76" a="1"/>
  <c r="B3" i="76" s="1"/>
  <c r="B2" i="76"/>
  <c r="D138" i="71"/>
  <c r="D146" i="71" s="1"/>
  <c r="D47" i="71" s="1"/>
  <c r="E138" i="71"/>
  <c r="E146" i="71" s="1"/>
  <c r="E47" i="71" s="1"/>
  <c r="I146" i="71"/>
  <c r="I47" i="71" s="1"/>
  <c r="H146" i="71"/>
  <c r="G146" i="71"/>
  <c r="F146" i="71"/>
  <c r="F47" i="71" s="1"/>
  <c r="C146" i="71"/>
  <c r="N133" i="71"/>
  <c r="M133" i="71"/>
  <c r="L133" i="71"/>
  <c r="L40" i="71" s="1"/>
  <c r="K133" i="71"/>
  <c r="K40" i="71" s="1"/>
  <c r="J133" i="71"/>
  <c r="J40" i="71" s="1"/>
  <c r="I131" i="71"/>
  <c r="I133" i="71" s="1"/>
  <c r="I40" i="71" s="1"/>
  <c r="H131" i="71"/>
  <c r="H133" i="71" s="1"/>
  <c r="H40" i="71" s="1"/>
  <c r="G131" i="71"/>
  <c r="G133" i="71" s="1"/>
  <c r="G40" i="71" s="1"/>
  <c r="F131" i="71"/>
  <c r="F133" i="71" s="1"/>
  <c r="F40" i="71" s="1"/>
  <c r="E131" i="71"/>
  <c r="E133" i="71" s="1"/>
  <c r="E40" i="71" s="1"/>
  <c r="D131" i="71"/>
  <c r="D133" i="71" s="1"/>
  <c r="D40" i="71" s="1"/>
  <c r="I118" i="71"/>
  <c r="H118" i="71"/>
  <c r="G118" i="71"/>
  <c r="F118" i="71"/>
  <c r="E118" i="71"/>
  <c r="D118" i="71"/>
  <c r="C118" i="71"/>
  <c r="C123" i="71" s="1"/>
  <c r="N112" i="71"/>
  <c r="M112" i="71"/>
  <c r="L112" i="71"/>
  <c r="K112" i="71"/>
  <c r="J112" i="71"/>
  <c r="I111" i="71"/>
  <c r="I112" i="71" s="1"/>
  <c r="H111" i="71"/>
  <c r="H112" i="71" s="1"/>
  <c r="G111" i="71"/>
  <c r="G112" i="71" s="1"/>
  <c r="F111" i="71"/>
  <c r="F16" i="71" s="1"/>
  <c r="F19" i="71" s="1"/>
  <c r="F20" i="71" s="1"/>
  <c r="E111" i="71"/>
  <c r="E112" i="71" s="1"/>
  <c r="D111" i="71"/>
  <c r="D112" i="71" s="1"/>
  <c r="C111" i="71"/>
  <c r="C112" i="71" s="1"/>
  <c r="I104" i="71"/>
  <c r="H104" i="71"/>
  <c r="G104" i="71"/>
  <c r="F104" i="71"/>
  <c r="E104" i="71"/>
  <c r="D104" i="71"/>
  <c r="C104" i="71"/>
  <c r="M103" i="71"/>
  <c r="L103" i="71"/>
  <c r="K103" i="71"/>
  <c r="J103" i="71"/>
  <c r="I103" i="71"/>
  <c r="H103" i="71"/>
  <c r="G103" i="71"/>
  <c r="F103" i="71"/>
  <c r="E103" i="71"/>
  <c r="D103" i="71"/>
  <c r="C103" i="71"/>
  <c r="M97" i="71"/>
  <c r="L97" i="71"/>
  <c r="K97" i="71"/>
  <c r="J97" i="71"/>
  <c r="I97" i="71"/>
  <c r="H97" i="71"/>
  <c r="G97" i="71"/>
  <c r="F97" i="71"/>
  <c r="E97" i="71"/>
  <c r="D97" i="71"/>
  <c r="C97" i="71"/>
  <c r="I85" i="71"/>
  <c r="H85" i="71"/>
  <c r="G85" i="71"/>
  <c r="F85" i="71"/>
  <c r="E85" i="71"/>
  <c r="D85" i="71"/>
  <c r="C85" i="71"/>
  <c r="M84" i="71"/>
  <c r="L84" i="71"/>
  <c r="K84" i="71"/>
  <c r="J84" i="71"/>
  <c r="I84" i="71"/>
  <c r="H84" i="71"/>
  <c r="G84" i="71"/>
  <c r="F84" i="71"/>
  <c r="E84" i="71"/>
  <c r="D84" i="71"/>
  <c r="C84" i="71"/>
  <c r="M73" i="71"/>
  <c r="L73" i="71"/>
  <c r="K73" i="71"/>
  <c r="J73" i="71"/>
  <c r="I73" i="71"/>
  <c r="H73" i="71"/>
  <c r="G73" i="71"/>
  <c r="F73" i="71"/>
  <c r="E73" i="71"/>
  <c r="D73" i="71"/>
  <c r="C73" i="71"/>
  <c r="N49" i="71"/>
  <c r="M49" i="71"/>
  <c r="L49" i="71"/>
  <c r="K49" i="71"/>
  <c r="J49" i="71"/>
  <c r="I49" i="71"/>
  <c r="H49" i="71"/>
  <c r="F49" i="71"/>
  <c r="E49" i="71"/>
  <c r="D49" i="71"/>
  <c r="C49" i="71"/>
  <c r="N48" i="71"/>
  <c r="N56" i="71" s="1"/>
  <c r="M48" i="71"/>
  <c r="M56" i="71" s="1"/>
  <c r="L48" i="71"/>
  <c r="L56" i="71" s="1"/>
  <c r="K48" i="71"/>
  <c r="K56" i="71" s="1"/>
  <c r="J48" i="71"/>
  <c r="J56" i="71" s="1"/>
  <c r="I48" i="71"/>
  <c r="I56" i="71" s="1"/>
  <c r="H48" i="71"/>
  <c r="H56" i="71" s="1"/>
  <c r="F48" i="71"/>
  <c r="F56" i="71" s="1"/>
  <c r="E48" i="71"/>
  <c r="E56" i="71" s="1"/>
  <c r="D48" i="71"/>
  <c r="D56" i="71" s="1"/>
  <c r="C48" i="71"/>
  <c r="C56" i="71" s="1"/>
  <c r="N47" i="71"/>
  <c r="M47" i="71"/>
  <c r="L47" i="71"/>
  <c r="K47" i="71"/>
  <c r="J47" i="71"/>
  <c r="H47" i="71"/>
  <c r="G47" i="71"/>
  <c r="C47" i="71"/>
  <c r="N42" i="71"/>
  <c r="N43" i="71" s="1"/>
  <c r="N54" i="71" s="1"/>
  <c r="M42" i="71"/>
  <c r="M43" i="71" s="1"/>
  <c r="M54" i="71" s="1"/>
  <c r="L42" i="71"/>
  <c r="L43" i="71" s="1"/>
  <c r="L54" i="71" s="1"/>
  <c r="K42" i="71"/>
  <c r="K43" i="71" s="1"/>
  <c r="K54" i="71" s="1"/>
  <c r="J42" i="71"/>
  <c r="J43" i="71" s="1"/>
  <c r="J54" i="71" s="1"/>
  <c r="I42" i="71"/>
  <c r="I43" i="71" s="1"/>
  <c r="I54" i="71" s="1"/>
  <c r="H42" i="71"/>
  <c r="H43" i="71" s="1"/>
  <c r="H54" i="71" s="1"/>
  <c r="G42" i="71"/>
  <c r="G43" i="71" s="1"/>
  <c r="F42" i="71"/>
  <c r="F43" i="71" s="1"/>
  <c r="E42" i="71"/>
  <c r="E43" i="71" s="1"/>
  <c r="D42" i="71"/>
  <c r="D43" i="71" s="1"/>
  <c r="D54" i="71" s="1"/>
  <c r="C42" i="71"/>
  <c r="C43" i="71" s="1"/>
  <c r="C54" i="71" s="1"/>
  <c r="N40" i="71"/>
  <c r="M40" i="71"/>
  <c r="N38" i="71"/>
  <c r="M38" i="71"/>
  <c r="L38" i="71"/>
  <c r="K38" i="71"/>
  <c r="J38" i="71"/>
  <c r="I38" i="71"/>
  <c r="H38" i="71"/>
  <c r="G38" i="71"/>
  <c r="F38" i="71"/>
  <c r="E38" i="71"/>
  <c r="D38" i="71"/>
  <c r="N37" i="71"/>
  <c r="M37" i="71"/>
  <c r="L37" i="71"/>
  <c r="K37" i="71"/>
  <c r="J37" i="71"/>
  <c r="I37" i="71"/>
  <c r="H37" i="71"/>
  <c r="G37" i="71"/>
  <c r="F37" i="71"/>
  <c r="E37" i="71"/>
  <c r="D37" i="71"/>
  <c r="C37" i="71"/>
  <c r="N16" i="71"/>
  <c r="N19" i="71" s="1"/>
  <c r="N20" i="71" s="1"/>
  <c r="M16" i="71"/>
  <c r="M19" i="71" s="1"/>
  <c r="M20" i="71" s="1"/>
  <c r="L16" i="71"/>
  <c r="L19" i="71" s="1"/>
  <c r="L20" i="71" s="1"/>
  <c r="K16" i="71"/>
  <c r="K19" i="71" s="1"/>
  <c r="K20" i="71" s="1"/>
  <c r="J16" i="71"/>
  <c r="J19" i="71" s="1"/>
  <c r="J20" i="71" s="1"/>
  <c r="H16" i="71"/>
  <c r="H19" i="71" s="1"/>
  <c r="H20" i="71" s="1"/>
  <c r="N14" i="71"/>
  <c r="M14" i="71"/>
  <c r="L14" i="71"/>
  <c r="K14" i="71"/>
  <c r="J14" i="71"/>
  <c r="I14" i="71"/>
  <c r="H14" i="71"/>
  <c r="G14" i="71"/>
  <c r="F14" i="71"/>
  <c r="E14" i="71"/>
  <c r="D14" i="71"/>
  <c r="C14" i="71"/>
  <c r="N13" i="71"/>
  <c r="M13" i="71"/>
  <c r="M15" i="71" s="1"/>
  <c r="L13" i="71"/>
  <c r="L15" i="71" s="1"/>
  <c r="K13" i="71"/>
  <c r="K15" i="71" s="1"/>
  <c r="J13" i="71"/>
  <c r="J15" i="71" s="1"/>
  <c r="I13" i="71"/>
  <c r="I15" i="71" s="1"/>
  <c r="H13" i="71"/>
  <c r="H15" i="71" s="1"/>
  <c r="G13" i="71"/>
  <c r="G15" i="71" s="1"/>
  <c r="F13" i="71"/>
  <c r="E13" i="71"/>
  <c r="E15" i="71" s="1"/>
  <c r="D13" i="71"/>
  <c r="D15" i="71" s="1"/>
  <c r="C13" i="71"/>
  <c r="C15" i="71" s="1"/>
  <c r="N11" i="71"/>
  <c r="M11" i="71"/>
  <c r="L11" i="71"/>
  <c r="K11" i="71"/>
  <c r="J11" i="71"/>
  <c r="I11" i="71"/>
  <c r="H11" i="71"/>
  <c r="G11" i="71"/>
  <c r="F11" i="71"/>
  <c r="E11" i="71"/>
  <c r="D11" i="71"/>
  <c r="C11" i="71"/>
  <c r="N9" i="71"/>
  <c r="M9" i="71"/>
  <c r="L9" i="71"/>
  <c r="K9" i="71"/>
  <c r="J9" i="71"/>
  <c r="I9" i="71"/>
  <c r="H9" i="71"/>
  <c r="G9" i="71"/>
  <c r="F9" i="71"/>
  <c r="E9" i="71"/>
  <c r="D9" i="71"/>
  <c r="C9" i="71"/>
  <c r="N8" i="71"/>
  <c r="M8" i="71"/>
  <c r="L8" i="71"/>
  <c r="K8" i="71"/>
  <c r="J8" i="71"/>
  <c r="I8" i="71"/>
  <c r="H8" i="71"/>
  <c r="G8" i="71"/>
  <c r="F8" i="71"/>
  <c r="E8" i="71"/>
  <c r="D8" i="71"/>
  <c r="C8" i="71"/>
  <c r="N7" i="71"/>
  <c r="M7" i="71"/>
  <c r="M33" i="71" s="1"/>
  <c r="L7" i="71"/>
  <c r="L33" i="71" s="1"/>
  <c r="K7" i="71"/>
  <c r="K33" i="71" s="1"/>
  <c r="J7" i="71"/>
  <c r="J33" i="71" s="1"/>
  <c r="I7" i="71"/>
  <c r="I33" i="71" s="1"/>
  <c r="H7" i="71"/>
  <c r="H33" i="71" s="1"/>
  <c r="G7" i="71"/>
  <c r="G33" i="71" s="1"/>
  <c r="F7" i="71"/>
  <c r="E7" i="71"/>
  <c r="E33" i="71" s="1"/>
  <c r="D7" i="71"/>
  <c r="D33" i="71" s="1"/>
  <c r="C7" i="71"/>
  <c r="C33" i="71" s="1"/>
  <c r="B3" i="71" a="1"/>
  <c r="B3" i="71" s="1"/>
  <c r="F56" i="1" s="1"/>
  <c r="B2" i="71"/>
  <c r="C62" i="23"/>
  <c r="E51" i="69"/>
  <c r="G51" i="69"/>
  <c r="G50" i="69"/>
  <c r="H51" i="69"/>
  <c r="I146" i="69"/>
  <c r="I47" i="69" s="1"/>
  <c r="H146" i="69"/>
  <c r="H47" i="69" s="1"/>
  <c r="G146" i="69"/>
  <c r="G47" i="69" s="1"/>
  <c r="F146" i="69"/>
  <c r="F47" i="69" s="1"/>
  <c r="E146" i="69"/>
  <c r="D47" i="69"/>
  <c r="C146" i="69"/>
  <c r="C47" i="69" s="1"/>
  <c r="N133" i="69"/>
  <c r="N40" i="69" s="1"/>
  <c r="M133" i="69"/>
  <c r="M40" i="69" s="1"/>
  <c r="L133" i="69"/>
  <c r="L40" i="69" s="1"/>
  <c r="K133" i="69"/>
  <c r="K40" i="69" s="1"/>
  <c r="J133" i="69"/>
  <c r="J40" i="69" s="1"/>
  <c r="I118" i="69"/>
  <c r="H118" i="69"/>
  <c r="H131" i="69" s="1"/>
  <c r="H133" i="69" s="1"/>
  <c r="H40" i="69" s="1"/>
  <c r="G118" i="69"/>
  <c r="G38" i="69" s="1"/>
  <c r="F118" i="69"/>
  <c r="E118" i="69"/>
  <c r="D118" i="69"/>
  <c r="C118" i="69"/>
  <c r="C123" i="69" s="1"/>
  <c r="N112" i="69"/>
  <c r="M112" i="69"/>
  <c r="L112" i="69"/>
  <c r="K112" i="69"/>
  <c r="J112" i="69"/>
  <c r="I111" i="69"/>
  <c r="I112" i="69" s="1"/>
  <c r="H111" i="69"/>
  <c r="H112" i="69" s="1"/>
  <c r="G111" i="69"/>
  <c r="G112" i="69" s="1"/>
  <c r="F111" i="69"/>
  <c r="F112" i="69" s="1"/>
  <c r="E111" i="69"/>
  <c r="E112" i="69" s="1"/>
  <c r="D111" i="69"/>
  <c r="D112" i="69" s="1"/>
  <c r="C111" i="69"/>
  <c r="C112" i="69" s="1"/>
  <c r="I104" i="69"/>
  <c r="H104" i="69"/>
  <c r="G104" i="69"/>
  <c r="F104" i="69"/>
  <c r="E104" i="69"/>
  <c r="D104" i="69"/>
  <c r="C104" i="69"/>
  <c r="M103" i="69"/>
  <c r="L103" i="69"/>
  <c r="K103" i="69"/>
  <c r="J103" i="69"/>
  <c r="I103" i="69"/>
  <c r="H103" i="69"/>
  <c r="G103" i="69"/>
  <c r="F103" i="69"/>
  <c r="E103" i="69"/>
  <c r="D103" i="69"/>
  <c r="C103" i="69"/>
  <c r="M97" i="69"/>
  <c r="L97" i="69"/>
  <c r="K97" i="69"/>
  <c r="J97" i="69"/>
  <c r="I97" i="69"/>
  <c r="H97" i="69"/>
  <c r="G97" i="69"/>
  <c r="F97" i="69"/>
  <c r="E97" i="69"/>
  <c r="D97" i="69"/>
  <c r="C97" i="69"/>
  <c r="I85" i="69"/>
  <c r="H85" i="69"/>
  <c r="G85" i="69"/>
  <c r="F85" i="69"/>
  <c r="E85" i="69"/>
  <c r="D85" i="69"/>
  <c r="C85" i="69"/>
  <c r="M84" i="69"/>
  <c r="L84" i="69"/>
  <c r="K84" i="69"/>
  <c r="J84" i="69"/>
  <c r="I84" i="69"/>
  <c r="H84" i="69"/>
  <c r="G84" i="69"/>
  <c r="F84" i="69"/>
  <c r="E84" i="69"/>
  <c r="D84" i="69"/>
  <c r="C84" i="69"/>
  <c r="M73" i="69"/>
  <c r="L73" i="69"/>
  <c r="K73" i="69"/>
  <c r="J73" i="69"/>
  <c r="I73" i="69"/>
  <c r="H73" i="69"/>
  <c r="G73" i="69"/>
  <c r="F73" i="69"/>
  <c r="E73" i="69"/>
  <c r="D73" i="69"/>
  <c r="C73" i="69"/>
  <c r="N49" i="69"/>
  <c r="M49" i="69"/>
  <c r="L49" i="69"/>
  <c r="K49" i="69"/>
  <c r="J49" i="69"/>
  <c r="I49" i="69"/>
  <c r="H49" i="69"/>
  <c r="F49" i="69"/>
  <c r="E49" i="69"/>
  <c r="D49" i="69"/>
  <c r="C49" i="69"/>
  <c r="N48" i="69"/>
  <c r="N56" i="69" s="1"/>
  <c r="M48" i="69"/>
  <c r="M56" i="69" s="1"/>
  <c r="L48" i="69"/>
  <c r="L56" i="69" s="1"/>
  <c r="K48" i="69"/>
  <c r="K56" i="69" s="1"/>
  <c r="J48" i="69"/>
  <c r="J56" i="69" s="1"/>
  <c r="I48" i="69"/>
  <c r="I56" i="69" s="1"/>
  <c r="H48" i="69"/>
  <c r="H56" i="69" s="1"/>
  <c r="F48" i="69"/>
  <c r="F56" i="69" s="1"/>
  <c r="E48" i="69"/>
  <c r="E56" i="69" s="1"/>
  <c r="D48" i="69"/>
  <c r="D56" i="69" s="1"/>
  <c r="C48" i="69"/>
  <c r="C56" i="69" s="1"/>
  <c r="N47" i="69"/>
  <c r="M47" i="69"/>
  <c r="L47" i="69"/>
  <c r="K47" i="69"/>
  <c r="J47" i="69"/>
  <c r="E47" i="69"/>
  <c r="N42" i="69"/>
  <c r="N43" i="69" s="1"/>
  <c r="N54" i="69" s="1"/>
  <c r="M42" i="69"/>
  <c r="M43" i="69" s="1"/>
  <c r="M54" i="69" s="1"/>
  <c r="L42" i="69"/>
  <c r="L43" i="69" s="1"/>
  <c r="L54" i="69" s="1"/>
  <c r="K42" i="69"/>
  <c r="K43" i="69" s="1"/>
  <c r="K54" i="69" s="1"/>
  <c r="J42" i="69"/>
  <c r="J43" i="69" s="1"/>
  <c r="J54" i="69" s="1"/>
  <c r="I42" i="69"/>
  <c r="I43" i="69" s="1"/>
  <c r="I54" i="69" s="1"/>
  <c r="H42" i="69"/>
  <c r="H43" i="69" s="1"/>
  <c r="G42" i="69"/>
  <c r="G43" i="69" s="1"/>
  <c r="F42" i="69"/>
  <c r="F43" i="69" s="1"/>
  <c r="E42" i="69"/>
  <c r="E43" i="69" s="1"/>
  <c r="D42" i="69"/>
  <c r="D43" i="69" s="1"/>
  <c r="D54" i="69" s="1"/>
  <c r="C42" i="69"/>
  <c r="C43" i="69" s="1"/>
  <c r="C54" i="69" s="1"/>
  <c r="N38" i="69"/>
  <c r="M38" i="69"/>
  <c r="L38" i="69"/>
  <c r="K38" i="69"/>
  <c r="J38" i="69"/>
  <c r="N37" i="69"/>
  <c r="M37" i="69"/>
  <c r="L37" i="69"/>
  <c r="K37" i="69"/>
  <c r="J37" i="69"/>
  <c r="I37" i="69"/>
  <c r="H37" i="69"/>
  <c r="G37" i="69"/>
  <c r="F37" i="69"/>
  <c r="E37" i="69"/>
  <c r="D37" i="69"/>
  <c r="C37" i="69"/>
  <c r="N16" i="69"/>
  <c r="N19" i="69" s="1"/>
  <c r="N20" i="69" s="1"/>
  <c r="M16" i="69"/>
  <c r="M19" i="69" s="1"/>
  <c r="M20" i="69" s="1"/>
  <c r="L16" i="69"/>
  <c r="L19" i="69" s="1"/>
  <c r="L20" i="69" s="1"/>
  <c r="K16" i="69"/>
  <c r="K19" i="69" s="1"/>
  <c r="K20" i="69" s="1"/>
  <c r="J16" i="69"/>
  <c r="J19" i="69" s="1"/>
  <c r="J20" i="69" s="1"/>
  <c r="N14" i="69"/>
  <c r="M14" i="69"/>
  <c r="L14" i="69"/>
  <c r="K14" i="69"/>
  <c r="J14" i="69"/>
  <c r="I14" i="69"/>
  <c r="H14" i="69"/>
  <c r="G14" i="69"/>
  <c r="F14" i="69"/>
  <c r="E14" i="69"/>
  <c r="D14" i="69"/>
  <c r="C14" i="69"/>
  <c r="N13" i="69"/>
  <c r="N15" i="69" s="1"/>
  <c r="M13" i="69"/>
  <c r="M15" i="69" s="1"/>
  <c r="L13" i="69"/>
  <c r="L15" i="69" s="1"/>
  <c r="K13" i="69"/>
  <c r="K15" i="69" s="1"/>
  <c r="J13" i="69"/>
  <c r="J15" i="69" s="1"/>
  <c r="I13" i="69"/>
  <c r="H13" i="69"/>
  <c r="G13" i="69"/>
  <c r="G15" i="69" s="1"/>
  <c r="F13" i="69"/>
  <c r="F15" i="69" s="1"/>
  <c r="E13" i="69"/>
  <c r="E15" i="69" s="1"/>
  <c r="D13" i="69"/>
  <c r="D15" i="69" s="1"/>
  <c r="C13" i="69"/>
  <c r="C15" i="69" s="1"/>
  <c r="N11" i="69"/>
  <c r="M11" i="69"/>
  <c r="L11" i="69"/>
  <c r="K11" i="69"/>
  <c r="J11" i="69"/>
  <c r="I11" i="69"/>
  <c r="H11" i="69"/>
  <c r="G11" i="69"/>
  <c r="F11" i="69"/>
  <c r="E11" i="69"/>
  <c r="D11" i="69"/>
  <c r="C11" i="69"/>
  <c r="N9" i="69"/>
  <c r="M9" i="69"/>
  <c r="L9" i="69"/>
  <c r="K9" i="69"/>
  <c r="J9" i="69"/>
  <c r="I9" i="69"/>
  <c r="H9" i="69"/>
  <c r="G9" i="69"/>
  <c r="F9" i="69"/>
  <c r="E9" i="69"/>
  <c r="D9" i="69"/>
  <c r="C9" i="69"/>
  <c r="N8" i="69"/>
  <c r="M8" i="69"/>
  <c r="L8" i="69"/>
  <c r="K8" i="69"/>
  <c r="J8" i="69"/>
  <c r="I8" i="69"/>
  <c r="H8" i="69"/>
  <c r="G8" i="69"/>
  <c r="F8" i="69"/>
  <c r="E8" i="69"/>
  <c r="D8" i="69"/>
  <c r="C8" i="69"/>
  <c r="N7" i="69"/>
  <c r="M7" i="69"/>
  <c r="M33" i="69" s="1"/>
  <c r="L7" i="69"/>
  <c r="L33" i="69" s="1"/>
  <c r="K7" i="69"/>
  <c r="K33" i="69" s="1"/>
  <c r="J7" i="69"/>
  <c r="J33" i="69" s="1"/>
  <c r="I7" i="69"/>
  <c r="H7" i="69"/>
  <c r="G7" i="69"/>
  <c r="G33" i="69" s="1"/>
  <c r="F7" i="69"/>
  <c r="F33" i="69" s="1"/>
  <c r="E7" i="69"/>
  <c r="E33" i="69" s="1"/>
  <c r="D7" i="69"/>
  <c r="D33" i="69" s="1"/>
  <c r="C7" i="69"/>
  <c r="C33" i="69" s="1"/>
  <c r="B3" i="69" a="1"/>
  <c r="B3" i="69" s="1"/>
  <c r="F55" i="1" s="1"/>
  <c r="T55" i="1" s="1"/>
  <c r="B2" i="69"/>
  <c r="I150" i="67"/>
  <c r="K150" i="67"/>
  <c r="L150" i="67"/>
  <c r="L43" i="67" s="1"/>
  <c r="I121" i="67"/>
  <c r="K121" i="67"/>
  <c r="K126" i="67" s="1"/>
  <c r="L121" i="67"/>
  <c r="L126" i="67" s="1"/>
  <c r="L132" i="67" s="1"/>
  <c r="L134" i="67" s="1"/>
  <c r="M121" i="67"/>
  <c r="M126" i="67" s="1"/>
  <c r="M132" i="67" s="1"/>
  <c r="M134" i="67" s="1"/>
  <c r="M137" i="67" s="1"/>
  <c r="N121" i="67"/>
  <c r="N126" i="67" s="1"/>
  <c r="N132" i="67" s="1"/>
  <c r="N134" i="67" s="1"/>
  <c r="N137" i="67" s="1"/>
  <c r="I134" i="67"/>
  <c r="I114" i="67"/>
  <c r="J15" i="67"/>
  <c r="J18" i="67" s="1"/>
  <c r="K114" i="67"/>
  <c r="K15" i="67" s="1"/>
  <c r="K18" i="67" s="1"/>
  <c r="L114" i="67"/>
  <c r="L115" i="67" s="1"/>
  <c r="M114" i="67"/>
  <c r="M115" i="67" s="1"/>
  <c r="I106" i="67"/>
  <c r="K106" i="67"/>
  <c r="L106" i="67"/>
  <c r="M106" i="67"/>
  <c r="I107" i="67"/>
  <c r="K107" i="67"/>
  <c r="L107" i="67"/>
  <c r="M107" i="67"/>
  <c r="I100" i="67"/>
  <c r="K100" i="67"/>
  <c r="L100" i="67"/>
  <c r="M100" i="67"/>
  <c r="I87" i="67"/>
  <c r="K87" i="67"/>
  <c r="L87" i="67"/>
  <c r="M87" i="67"/>
  <c r="I88" i="67"/>
  <c r="K88" i="67"/>
  <c r="L88" i="67"/>
  <c r="M88" i="67"/>
  <c r="I76" i="67"/>
  <c r="K76" i="67"/>
  <c r="L76" i="67"/>
  <c r="M76" i="67"/>
  <c r="H150" i="67"/>
  <c r="H43" i="67" s="1"/>
  <c r="G150" i="67"/>
  <c r="F150" i="67"/>
  <c r="F43" i="67" s="1"/>
  <c r="E150" i="67"/>
  <c r="E43" i="67" s="1"/>
  <c r="D150" i="67"/>
  <c r="C43" i="67"/>
  <c r="H134" i="67"/>
  <c r="G134" i="67"/>
  <c r="G137" i="67" s="1"/>
  <c r="F134" i="67"/>
  <c r="E134" i="67"/>
  <c r="E137" i="67" s="1"/>
  <c r="D134" i="67"/>
  <c r="D137" i="67" s="1"/>
  <c r="H121" i="67"/>
  <c r="G121" i="67"/>
  <c r="F121" i="67"/>
  <c r="E121" i="67"/>
  <c r="D121" i="67"/>
  <c r="C36" i="67"/>
  <c r="N115" i="67"/>
  <c r="I115" i="67"/>
  <c r="H114" i="67"/>
  <c r="H115" i="67" s="1"/>
  <c r="G114" i="67"/>
  <c r="G115" i="67" s="1"/>
  <c r="F114" i="67"/>
  <c r="F115" i="67" s="1"/>
  <c r="E114" i="67"/>
  <c r="E115" i="67" s="1"/>
  <c r="D114" i="67"/>
  <c r="D115" i="67" s="1"/>
  <c r="C15" i="67"/>
  <c r="C18" i="67" s="1"/>
  <c r="H107" i="67"/>
  <c r="G107" i="67"/>
  <c r="F107" i="67"/>
  <c r="E107" i="67"/>
  <c r="D107" i="67"/>
  <c r="H106" i="67"/>
  <c r="G106" i="67"/>
  <c r="F106" i="67"/>
  <c r="E106" i="67"/>
  <c r="D106" i="67"/>
  <c r="H100" i="67"/>
  <c r="G100" i="67"/>
  <c r="F100" i="67"/>
  <c r="E100" i="67"/>
  <c r="D100" i="67"/>
  <c r="H88" i="67"/>
  <c r="G88" i="67"/>
  <c r="F88" i="67"/>
  <c r="E88" i="67"/>
  <c r="D88" i="67"/>
  <c r="H87" i="67"/>
  <c r="G87" i="67"/>
  <c r="F87" i="67"/>
  <c r="E87" i="67"/>
  <c r="D87" i="67"/>
  <c r="H76" i="67"/>
  <c r="G76" i="67"/>
  <c r="F76" i="67"/>
  <c r="E76" i="67"/>
  <c r="D76" i="67"/>
  <c r="N58" i="67"/>
  <c r="M58" i="67"/>
  <c r="L58" i="67"/>
  <c r="K58" i="67"/>
  <c r="J58" i="67"/>
  <c r="I58" i="67"/>
  <c r="C59" i="67" s="1"/>
  <c r="H58" i="67"/>
  <c r="F58" i="67"/>
  <c r="D58" i="67"/>
  <c r="N43" i="67"/>
  <c r="M43" i="67"/>
  <c r="K43" i="67"/>
  <c r="J43" i="67"/>
  <c r="I43" i="67"/>
  <c r="G43" i="67"/>
  <c r="D43" i="67"/>
  <c r="N40" i="67"/>
  <c r="N56" i="67" s="1"/>
  <c r="M40" i="67"/>
  <c r="M56" i="67" s="1"/>
  <c r="L40" i="67"/>
  <c r="L56" i="67" s="1"/>
  <c r="K40" i="67"/>
  <c r="K56" i="67" s="1"/>
  <c r="J40" i="67"/>
  <c r="J56" i="67" s="1"/>
  <c r="I40" i="67"/>
  <c r="I20" i="67" s="1"/>
  <c r="H40" i="67"/>
  <c r="H20" i="67" s="1"/>
  <c r="G40" i="67"/>
  <c r="G20" i="67" s="1"/>
  <c r="F40" i="67"/>
  <c r="E40" i="67"/>
  <c r="D40" i="67"/>
  <c r="C40" i="67"/>
  <c r="I36" i="67"/>
  <c r="N35" i="67"/>
  <c r="M35" i="67"/>
  <c r="L35" i="67"/>
  <c r="K35" i="67"/>
  <c r="J35" i="67"/>
  <c r="I35" i="67"/>
  <c r="H35" i="67"/>
  <c r="G35" i="67"/>
  <c r="F35" i="67"/>
  <c r="E35" i="67"/>
  <c r="D35" i="67"/>
  <c r="C35" i="67"/>
  <c r="F20" i="67"/>
  <c r="N15" i="67"/>
  <c r="N18" i="67" s="1"/>
  <c r="L15" i="67"/>
  <c r="L18" i="67" s="1"/>
  <c r="I15" i="67"/>
  <c r="I18" i="67" s="1"/>
  <c r="H15" i="67"/>
  <c r="H18" i="67" s="1"/>
  <c r="D15" i="67"/>
  <c r="D18" i="67" s="1"/>
  <c r="N13" i="67"/>
  <c r="M13" i="67"/>
  <c r="L13" i="67"/>
  <c r="K13" i="67"/>
  <c r="J13" i="67"/>
  <c r="I13" i="67"/>
  <c r="H13" i="67"/>
  <c r="G13" i="67"/>
  <c r="F13" i="67"/>
  <c r="E13" i="67"/>
  <c r="D13" i="67"/>
  <c r="C13" i="67"/>
  <c r="N12" i="67"/>
  <c r="N14" i="67" s="1"/>
  <c r="M12" i="67"/>
  <c r="M14" i="67" s="1"/>
  <c r="L12" i="67"/>
  <c r="L14" i="67" s="1"/>
  <c r="K12" i="67"/>
  <c r="K14" i="67" s="1"/>
  <c r="J12" i="67"/>
  <c r="J14" i="67" s="1"/>
  <c r="I12" i="67"/>
  <c r="I14" i="67" s="1"/>
  <c r="H12" i="67"/>
  <c r="H14" i="67" s="1"/>
  <c r="G12" i="67"/>
  <c r="G14" i="67" s="1"/>
  <c r="F12" i="67"/>
  <c r="F14" i="67" s="1"/>
  <c r="E12" i="67"/>
  <c r="D12" i="67"/>
  <c r="D14" i="67" s="1"/>
  <c r="C12" i="67"/>
  <c r="C14" i="67" s="1"/>
  <c r="N10" i="67"/>
  <c r="M10" i="67"/>
  <c r="L10" i="67"/>
  <c r="K10" i="67"/>
  <c r="J10" i="67"/>
  <c r="I10" i="67"/>
  <c r="H10" i="67"/>
  <c r="G10" i="67"/>
  <c r="F10" i="67"/>
  <c r="E10" i="67"/>
  <c r="D10" i="67"/>
  <c r="C10" i="67"/>
  <c r="N9" i="67"/>
  <c r="M9" i="67"/>
  <c r="L9" i="67"/>
  <c r="K9" i="67"/>
  <c r="J9" i="67"/>
  <c r="I9" i="67"/>
  <c r="H9" i="67"/>
  <c r="G9" i="67"/>
  <c r="F9" i="67"/>
  <c r="E9" i="67"/>
  <c r="D9" i="67"/>
  <c r="C9" i="67"/>
  <c r="N8" i="67"/>
  <c r="M8" i="67"/>
  <c r="L8" i="67"/>
  <c r="K8" i="67"/>
  <c r="J8" i="67"/>
  <c r="I8" i="67"/>
  <c r="H8" i="67"/>
  <c r="G8" i="67"/>
  <c r="F8" i="67"/>
  <c r="E8" i="67"/>
  <c r="D8" i="67"/>
  <c r="C8" i="67"/>
  <c r="N7" i="67"/>
  <c r="N31" i="67" s="1"/>
  <c r="M7" i="67"/>
  <c r="M31" i="67" s="1"/>
  <c r="L7" i="67"/>
  <c r="L31" i="67" s="1"/>
  <c r="K7" i="67"/>
  <c r="K31" i="67" s="1"/>
  <c r="J7" i="67"/>
  <c r="J31" i="67" s="1"/>
  <c r="I7" i="67"/>
  <c r="H7" i="67"/>
  <c r="H31" i="67" s="1"/>
  <c r="G7" i="67"/>
  <c r="F7" i="67"/>
  <c r="F31" i="67" s="1"/>
  <c r="E7" i="67"/>
  <c r="E30" i="67" s="1"/>
  <c r="D7" i="67"/>
  <c r="D29" i="67" s="1"/>
  <c r="C7" i="67"/>
  <c r="C31" i="67" s="1"/>
  <c r="B3" i="67" a="1"/>
  <c r="B3" i="67" s="1"/>
  <c r="B2" i="67"/>
  <c r="C47" i="66"/>
  <c r="D47" i="66"/>
  <c r="E47" i="66"/>
  <c r="F47" i="66"/>
  <c r="G47" i="66"/>
  <c r="H47" i="66"/>
  <c r="H50" i="66" s="1"/>
  <c r="I47" i="66"/>
  <c r="I44" i="66" s="1"/>
  <c r="I52" i="66" s="1"/>
  <c r="I142" i="66"/>
  <c r="J142" i="66"/>
  <c r="K142" i="66"/>
  <c r="L142" i="66"/>
  <c r="M142" i="66"/>
  <c r="L125" i="66"/>
  <c r="L127" i="66" s="1"/>
  <c r="L129" i="66" s="1"/>
  <c r="L38" i="66" s="1"/>
  <c r="I127" i="66"/>
  <c r="I129" i="66" s="1"/>
  <c r="I38" i="66" s="1"/>
  <c r="J119" i="66"/>
  <c r="J125" i="66" s="1"/>
  <c r="J127" i="66" s="1"/>
  <c r="J129" i="66" s="1"/>
  <c r="J38" i="66" s="1"/>
  <c r="K119" i="66"/>
  <c r="K125" i="66" s="1"/>
  <c r="K127" i="66" s="1"/>
  <c r="K129" i="66" s="1"/>
  <c r="K38" i="66" s="1"/>
  <c r="I107" i="66"/>
  <c r="I15" i="66" s="1"/>
  <c r="I18" i="66" s="1"/>
  <c r="J107" i="66"/>
  <c r="J108" i="66" s="1"/>
  <c r="K107" i="66"/>
  <c r="K108" i="66" s="1"/>
  <c r="L107" i="66"/>
  <c r="L108" i="66" s="1"/>
  <c r="M107" i="66"/>
  <c r="M108" i="66" s="1"/>
  <c r="I99" i="66"/>
  <c r="J99" i="66"/>
  <c r="K99" i="66"/>
  <c r="L99" i="66"/>
  <c r="M99" i="66"/>
  <c r="I100" i="66"/>
  <c r="J100" i="66"/>
  <c r="K100" i="66"/>
  <c r="L100" i="66"/>
  <c r="M100" i="66"/>
  <c r="I93" i="66"/>
  <c r="J93" i="66"/>
  <c r="K93" i="66"/>
  <c r="L93" i="66"/>
  <c r="M93" i="66"/>
  <c r="I80" i="66"/>
  <c r="J80" i="66"/>
  <c r="K80" i="66"/>
  <c r="L80" i="66"/>
  <c r="M80" i="66"/>
  <c r="I81" i="66"/>
  <c r="J81" i="66"/>
  <c r="K81" i="66"/>
  <c r="L81" i="66"/>
  <c r="M81" i="66"/>
  <c r="I69" i="66"/>
  <c r="J69" i="66"/>
  <c r="K69" i="66"/>
  <c r="L69" i="66"/>
  <c r="M69" i="66"/>
  <c r="H142" i="66"/>
  <c r="H43" i="66" s="1"/>
  <c r="G142" i="66"/>
  <c r="G43" i="66" s="1"/>
  <c r="F142" i="66"/>
  <c r="F43" i="66" s="1"/>
  <c r="E142" i="66"/>
  <c r="E43" i="66" s="1"/>
  <c r="D142" i="66"/>
  <c r="C142" i="66"/>
  <c r="N129" i="66"/>
  <c r="M129" i="66"/>
  <c r="M38" i="66" s="1"/>
  <c r="F127" i="66"/>
  <c r="F129" i="66" s="1"/>
  <c r="F38" i="66" s="1"/>
  <c r="E127" i="66"/>
  <c r="E129" i="66" s="1"/>
  <c r="E38" i="66" s="1"/>
  <c r="C114" i="66"/>
  <c r="C119" i="66" s="1"/>
  <c r="C36" i="66" s="1"/>
  <c r="N108" i="66"/>
  <c r="H107" i="66"/>
  <c r="H108" i="66" s="1"/>
  <c r="G107" i="66"/>
  <c r="G108" i="66" s="1"/>
  <c r="F107" i="66"/>
  <c r="F108" i="66" s="1"/>
  <c r="E107" i="66"/>
  <c r="E108" i="66" s="1"/>
  <c r="D107" i="66"/>
  <c r="D108" i="66" s="1"/>
  <c r="C107" i="66"/>
  <c r="C15" i="66" s="1"/>
  <c r="C18" i="66" s="1"/>
  <c r="H100" i="66"/>
  <c r="G100" i="66"/>
  <c r="F100" i="66"/>
  <c r="E100" i="66"/>
  <c r="D100" i="66"/>
  <c r="C100" i="66"/>
  <c r="H99" i="66"/>
  <c r="G99" i="66"/>
  <c r="F99" i="66"/>
  <c r="E99" i="66"/>
  <c r="D99" i="66"/>
  <c r="C99" i="66"/>
  <c r="H93" i="66"/>
  <c r="G93" i="66"/>
  <c r="F93" i="66"/>
  <c r="E93" i="66"/>
  <c r="D93" i="66"/>
  <c r="C93" i="66"/>
  <c r="H81" i="66"/>
  <c r="G81" i="66"/>
  <c r="F81" i="66"/>
  <c r="E81" i="66"/>
  <c r="D81" i="66"/>
  <c r="C81" i="66"/>
  <c r="H80" i="66"/>
  <c r="G80" i="66"/>
  <c r="F80" i="66"/>
  <c r="E80" i="66"/>
  <c r="D80" i="66"/>
  <c r="C80" i="66"/>
  <c r="H69" i="66"/>
  <c r="G69" i="66"/>
  <c r="F69" i="66"/>
  <c r="E69" i="66"/>
  <c r="D69" i="66"/>
  <c r="C69" i="66"/>
  <c r="N45" i="66"/>
  <c r="M45" i="66"/>
  <c r="L45" i="66"/>
  <c r="K45" i="66"/>
  <c r="J45" i="66"/>
  <c r="E45" i="66"/>
  <c r="D45" i="66"/>
  <c r="C45" i="66"/>
  <c r="N44" i="66"/>
  <c r="N52" i="66" s="1"/>
  <c r="M44" i="66"/>
  <c r="M52" i="66" s="1"/>
  <c r="L44" i="66"/>
  <c r="L52" i="66" s="1"/>
  <c r="K44" i="66"/>
  <c r="K52" i="66" s="1"/>
  <c r="J44" i="66"/>
  <c r="J52" i="66" s="1"/>
  <c r="E44" i="66"/>
  <c r="E52" i="66" s="1"/>
  <c r="D44" i="66"/>
  <c r="D52" i="66" s="1"/>
  <c r="C44" i="66"/>
  <c r="C52" i="66" s="1"/>
  <c r="N43" i="66"/>
  <c r="M43" i="66"/>
  <c r="L43" i="66"/>
  <c r="K43" i="66"/>
  <c r="J43" i="66"/>
  <c r="I43" i="66"/>
  <c r="D43" i="66"/>
  <c r="C43" i="66"/>
  <c r="N40" i="66"/>
  <c r="N50" i="66" s="1"/>
  <c r="M40" i="66"/>
  <c r="M50" i="66" s="1"/>
  <c r="L40" i="66"/>
  <c r="L50" i="66" s="1"/>
  <c r="K40" i="66"/>
  <c r="K50" i="66" s="1"/>
  <c r="J40" i="66"/>
  <c r="J50" i="66" s="1"/>
  <c r="I40" i="66"/>
  <c r="H40" i="66"/>
  <c r="H20" i="66" s="1"/>
  <c r="G40" i="66"/>
  <c r="G20" i="66" s="1"/>
  <c r="F40" i="66"/>
  <c r="E40" i="66"/>
  <c r="E20" i="66" s="1"/>
  <c r="D40" i="66"/>
  <c r="C40" i="66"/>
  <c r="C20" i="66" s="1"/>
  <c r="N38" i="66"/>
  <c r="N36" i="66"/>
  <c r="M36" i="66"/>
  <c r="L36" i="66"/>
  <c r="K36" i="66"/>
  <c r="K37" i="66" s="1"/>
  <c r="I36" i="66"/>
  <c r="F36" i="66"/>
  <c r="N35" i="66"/>
  <c r="M35" i="66"/>
  <c r="L35" i="66"/>
  <c r="K35" i="66"/>
  <c r="J35" i="66"/>
  <c r="I35" i="66"/>
  <c r="H35" i="66"/>
  <c r="G35" i="66"/>
  <c r="F35" i="66"/>
  <c r="E35" i="66"/>
  <c r="D35" i="66"/>
  <c r="C35" i="66"/>
  <c r="D20" i="66"/>
  <c r="N15" i="66"/>
  <c r="N18" i="66" s="1"/>
  <c r="M15" i="66"/>
  <c r="M18" i="66" s="1"/>
  <c r="L15" i="66"/>
  <c r="L18" i="66" s="1"/>
  <c r="K15" i="66"/>
  <c r="K18" i="66" s="1"/>
  <c r="D15" i="66"/>
  <c r="D18" i="66" s="1"/>
  <c r="N13" i="66"/>
  <c r="M13" i="66"/>
  <c r="L13" i="66"/>
  <c r="K13" i="66"/>
  <c r="J13" i="66"/>
  <c r="I13" i="66"/>
  <c r="H13" i="66"/>
  <c r="G13" i="66"/>
  <c r="F13" i="66"/>
  <c r="E13" i="66"/>
  <c r="D13" i="66"/>
  <c r="C13" i="66"/>
  <c r="N12" i="66"/>
  <c r="N14" i="66" s="1"/>
  <c r="M12" i="66"/>
  <c r="M14" i="66" s="1"/>
  <c r="L12" i="66"/>
  <c r="L14" i="66" s="1"/>
  <c r="K12" i="66"/>
  <c r="K14" i="66" s="1"/>
  <c r="J12" i="66"/>
  <c r="J14" i="66" s="1"/>
  <c r="I12" i="66"/>
  <c r="I14" i="66" s="1"/>
  <c r="H12" i="66"/>
  <c r="H14" i="66" s="1"/>
  <c r="G12" i="66"/>
  <c r="G14" i="66" s="1"/>
  <c r="F12" i="66"/>
  <c r="F14" i="66" s="1"/>
  <c r="E12" i="66"/>
  <c r="E14" i="66" s="1"/>
  <c r="D12" i="66"/>
  <c r="D14" i="66" s="1"/>
  <c r="C12" i="66"/>
  <c r="C14" i="66" s="1"/>
  <c r="N10" i="66"/>
  <c r="M10" i="66"/>
  <c r="L10" i="66"/>
  <c r="K10" i="66"/>
  <c r="J10" i="66"/>
  <c r="I10" i="66"/>
  <c r="H10" i="66"/>
  <c r="G10" i="66"/>
  <c r="F10" i="66"/>
  <c r="E10" i="66"/>
  <c r="D10" i="66"/>
  <c r="C10" i="66"/>
  <c r="N9" i="66"/>
  <c r="M9" i="66"/>
  <c r="L9" i="66"/>
  <c r="K9" i="66"/>
  <c r="J9" i="66"/>
  <c r="I9" i="66"/>
  <c r="H9" i="66"/>
  <c r="G9" i="66"/>
  <c r="F9" i="66"/>
  <c r="E9" i="66"/>
  <c r="D9" i="66"/>
  <c r="C9" i="66"/>
  <c r="N8" i="66"/>
  <c r="M8" i="66"/>
  <c r="L8" i="66"/>
  <c r="K8" i="66"/>
  <c r="J8" i="66"/>
  <c r="I8" i="66"/>
  <c r="H8" i="66"/>
  <c r="G8" i="66"/>
  <c r="F8" i="66"/>
  <c r="E8" i="66"/>
  <c r="D8" i="66"/>
  <c r="C8" i="66"/>
  <c r="N7" i="66"/>
  <c r="N31" i="66" s="1"/>
  <c r="M7" i="66"/>
  <c r="M31" i="66" s="1"/>
  <c r="L7" i="66"/>
  <c r="L31" i="66" s="1"/>
  <c r="K7" i="66"/>
  <c r="K31" i="66" s="1"/>
  <c r="J7" i="66"/>
  <c r="J31" i="66" s="1"/>
  <c r="I7" i="66"/>
  <c r="I31" i="66" s="1"/>
  <c r="H7" i="66"/>
  <c r="H31" i="66" s="1"/>
  <c r="G7" i="66"/>
  <c r="F7" i="66"/>
  <c r="F31" i="66" s="1"/>
  <c r="E7" i="66"/>
  <c r="D7" i="66"/>
  <c r="D30" i="66" s="1"/>
  <c r="C7" i="66"/>
  <c r="C31" i="66" s="1"/>
  <c r="B3" i="66" a="1"/>
  <c r="B3" i="66" s="1"/>
  <c r="F53" i="1" s="1"/>
  <c r="B2" i="66"/>
  <c r="D9" i="65"/>
  <c r="F47" i="65"/>
  <c r="F118" i="65"/>
  <c r="I144" i="65"/>
  <c r="J144" i="65"/>
  <c r="K144" i="65"/>
  <c r="K43" i="65" s="1"/>
  <c r="L144" i="65"/>
  <c r="M144" i="65"/>
  <c r="N144" i="65"/>
  <c r="I115" i="65"/>
  <c r="I120" i="65" s="1"/>
  <c r="I126" i="65" s="1"/>
  <c r="I129" i="65" s="1"/>
  <c r="I131" i="65" s="1"/>
  <c r="I38" i="65" s="1"/>
  <c r="J115" i="65"/>
  <c r="J120" i="65" s="1"/>
  <c r="K115" i="65"/>
  <c r="K120" i="65" s="1"/>
  <c r="L115" i="65"/>
  <c r="L120" i="65" s="1"/>
  <c r="M115" i="65"/>
  <c r="M120" i="65" s="1"/>
  <c r="N115" i="65"/>
  <c r="N120" i="65" s="1"/>
  <c r="C108" i="65"/>
  <c r="D108" i="65"/>
  <c r="E108" i="65"/>
  <c r="F108" i="65"/>
  <c r="F109" i="65" s="1"/>
  <c r="G108" i="65"/>
  <c r="G109" i="65" s="1"/>
  <c r="I108" i="65"/>
  <c r="I109" i="65" s="1"/>
  <c r="J108" i="65"/>
  <c r="J15" i="65" s="1"/>
  <c r="J18" i="65" s="1"/>
  <c r="J21" i="65" s="1"/>
  <c r="K108" i="65"/>
  <c r="K15" i="65" s="1"/>
  <c r="K18" i="65" s="1"/>
  <c r="L108" i="65"/>
  <c r="L109" i="65" s="1"/>
  <c r="M108" i="65"/>
  <c r="N108" i="65"/>
  <c r="N109" i="65" s="1"/>
  <c r="H108" i="65"/>
  <c r="H109" i="65" s="1"/>
  <c r="I93" i="65"/>
  <c r="J93" i="65"/>
  <c r="K93" i="65"/>
  <c r="L93" i="65"/>
  <c r="M93" i="65"/>
  <c r="N93" i="65"/>
  <c r="I99" i="65"/>
  <c r="J99" i="65"/>
  <c r="K99" i="65"/>
  <c r="L99" i="65"/>
  <c r="M99" i="65"/>
  <c r="N99" i="65"/>
  <c r="I100" i="65"/>
  <c r="J100" i="65"/>
  <c r="K100" i="65"/>
  <c r="L100" i="65"/>
  <c r="M100" i="65"/>
  <c r="N100" i="65"/>
  <c r="I80" i="65"/>
  <c r="J80" i="65"/>
  <c r="K80" i="65"/>
  <c r="L80" i="65"/>
  <c r="M80" i="65"/>
  <c r="N80" i="65"/>
  <c r="I81" i="65"/>
  <c r="J81" i="65"/>
  <c r="K81" i="65"/>
  <c r="L81" i="65"/>
  <c r="M81" i="65"/>
  <c r="N81" i="65"/>
  <c r="I69" i="65"/>
  <c r="J69" i="65"/>
  <c r="K69" i="65"/>
  <c r="L69" i="65"/>
  <c r="M69" i="65"/>
  <c r="N69" i="65"/>
  <c r="C52" i="64"/>
  <c r="K154" i="64"/>
  <c r="L154" i="64"/>
  <c r="L43" i="64" s="1"/>
  <c r="M154" i="64"/>
  <c r="N154" i="64"/>
  <c r="I154" i="64"/>
  <c r="C123" i="64"/>
  <c r="C130" i="64" s="1"/>
  <c r="C137" i="64" s="1"/>
  <c r="D123" i="64"/>
  <c r="D130" i="64" s="1"/>
  <c r="D137" i="64" s="1"/>
  <c r="E123" i="64"/>
  <c r="E130" i="64" s="1"/>
  <c r="E137" i="64" s="1"/>
  <c r="F123" i="64"/>
  <c r="F130" i="64" s="1"/>
  <c r="G123" i="64"/>
  <c r="G130" i="64" s="1"/>
  <c r="G137" i="64" s="1"/>
  <c r="I123" i="64"/>
  <c r="I130" i="64" s="1"/>
  <c r="I137" i="64" s="1"/>
  <c r="J123" i="64"/>
  <c r="K123" i="64"/>
  <c r="K130" i="64" s="1"/>
  <c r="K137" i="64" s="1"/>
  <c r="L123" i="64"/>
  <c r="L130" i="64" s="1"/>
  <c r="L137" i="64" s="1"/>
  <c r="M123" i="64"/>
  <c r="M130" i="64" s="1"/>
  <c r="M137" i="64" s="1"/>
  <c r="N123" i="64"/>
  <c r="N130" i="64" s="1"/>
  <c r="N137" i="64" s="1"/>
  <c r="H123" i="64"/>
  <c r="H130" i="64" s="1"/>
  <c r="H137" i="64" s="1"/>
  <c r="E115" i="64"/>
  <c r="E15" i="64" s="1"/>
  <c r="E18" i="64" s="1"/>
  <c r="F115" i="64"/>
  <c r="F15" i="64" s="1"/>
  <c r="F18" i="64" s="1"/>
  <c r="G115" i="64"/>
  <c r="I115" i="64"/>
  <c r="J115" i="64"/>
  <c r="J116" i="64" s="1"/>
  <c r="K115" i="64"/>
  <c r="K15" i="64" s="1"/>
  <c r="K18" i="64" s="1"/>
  <c r="L115" i="64"/>
  <c r="L15" i="64" s="1"/>
  <c r="L18" i="64" s="1"/>
  <c r="M115" i="64"/>
  <c r="N115" i="64"/>
  <c r="N15" i="64" s="1"/>
  <c r="N18" i="64" s="1"/>
  <c r="H115" i="64"/>
  <c r="I106" i="64"/>
  <c r="J106" i="64"/>
  <c r="K106" i="64"/>
  <c r="L106" i="64"/>
  <c r="M106" i="64"/>
  <c r="N106" i="64"/>
  <c r="I107" i="64"/>
  <c r="J107" i="64"/>
  <c r="K107" i="64"/>
  <c r="L107" i="64"/>
  <c r="M107" i="64"/>
  <c r="N107" i="64"/>
  <c r="K100" i="64"/>
  <c r="L100" i="64"/>
  <c r="M100" i="64"/>
  <c r="N100" i="64"/>
  <c r="K87" i="64"/>
  <c r="L87" i="64"/>
  <c r="M87" i="64"/>
  <c r="N87" i="64"/>
  <c r="I88" i="64"/>
  <c r="J88" i="64"/>
  <c r="K88" i="64"/>
  <c r="L88" i="64"/>
  <c r="M88" i="64"/>
  <c r="N88" i="64"/>
  <c r="K76" i="64"/>
  <c r="L76" i="64"/>
  <c r="M76" i="64"/>
  <c r="N76" i="64"/>
  <c r="E3" i="24"/>
  <c r="D3" i="24"/>
  <c r="B3" i="24" a="1"/>
  <c r="B3" i="24" s="1"/>
  <c r="B2" i="24"/>
  <c r="F52" i="1"/>
  <c r="B2" i="65"/>
  <c r="F51" i="1"/>
  <c r="B2" i="64"/>
  <c r="B3" i="63" a="1"/>
  <c r="B3" i="63" s="1"/>
  <c r="F50" i="1" s="1"/>
  <c r="B2" i="63"/>
  <c r="B3" i="59" a="1"/>
  <c r="B3" i="59" s="1"/>
  <c r="F49" i="1" s="1"/>
  <c r="B2" i="59"/>
  <c r="G108" i="63"/>
  <c r="G132" i="63"/>
  <c r="H132" i="63"/>
  <c r="I132" i="63"/>
  <c r="C118" i="63"/>
  <c r="D118" i="63"/>
  <c r="E118" i="63"/>
  <c r="F118" i="63"/>
  <c r="G118" i="63"/>
  <c r="H118" i="63"/>
  <c r="J118" i="63"/>
  <c r="J123" i="63" s="1"/>
  <c r="J37" i="63" s="1"/>
  <c r="K118" i="63"/>
  <c r="K123" i="63" s="1"/>
  <c r="L118" i="63"/>
  <c r="M118" i="63"/>
  <c r="N118" i="63"/>
  <c r="I118" i="63"/>
  <c r="H108" i="63"/>
  <c r="I147" i="63"/>
  <c r="J147" i="63"/>
  <c r="K147" i="63"/>
  <c r="K46" i="63" s="1"/>
  <c r="L147" i="63"/>
  <c r="L46" i="63" s="1"/>
  <c r="M147" i="63"/>
  <c r="M46" i="63" s="1"/>
  <c r="N147" i="63"/>
  <c r="N46" i="63" s="1"/>
  <c r="L123" i="63"/>
  <c r="M123" i="63"/>
  <c r="N123" i="63"/>
  <c r="I110" i="63"/>
  <c r="J110" i="63"/>
  <c r="K110" i="63"/>
  <c r="L110" i="63"/>
  <c r="L15" i="63" s="1"/>
  <c r="L18" i="63" s="1"/>
  <c r="L19" i="63" s="1"/>
  <c r="M110" i="63"/>
  <c r="M15" i="63" s="1"/>
  <c r="M18" i="63" s="1"/>
  <c r="M19" i="63" s="1"/>
  <c r="N110" i="63"/>
  <c r="N15" i="63" s="1"/>
  <c r="N18" i="63" s="1"/>
  <c r="N19" i="63" s="1"/>
  <c r="I102" i="63"/>
  <c r="J102" i="63"/>
  <c r="K102" i="63"/>
  <c r="L102" i="63"/>
  <c r="M102" i="63"/>
  <c r="N102" i="63"/>
  <c r="I103" i="63"/>
  <c r="J103" i="63"/>
  <c r="K103" i="63"/>
  <c r="L103" i="63"/>
  <c r="M103" i="63"/>
  <c r="N103" i="63"/>
  <c r="I96" i="63"/>
  <c r="J96" i="63"/>
  <c r="K96" i="63"/>
  <c r="L96" i="63"/>
  <c r="M96" i="63"/>
  <c r="N96" i="63"/>
  <c r="I83" i="63"/>
  <c r="J83" i="63"/>
  <c r="K83" i="63"/>
  <c r="L83" i="63"/>
  <c r="M83" i="63"/>
  <c r="N83" i="63"/>
  <c r="I84" i="63"/>
  <c r="J84" i="63"/>
  <c r="K84" i="63"/>
  <c r="L84" i="63"/>
  <c r="M84" i="63"/>
  <c r="N84" i="63"/>
  <c r="I72" i="63"/>
  <c r="J72" i="63"/>
  <c r="K72" i="63"/>
  <c r="L72" i="63"/>
  <c r="M72" i="63"/>
  <c r="N72" i="63"/>
  <c r="N48" i="63"/>
  <c r="N47" i="63"/>
  <c r="N55" i="63" s="1"/>
  <c r="N41" i="63"/>
  <c r="N21" i="63" s="1"/>
  <c r="N36" i="63"/>
  <c r="N13" i="63"/>
  <c r="N12" i="63"/>
  <c r="N10" i="63"/>
  <c r="N9" i="63"/>
  <c r="N8" i="63"/>
  <c r="N7" i="63"/>
  <c r="M48" i="63"/>
  <c r="M47" i="63"/>
  <c r="M55" i="63" s="1"/>
  <c r="M41" i="63"/>
  <c r="M21" i="63" s="1"/>
  <c r="M36" i="63"/>
  <c r="M13" i="63"/>
  <c r="M12" i="63"/>
  <c r="M10" i="63"/>
  <c r="M9" i="63"/>
  <c r="M8" i="63"/>
  <c r="M7" i="63"/>
  <c r="M30" i="63" s="1"/>
  <c r="L48" i="63"/>
  <c r="L47" i="63"/>
  <c r="L55" i="63" s="1"/>
  <c r="L41" i="63"/>
  <c r="L21" i="63" s="1"/>
  <c r="L36" i="63"/>
  <c r="L13" i="63"/>
  <c r="L12" i="63"/>
  <c r="L10" i="63"/>
  <c r="L9" i="63"/>
  <c r="L8" i="63"/>
  <c r="L7" i="63"/>
  <c r="K111" i="63"/>
  <c r="K48" i="63"/>
  <c r="K47" i="63"/>
  <c r="K55" i="63" s="1"/>
  <c r="K41" i="63"/>
  <c r="K21" i="63" s="1"/>
  <c r="K36" i="63"/>
  <c r="K15" i="63"/>
  <c r="K18" i="63" s="1"/>
  <c r="K19" i="63" s="1"/>
  <c r="K13" i="63"/>
  <c r="K12" i="63"/>
  <c r="K10" i="63"/>
  <c r="K9" i="63"/>
  <c r="K8" i="63"/>
  <c r="K7" i="63"/>
  <c r="J111" i="63"/>
  <c r="J48" i="63"/>
  <c r="J47" i="63"/>
  <c r="J55" i="63" s="1"/>
  <c r="J46" i="63"/>
  <c r="J41" i="63"/>
  <c r="J21" i="63" s="1"/>
  <c r="J36" i="63"/>
  <c r="J15" i="63"/>
  <c r="J18" i="63" s="1"/>
  <c r="J19" i="63" s="1"/>
  <c r="J13" i="63"/>
  <c r="J12" i="63"/>
  <c r="J10" i="63"/>
  <c r="J9" i="63"/>
  <c r="J8" i="63"/>
  <c r="J7" i="63"/>
  <c r="J30" i="63" s="1"/>
  <c r="F47" i="59"/>
  <c r="G47" i="59"/>
  <c r="I142" i="59"/>
  <c r="J142" i="59"/>
  <c r="K142" i="59"/>
  <c r="L142" i="59"/>
  <c r="M142" i="59"/>
  <c r="M43" i="59" s="1"/>
  <c r="N142" i="59"/>
  <c r="I114" i="59"/>
  <c r="I119" i="59" s="1"/>
  <c r="I125" i="59" s="1"/>
  <c r="I127" i="59" s="1"/>
  <c r="J114" i="59"/>
  <c r="J119" i="59" s="1"/>
  <c r="K114" i="59"/>
  <c r="K119" i="59" s="1"/>
  <c r="K36" i="59" s="1"/>
  <c r="L114" i="59"/>
  <c r="L119" i="59" s="1"/>
  <c r="M114" i="59"/>
  <c r="M119" i="59" s="1"/>
  <c r="N114" i="59"/>
  <c r="N119" i="59" s="1"/>
  <c r="N36" i="59" s="1"/>
  <c r="I107" i="59"/>
  <c r="J107" i="59"/>
  <c r="K107" i="59"/>
  <c r="K108" i="59" s="1"/>
  <c r="L107" i="59"/>
  <c r="M107" i="59"/>
  <c r="M108" i="59" s="1"/>
  <c r="N107" i="59"/>
  <c r="N15" i="59" s="1"/>
  <c r="N18" i="59" s="1"/>
  <c r="I93" i="59"/>
  <c r="J93" i="59"/>
  <c r="K93" i="59"/>
  <c r="L93" i="59"/>
  <c r="M93" i="59"/>
  <c r="N93" i="59"/>
  <c r="I99" i="59"/>
  <c r="J99" i="59"/>
  <c r="K99" i="59"/>
  <c r="L99" i="59"/>
  <c r="M99" i="59"/>
  <c r="N99" i="59"/>
  <c r="I100" i="59"/>
  <c r="J100" i="59"/>
  <c r="K100" i="59"/>
  <c r="L100" i="59"/>
  <c r="M100" i="59"/>
  <c r="N100" i="59"/>
  <c r="I80" i="59"/>
  <c r="J80" i="59"/>
  <c r="K80" i="59"/>
  <c r="L80" i="59"/>
  <c r="M80" i="59"/>
  <c r="N80" i="59"/>
  <c r="I81" i="59"/>
  <c r="J81" i="59"/>
  <c r="K81" i="59"/>
  <c r="L81" i="59"/>
  <c r="M81" i="59"/>
  <c r="N81" i="59"/>
  <c r="N69" i="59"/>
  <c r="N45" i="59"/>
  <c r="N44" i="59"/>
  <c r="N52" i="59" s="1"/>
  <c r="N43" i="59"/>
  <c r="N40" i="59"/>
  <c r="N35" i="59"/>
  <c r="N13" i="59"/>
  <c r="N12" i="59"/>
  <c r="N10" i="59"/>
  <c r="N11" i="59" s="1"/>
  <c r="N9" i="59"/>
  <c r="N8" i="59"/>
  <c r="N7" i="59"/>
  <c r="M69" i="59"/>
  <c r="M45" i="59"/>
  <c r="M44" i="59"/>
  <c r="M52" i="59" s="1"/>
  <c r="M40" i="59"/>
  <c r="M35" i="59"/>
  <c r="M15" i="59"/>
  <c r="M18" i="59" s="1"/>
  <c r="M13" i="59"/>
  <c r="M12" i="59"/>
  <c r="M10" i="59"/>
  <c r="M9" i="59"/>
  <c r="M8" i="59"/>
  <c r="M7" i="59"/>
  <c r="L108" i="59"/>
  <c r="L69" i="59"/>
  <c r="L45" i="59"/>
  <c r="L44" i="59"/>
  <c r="L52" i="59" s="1"/>
  <c r="L43" i="59"/>
  <c r="L40" i="59"/>
  <c r="L35" i="59"/>
  <c r="L15" i="59"/>
  <c r="L18" i="59" s="1"/>
  <c r="L13" i="59"/>
  <c r="L12" i="59"/>
  <c r="L10" i="59"/>
  <c r="L9" i="59"/>
  <c r="L31" i="59" s="1"/>
  <c r="L8" i="59"/>
  <c r="L7" i="59"/>
  <c r="K69" i="59"/>
  <c r="K45" i="59"/>
  <c r="K44" i="59"/>
  <c r="K52" i="59" s="1"/>
  <c r="K43" i="59"/>
  <c r="K40" i="59"/>
  <c r="K35" i="59"/>
  <c r="K13" i="59"/>
  <c r="K12" i="59"/>
  <c r="K10" i="59"/>
  <c r="K9" i="59"/>
  <c r="K8" i="59"/>
  <c r="K7" i="59"/>
  <c r="J108" i="59"/>
  <c r="J69" i="59"/>
  <c r="J45" i="59"/>
  <c r="J44" i="59"/>
  <c r="J52" i="59" s="1"/>
  <c r="J43" i="59"/>
  <c r="J40" i="59"/>
  <c r="J35" i="59"/>
  <c r="J15" i="59"/>
  <c r="J18" i="59" s="1"/>
  <c r="J13" i="59"/>
  <c r="J12" i="59"/>
  <c r="J10" i="59"/>
  <c r="J9" i="59"/>
  <c r="J8" i="59"/>
  <c r="J7" i="59"/>
  <c r="C108" i="53"/>
  <c r="D108" i="53"/>
  <c r="E108" i="53"/>
  <c r="F108" i="53"/>
  <c r="G108" i="53"/>
  <c r="H108" i="53"/>
  <c r="J121" i="53"/>
  <c r="K121" i="53"/>
  <c r="K36" i="53" s="1"/>
  <c r="L121" i="53"/>
  <c r="L36" i="53" s="1"/>
  <c r="M121" i="53"/>
  <c r="N121" i="53"/>
  <c r="G49" i="53"/>
  <c r="I144" i="53"/>
  <c r="I115" i="53"/>
  <c r="I121" i="53" s="1"/>
  <c r="I127" i="53" s="1"/>
  <c r="I129" i="53" s="1"/>
  <c r="I108" i="53"/>
  <c r="J108" i="53"/>
  <c r="K108" i="53"/>
  <c r="K109" i="53" s="1"/>
  <c r="L108" i="53"/>
  <c r="M108" i="53"/>
  <c r="J99" i="53"/>
  <c r="K99" i="53"/>
  <c r="L99" i="53"/>
  <c r="M99" i="53"/>
  <c r="I100" i="53"/>
  <c r="I99" i="53"/>
  <c r="I93" i="53"/>
  <c r="J93" i="53"/>
  <c r="K93" i="53"/>
  <c r="L93" i="53"/>
  <c r="M93" i="53"/>
  <c r="I80" i="53"/>
  <c r="J80" i="53"/>
  <c r="K80" i="53"/>
  <c r="L80" i="53"/>
  <c r="M80" i="53"/>
  <c r="I81" i="53"/>
  <c r="J81" i="53"/>
  <c r="K81" i="53"/>
  <c r="L81" i="53"/>
  <c r="M81" i="53"/>
  <c r="I69" i="53"/>
  <c r="J69" i="53"/>
  <c r="K69" i="53"/>
  <c r="L69" i="53"/>
  <c r="M69" i="53"/>
  <c r="N116" i="64"/>
  <c r="M116" i="64"/>
  <c r="K116" i="64"/>
  <c r="N43" i="64"/>
  <c r="M43" i="64"/>
  <c r="K43" i="64"/>
  <c r="J43" i="64"/>
  <c r="N40" i="64"/>
  <c r="N56" i="64" s="1"/>
  <c r="M40" i="64"/>
  <c r="M56" i="64" s="1"/>
  <c r="L40" i="64"/>
  <c r="L56" i="64" s="1"/>
  <c r="K40" i="64"/>
  <c r="K56" i="64" s="1"/>
  <c r="J40" i="64"/>
  <c r="N35" i="64"/>
  <c r="M35" i="64"/>
  <c r="L35" i="64"/>
  <c r="K35" i="64"/>
  <c r="J35" i="64"/>
  <c r="M15" i="64"/>
  <c r="M18" i="64" s="1"/>
  <c r="N13" i="64"/>
  <c r="M13" i="64"/>
  <c r="L13" i="64"/>
  <c r="K13" i="64"/>
  <c r="J13" i="64"/>
  <c r="N12" i="64"/>
  <c r="M12" i="64"/>
  <c r="L12" i="64"/>
  <c r="K12" i="64"/>
  <c r="J12" i="64"/>
  <c r="N10" i="64"/>
  <c r="M10" i="64"/>
  <c r="L10" i="64"/>
  <c r="K10" i="64"/>
  <c r="J10" i="64"/>
  <c r="N9" i="64"/>
  <c r="M9" i="64"/>
  <c r="L9" i="64"/>
  <c r="K9" i="64"/>
  <c r="J9" i="64"/>
  <c r="N8" i="64"/>
  <c r="M8" i="64"/>
  <c r="L8" i="64"/>
  <c r="K8" i="64"/>
  <c r="J8" i="64"/>
  <c r="N7" i="64"/>
  <c r="M7" i="64"/>
  <c r="L7" i="64"/>
  <c r="K7" i="64"/>
  <c r="J7" i="64"/>
  <c r="M109" i="65"/>
  <c r="N45" i="65"/>
  <c r="M45" i="65"/>
  <c r="L45" i="65"/>
  <c r="K45" i="65"/>
  <c r="J45" i="65"/>
  <c r="N44" i="65"/>
  <c r="N52" i="65" s="1"/>
  <c r="M44" i="65"/>
  <c r="M52" i="65" s="1"/>
  <c r="L44" i="65"/>
  <c r="L52" i="65" s="1"/>
  <c r="K44" i="65"/>
  <c r="K52" i="65" s="1"/>
  <c r="J44" i="65"/>
  <c r="J52" i="65" s="1"/>
  <c r="N43" i="65"/>
  <c r="M43" i="65"/>
  <c r="L43" i="65"/>
  <c r="J43" i="65"/>
  <c r="N40" i="65"/>
  <c r="N50" i="65" s="1"/>
  <c r="M40" i="65"/>
  <c r="M50" i="65" s="1"/>
  <c r="L40" i="65"/>
  <c r="K40" i="65"/>
  <c r="K50" i="65" s="1"/>
  <c r="J40" i="65"/>
  <c r="J50" i="65" s="1"/>
  <c r="N35" i="65"/>
  <c r="M35" i="65"/>
  <c r="L35" i="65"/>
  <c r="K35" i="65"/>
  <c r="J35" i="65"/>
  <c r="M15" i="65"/>
  <c r="M18" i="65" s="1"/>
  <c r="N13" i="65"/>
  <c r="M13" i="65"/>
  <c r="L13" i="65"/>
  <c r="K13" i="65"/>
  <c r="J13" i="65"/>
  <c r="N12" i="65"/>
  <c r="M12" i="65"/>
  <c r="L12" i="65"/>
  <c r="K12" i="65"/>
  <c r="J12" i="65"/>
  <c r="N10" i="65"/>
  <c r="M10" i="65"/>
  <c r="L10" i="65"/>
  <c r="K10" i="65"/>
  <c r="J10" i="65"/>
  <c r="N9" i="65"/>
  <c r="M9" i="65"/>
  <c r="L9" i="65"/>
  <c r="K9" i="65"/>
  <c r="J9" i="65"/>
  <c r="N8" i="65"/>
  <c r="M8" i="65"/>
  <c r="L8" i="65"/>
  <c r="K8" i="65"/>
  <c r="J8" i="65"/>
  <c r="N7" i="65"/>
  <c r="M7" i="65"/>
  <c r="L7" i="65"/>
  <c r="K7" i="65"/>
  <c r="J7" i="65"/>
  <c r="N126" i="24"/>
  <c r="N105" i="24"/>
  <c r="N45" i="24"/>
  <c r="N44" i="24"/>
  <c r="N51" i="24" s="1"/>
  <c r="N43" i="24"/>
  <c r="N40" i="24"/>
  <c r="N20" i="24" s="1"/>
  <c r="N38" i="24"/>
  <c r="N41" i="24" s="1"/>
  <c r="N36" i="24"/>
  <c r="N37" i="24" s="1"/>
  <c r="N35" i="24"/>
  <c r="N15" i="24"/>
  <c r="N18" i="24" s="1"/>
  <c r="N13" i="24"/>
  <c r="N12" i="24"/>
  <c r="N30" i="24" s="1"/>
  <c r="N10" i="24"/>
  <c r="N11" i="24" s="1"/>
  <c r="N9" i="24"/>
  <c r="N31" i="24" s="1"/>
  <c r="N8" i="24"/>
  <c r="N7" i="24"/>
  <c r="M126" i="24"/>
  <c r="M105" i="24"/>
  <c r="M45" i="24"/>
  <c r="M44" i="24"/>
  <c r="M51" i="24" s="1"/>
  <c r="M43" i="24"/>
  <c r="M40" i="24"/>
  <c r="M20" i="24" s="1"/>
  <c r="M38" i="24"/>
  <c r="M41" i="24" s="1"/>
  <c r="M36" i="24"/>
  <c r="M37" i="24" s="1"/>
  <c r="M35" i="24"/>
  <c r="M15" i="24"/>
  <c r="M18" i="24" s="1"/>
  <c r="M13" i="24"/>
  <c r="M12" i="24"/>
  <c r="M30" i="24" s="1"/>
  <c r="M11" i="24"/>
  <c r="M10" i="24"/>
  <c r="M9" i="24"/>
  <c r="M8" i="24"/>
  <c r="M7" i="24"/>
  <c r="M31" i="24" s="1"/>
  <c r="L126" i="24"/>
  <c r="L105" i="24"/>
  <c r="L45" i="24"/>
  <c r="L44" i="24"/>
  <c r="L51" i="24" s="1"/>
  <c r="L43" i="24"/>
  <c r="L40" i="24"/>
  <c r="L20" i="24" s="1"/>
  <c r="L38" i="24"/>
  <c r="L41" i="24" s="1"/>
  <c r="L36" i="24"/>
  <c r="L37" i="24" s="1"/>
  <c r="L35" i="24"/>
  <c r="L15" i="24"/>
  <c r="L18" i="24" s="1"/>
  <c r="L13" i="24"/>
  <c r="L14" i="24" s="1"/>
  <c r="L32" i="24" s="1"/>
  <c r="L12" i="24"/>
  <c r="L30" i="24" s="1"/>
  <c r="L11" i="24"/>
  <c r="L10" i="24"/>
  <c r="L9" i="24"/>
  <c r="L8" i="24"/>
  <c r="L7" i="24"/>
  <c r="L31" i="24" s="1"/>
  <c r="K126" i="24"/>
  <c r="K105" i="24"/>
  <c r="K45" i="24"/>
  <c r="K44" i="24"/>
  <c r="K51" i="24" s="1"/>
  <c r="K43" i="24"/>
  <c r="K40" i="24"/>
  <c r="K20" i="24" s="1"/>
  <c r="K38" i="24"/>
  <c r="K41" i="24" s="1"/>
  <c r="K36" i="24"/>
  <c r="K37" i="24" s="1"/>
  <c r="K35" i="24"/>
  <c r="K15" i="24"/>
  <c r="K18" i="24" s="1"/>
  <c r="K13" i="24"/>
  <c r="K12" i="24"/>
  <c r="K30" i="24" s="1"/>
  <c r="K11" i="24"/>
  <c r="K10" i="24"/>
  <c r="K9" i="24"/>
  <c r="K31" i="24" s="1"/>
  <c r="K8" i="24"/>
  <c r="K7" i="24"/>
  <c r="J126" i="24"/>
  <c r="J105" i="24"/>
  <c r="J45" i="24"/>
  <c r="J44" i="24"/>
  <c r="J51" i="24" s="1"/>
  <c r="J43" i="24"/>
  <c r="J40" i="24"/>
  <c r="J20" i="24" s="1"/>
  <c r="J38" i="24"/>
  <c r="J41" i="24" s="1"/>
  <c r="J36" i="24"/>
  <c r="J35" i="24"/>
  <c r="J37" i="24" s="1"/>
  <c r="J15" i="24"/>
  <c r="J18" i="24" s="1"/>
  <c r="J13" i="24"/>
  <c r="J12" i="24"/>
  <c r="J30" i="24" s="1"/>
  <c r="J11" i="24"/>
  <c r="J10" i="24"/>
  <c r="J9" i="24"/>
  <c r="J8" i="24"/>
  <c r="J7" i="24"/>
  <c r="J31" i="24" s="1"/>
  <c r="N131" i="53"/>
  <c r="N38" i="53" s="1"/>
  <c r="N109" i="53"/>
  <c r="N45" i="53"/>
  <c r="N44" i="53"/>
  <c r="N52" i="53" s="1"/>
  <c r="N43" i="53"/>
  <c r="N40" i="53"/>
  <c r="N36" i="53"/>
  <c r="N35" i="53"/>
  <c r="N15" i="53"/>
  <c r="N18" i="53" s="1"/>
  <c r="N13" i="53"/>
  <c r="N12" i="53"/>
  <c r="N10" i="53"/>
  <c r="N9" i="53"/>
  <c r="N8" i="53"/>
  <c r="N7" i="53"/>
  <c r="M131" i="53"/>
  <c r="M38" i="53" s="1"/>
  <c r="M41" i="53" s="1"/>
  <c r="M109" i="53"/>
  <c r="M45" i="53"/>
  <c r="M44" i="53"/>
  <c r="M52" i="53" s="1"/>
  <c r="M43" i="53"/>
  <c r="M40" i="53"/>
  <c r="M36" i="53"/>
  <c r="M35" i="53"/>
  <c r="M15" i="53"/>
  <c r="M18" i="53" s="1"/>
  <c r="M13" i="53"/>
  <c r="M12" i="53"/>
  <c r="M10" i="53"/>
  <c r="M9" i="53"/>
  <c r="M8" i="53"/>
  <c r="M7" i="53"/>
  <c r="L131" i="53"/>
  <c r="L38" i="53" s="1"/>
  <c r="L109" i="53"/>
  <c r="L45" i="53"/>
  <c r="L44" i="53"/>
  <c r="L52" i="53" s="1"/>
  <c r="L43" i="53"/>
  <c r="L40" i="53"/>
  <c r="L35" i="53"/>
  <c r="L15" i="53"/>
  <c r="L18" i="53" s="1"/>
  <c r="L13" i="53"/>
  <c r="L12" i="53"/>
  <c r="L10" i="53"/>
  <c r="L9" i="53"/>
  <c r="L8" i="53"/>
  <c r="L7" i="53"/>
  <c r="K131" i="53"/>
  <c r="K38" i="53" s="1"/>
  <c r="K45" i="53"/>
  <c r="K44" i="53"/>
  <c r="K52" i="53" s="1"/>
  <c r="K43" i="53"/>
  <c r="K40" i="53"/>
  <c r="K35" i="53"/>
  <c r="K15" i="53"/>
  <c r="K18" i="53" s="1"/>
  <c r="K13" i="53"/>
  <c r="K12" i="53"/>
  <c r="K10" i="53"/>
  <c r="K9" i="53"/>
  <c r="K8" i="53"/>
  <c r="K7" i="53"/>
  <c r="J131" i="53"/>
  <c r="J38" i="53" s="1"/>
  <c r="J109" i="53"/>
  <c r="J45" i="53"/>
  <c r="J44" i="53"/>
  <c r="J52" i="53" s="1"/>
  <c r="J43" i="53"/>
  <c r="J40" i="53"/>
  <c r="J36" i="53"/>
  <c r="J37" i="53" s="1"/>
  <c r="J35" i="53"/>
  <c r="J15" i="53"/>
  <c r="J18" i="53" s="1"/>
  <c r="J13" i="53"/>
  <c r="J12" i="53"/>
  <c r="J10" i="53"/>
  <c r="J9" i="53"/>
  <c r="J8" i="53"/>
  <c r="J7" i="53"/>
  <c r="N41" i="58"/>
  <c r="N123" i="58"/>
  <c r="N109" i="58"/>
  <c r="N107" i="58"/>
  <c r="N113" i="58" s="1"/>
  <c r="N100" i="58"/>
  <c r="N14" i="58" s="1"/>
  <c r="N17" i="58" s="1"/>
  <c r="N26" i="58" s="1"/>
  <c r="N93" i="58"/>
  <c r="N87" i="58"/>
  <c r="N80" i="58"/>
  <c r="N79" i="58"/>
  <c r="N72" i="58"/>
  <c r="N43" i="58"/>
  <c r="N42" i="58"/>
  <c r="N56" i="58" s="1"/>
  <c r="N38" i="58"/>
  <c r="N36" i="58"/>
  <c r="N34" i="58"/>
  <c r="N33" i="58"/>
  <c r="N12" i="58"/>
  <c r="N11" i="58"/>
  <c r="N9" i="58"/>
  <c r="N8" i="58"/>
  <c r="N7" i="58"/>
  <c r="M41" i="58"/>
  <c r="M123" i="58"/>
  <c r="M109" i="58"/>
  <c r="M107" i="58"/>
  <c r="M113" i="58" s="1"/>
  <c r="M100" i="58"/>
  <c r="M14" i="58" s="1"/>
  <c r="M17" i="58" s="1"/>
  <c r="M26" i="58" s="1"/>
  <c r="M93" i="58"/>
  <c r="M87" i="58"/>
  <c r="M80" i="58"/>
  <c r="M79" i="58"/>
  <c r="M72" i="58"/>
  <c r="M43" i="58"/>
  <c r="M42" i="58"/>
  <c r="M56" i="58" s="1"/>
  <c r="M38" i="58"/>
  <c r="M36" i="58"/>
  <c r="M34" i="58"/>
  <c r="M33" i="58"/>
  <c r="M12" i="58"/>
  <c r="M11" i="58"/>
  <c r="M9" i="58"/>
  <c r="M8" i="58"/>
  <c r="M7" i="58"/>
  <c r="M29" i="58" s="1"/>
  <c r="L41" i="58"/>
  <c r="L123" i="58"/>
  <c r="L36" i="58" s="1"/>
  <c r="L109" i="58"/>
  <c r="L107" i="58"/>
  <c r="L113" i="58" s="1"/>
  <c r="L100" i="58"/>
  <c r="L93" i="58"/>
  <c r="L87" i="58"/>
  <c r="L80" i="58"/>
  <c r="L79" i="58"/>
  <c r="L72" i="58"/>
  <c r="L43" i="58"/>
  <c r="L38" i="58"/>
  <c r="L34" i="58"/>
  <c r="L33" i="58"/>
  <c r="L14" i="58"/>
  <c r="L17" i="58" s="1"/>
  <c r="L26" i="58" s="1"/>
  <c r="L12" i="58"/>
  <c r="L11" i="58"/>
  <c r="L9" i="58"/>
  <c r="L8" i="58"/>
  <c r="L7" i="58"/>
  <c r="K36" i="58"/>
  <c r="K107" i="58"/>
  <c r="K113" i="58" s="1"/>
  <c r="K100" i="58"/>
  <c r="K14" i="58" s="1"/>
  <c r="K17" i="58" s="1"/>
  <c r="K93" i="58"/>
  <c r="K87" i="58"/>
  <c r="K80" i="58"/>
  <c r="K79" i="58"/>
  <c r="K72" i="58"/>
  <c r="K43" i="58"/>
  <c r="K42" i="58"/>
  <c r="K56" i="58" s="1"/>
  <c r="K41" i="58"/>
  <c r="K38" i="58"/>
  <c r="K34" i="58"/>
  <c r="K33" i="58"/>
  <c r="K12" i="58"/>
  <c r="K11" i="58"/>
  <c r="K9" i="58"/>
  <c r="K8" i="58"/>
  <c r="K7" i="58"/>
  <c r="J36" i="58"/>
  <c r="J113" i="58"/>
  <c r="J100" i="58"/>
  <c r="J93" i="58"/>
  <c r="J87" i="58"/>
  <c r="J80" i="58"/>
  <c r="J72" i="58"/>
  <c r="J43" i="58"/>
  <c r="J56" i="58"/>
  <c r="J33" i="58"/>
  <c r="J14" i="58"/>
  <c r="J26" i="58" s="1"/>
  <c r="J12" i="58"/>
  <c r="J11" i="58"/>
  <c r="J9" i="58"/>
  <c r="J8" i="58"/>
  <c r="J7" i="58"/>
  <c r="I146" i="56"/>
  <c r="I118" i="56"/>
  <c r="I123" i="56" s="1"/>
  <c r="I129" i="56" s="1"/>
  <c r="I131" i="56" s="1"/>
  <c r="I111" i="56"/>
  <c r="I104" i="56"/>
  <c r="J103" i="56"/>
  <c r="K103" i="56"/>
  <c r="L103" i="56"/>
  <c r="M103" i="56"/>
  <c r="I103" i="56"/>
  <c r="I97" i="56"/>
  <c r="J97" i="56"/>
  <c r="K97" i="56"/>
  <c r="L97" i="56"/>
  <c r="M97" i="56"/>
  <c r="I85" i="56"/>
  <c r="J84" i="56"/>
  <c r="K84" i="56"/>
  <c r="L84" i="56"/>
  <c r="M84" i="56"/>
  <c r="I84" i="56"/>
  <c r="J73" i="56"/>
  <c r="K73" i="56"/>
  <c r="L73" i="56"/>
  <c r="M73" i="56"/>
  <c r="I73" i="56"/>
  <c r="N133" i="56"/>
  <c r="N40" i="56" s="1"/>
  <c r="N112" i="56"/>
  <c r="N49" i="56"/>
  <c r="N48" i="56"/>
  <c r="N56" i="56" s="1"/>
  <c r="N47" i="56"/>
  <c r="N42" i="56"/>
  <c r="N43" i="56" s="1"/>
  <c r="N54" i="56" s="1"/>
  <c r="N38" i="56"/>
  <c r="N37" i="56"/>
  <c r="N16" i="56"/>
  <c r="N19" i="56" s="1"/>
  <c r="N20" i="56" s="1"/>
  <c r="N14" i="56"/>
  <c r="N13" i="56"/>
  <c r="N33" i="56" s="1"/>
  <c r="N11" i="56"/>
  <c r="N9" i="56"/>
  <c r="N8" i="56"/>
  <c r="N7" i="56"/>
  <c r="M133" i="56"/>
  <c r="M40" i="56" s="1"/>
  <c r="M112" i="56"/>
  <c r="M49" i="56"/>
  <c r="M48" i="56"/>
  <c r="M56" i="56" s="1"/>
  <c r="M47" i="56"/>
  <c r="M42" i="56"/>
  <c r="M43" i="56" s="1"/>
  <c r="M38" i="56"/>
  <c r="M37" i="56"/>
  <c r="M39" i="56" s="1"/>
  <c r="M16" i="56"/>
  <c r="M19" i="56" s="1"/>
  <c r="M20" i="56" s="1"/>
  <c r="M14" i="56"/>
  <c r="M13" i="56"/>
  <c r="M11" i="56"/>
  <c r="M9" i="56"/>
  <c r="M8" i="56"/>
  <c r="M7" i="56"/>
  <c r="L133" i="56"/>
  <c r="L40" i="56" s="1"/>
  <c r="L112" i="56"/>
  <c r="L49" i="56"/>
  <c r="L48" i="56"/>
  <c r="L56" i="56" s="1"/>
  <c r="L47" i="56"/>
  <c r="L42" i="56"/>
  <c r="L43" i="56" s="1"/>
  <c r="L54" i="56" s="1"/>
  <c r="L38" i="56"/>
  <c r="L37" i="56"/>
  <c r="L16" i="56"/>
  <c r="L19" i="56" s="1"/>
  <c r="L20" i="56" s="1"/>
  <c r="L14" i="56"/>
  <c r="L13" i="56"/>
  <c r="L11" i="56"/>
  <c r="L9" i="56"/>
  <c r="L8" i="56"/>
  <c r="L7" i="56"/>
  <c r="K133" i="56"/>
  <c r="K40" i="56" s="1"/>
  <c r="K112" i="56"/>
  <c r="K49" i="56"/>
  <c r="K48" i="56"/>
  <c r="K56" i="56" s="1"/>
  <c r="K47" i="56"/>
  <c r="K42" i="56"/>
  <c r="K43" i="56" s="1"/>
  <c r="K54" i="56" s="1"/>
  <c r="K38" i="56"/>
  <c r="K37" i="56"/>
  <c r="K39" i="56" s="1"/>
  <c r="K16" i="56"/>
  <c r="K19" i="56" s="1"/>
  <c r="K20" i="56" s="1"/>
  <c r="K14" i="56"/>
  <c r="K13" i="56"/>
  <c r="K11" i="56"/>
  <c r="K9" i="56"/>
  <c r="K8" i="56"/>
  <c r="K7" i="56"/>
  <c r="J133" i="56"/>
  <c r="J40" i="56" s="1"/>
  <c r="J112" i="56"/>
  <c r="J49" i="56"/>
  <c r="J48" i="56"/>
  <c r="J56" i="56" s="1"/>
  <c r="J47" i="56"/>
  <c r="J42" i="56"/>
  <c r="J43" i="56" s="1"/>
  <c r="J54" i="56" s="1"/>
  <c r="J38" i="56"/>
  <c r="J37" i="56"/>
  <c r="J16" i="56"/>
  <c r="J19" i="56" s="1"/>
  <c r="J20" i="56" s="1"/>
  <c r="J14" i="56"/>
  <c r="J13" i="56"/>
  <c r="J11" i="56"/>
  <c r="J9" i="56"/>
  <c r="J8" i="56"/>
  <c r="J7" i="56"/>
  <c r="H144" i="65"/>
  <c r="H43" i="65" s="1"/>
  <c r="G144" i="65"/>
  <c r="G43" i="65" s="1"/>
  <c r="F144" i="65"/>
  <c r="F43" i="65" s="1"/>
  <c r="E144" i="65"/>
  <c r="E43" i="65" s="1"/>
  <c r="D144" i="65"/>
  <c r="D43" i="65" s="1"/>
  <c r="C144" i="65"/>
  <c r="C43" i="65" s="1"/>
  <c r="H115" i="65"/>
  <c r="H120" i="65" s="1"/>
  <c r="G115" i="65"/>
  <c r="G120" i="65" s="1"/>
  <c r="F115" i="65"/>
  <c r="F120" i="65" s="1"/>
  <c r="E115" i="65"/>
  <c r="E120" i="65" s="1"/>
  <c r="D115" i="65"/>
  <c r="D120" i="65" s="1"/>
  <c r="C115" i="65"/>
  <c r="C120" i="65" s="1"/>
  <c r="E109" i="65"/>
  <c r="D109" i="65"/>
  <c r="C15" i="65"/>
  <c r="C18" i="65" s="1"/>
  <c r="H100" i="65"/>
  <c r="G100" i="65"/>
  <c r="F100" i="65"/>
  <c r="E100" i="65"/>
  <c r="D100" i="65"/>
  <c r="C100" i="65"/>
  <c r="H99" i="65"/>
  <c r="G99" i="65"/>
  <c r="F99" i="65"/>
  <c r="E99" i="65"/>
  <c r="D99" i="65"/>
  <c r="C99" i="65"/>
  <c r="H93" i="65"/>
  <c r="G93" i="65"/>
  <c r="F93" i="65"/>
  <c r="E93" i="65"/>
  <c r="D93" i="65"/>
  <c r="C93" i="65"/>
  <c r="H81" i="65"/>
  <c r="G81" i="65"/>
  <c r="F81" i="65"/>
  <c r="E81" i="65"/>
  <c r="D81" i="65"/>
  <c r="C81" i="65"/>
  <c r="H80" i="65"/>
  <c r="G80" i="65"/>
  <c r="F80" i="65"/>
  <c r="E80" i="65"/>
  <c r="D80" i="65"/>
  <c r="C80" i="65"/>
  <c r="H69" i="65"/>
  <c r="G69" i="65"/>
  <c r="F69" i="65"/>
  <c r="E69" i="65"/>
  <c r="D69" i="65"/>
  <c r="C69" i="65"/>
  <c r="I45" i="65"/>
  <c r="H45" i="65"/>
  <c r="G45" i="65"/>
  <c r="F45" i="65"/>
  <c r="E45" i="65"/>
  <c r="D45" i="65"/>
  <c r="C45" i="65"/>
  <c r="I44" i="65"/>
  <c r="I52" i="65" s="1"/>
  <c r="H44" i="65"/>
  <c r="H52" i="65" s="1"/>
  <c r="G44" i="65"/>
  <c r="F44" i="65"/>
  <c r="F52" i="65" s="1"/>
  <c r="E44" i="65"/>
  <c r="E52" i="65" s="1"/>
  <c r="D44" i="65"/>
  <c r="D52" i="65" s="1"/>
  <c r="C44" i="65"/>
  <c r="C52" i="65" s="1"/>
  <c r="I43" i="65"/>
  <c r="I40" i="65"/>
  <c r="I50" i="65" s="1"/>
  <c r="H40" i="65"/>
  <c r="H50" i="65" s="1"/>
  <c r="G40" i="65"/>
  <c r="G50" i="65" s="1"/>
  <c r="F40" i="65"/>
  <c r="E40" i="65"/>
  <c r="E50" i="65" s="1"/>
  <c r="D40" i="65"/>
  <c r="D50" i="65" s="1"/>
  <c r="C40" i="65"/>
  <c r="C50" i="65" s="1"/>
  <c r="I35" i="65"/>
  <c r="H35" i="65"/>
  <c r="G35" i="65"/>
  <c r="F35" i="65"/>
  <c r="E35" i="65"/>
  <c r="D35" i="65"/>
  <c r="C35" i="65"/>
  <c r="G20" i="65"/>
  <c r="F20" i="65"/>
  <c r="I15" i="65"/>
  <c r="I18" i="65" s="1"/>
  <c r="I13" i="65"/>
  <c r="H13" i="65"/>
  <c r="G13" i="65"/>
  <c r="F13" i="65"/>
  <c r="E13" i="65"/>
  <c r="D13" i="65"/>
  <c r="C13" i="65"/>
  <c r="I12" i="65"/>
  <c r="H12" i="65"/>
  <c r="G12" i="65"/>
  <c r="F12" i="65"/>
  <c r="E12" i="65"/>
  <c r="D12" i="65"/>
  <c r="C12" i="65"/>
  <c r="I10" i="65"/>
  <c r="H10" i="65"/>
  <c r="G10" i="65"/>
  <c r="F10" i="65"/>
  <c r="E10" i="65"/>
  <c r="D10" i="65"/>
  <c r="C10" i="65"/>
  <c r="C11" i="65" s="1"/>
  <c r="I9" i="65"/>
  <c r="H9" i="65"/>
  <c r="G9" i="65"/>
  <c r="F9" i="65"/>
  <c r="E9" i="65"/>
  <c r="C9" i="65"/>
  <c r="I8" i="65"/>
  <c r="H8" i="65"/>
  <c r="G8" i="65"/>
  <c r="F8" i="65"/>
  <c r="E8" i="65"/>
  <c r="D8" i="65"/>
  <c r="C8" i="65"/>
  <c r="I7" i="65"/>
  <c r="H7" i="65"/>
  <c r="G7" i="65"/>
  <c r="F7" i="65"/>
  <c r="E7" i="65"/>
  <c r="D7" i="65"/>
  <c r="C7" i="65"/>
  <c r="I143" i="54"/>
  <c r="I113" i="54"/>
  <c r="I114" i="54" s="1"/>
  <c r="I107" i="54"/>
  <c r="I100" i="54"/>
  <c r="I99" i="54"/>
  <c r="I93" i="54"/>
  <c r="J93" i="54"/>
  <c r="K93" i="54"/>
  <c r="L93" i="54"/>
  <c r="I81" i="54"/>
  <c r="I80" i="54"/>
  <c r="J69" i="54"/>
  <c r="K69" i="54"/>
  <c r="L69" i="54"/>
  <c r="I69" i="54"/>
  <c r="N130" i="54"/>
  <c r="N38" i="54" s="1"/>
  <c r="N41" i="54" s="1"/>
  <c r="N120" i="54"/>
  <c r="N36" i="54" s="1"/>
  <c r="N108" i="54"/>
  <c r="N45" i="54"/>
  <c r="N44" i="54"/>
  <c r="N52" i="54" s="1"/>
  <c r="N43" i="54"/>
  <c r="N40" i="54"/>
  <c r="N35" i="54"/>
  <c r="N15" i="54"/>
  <c r="N18" i="54" s="1"/>
  <c r="N13" i="54"/>
  <c r="N12" i="54"/>
  <c r="N30" i="54" s="1"/>
  <c r="N10" i="54"/>
  <c r="N9" i="54"/>
  <c r="N8" i="54"/>
  <c r="N7" i="54"/>
  <c r="M130" i="54"/>
  <c r="M38" i="54" s="1"/>
  <c r="M39" i="54" s="1"/>
  <c r="M120" i="54"/>
  <c r="M36" i="54" s="1"/>
  <c r="M108" i="54"/>
  <c r="M45" i="54"/>
  <c r="M44" i="54"/>
  <c r="M52" i="54" s="1"/>
  <c r="M43" i="54"/>
  <c r="M40" i="54"/>
  <c r="M35" i="54"/>
  <c r="M15" i="54"/>
  <c r="M18" i="54" s="1"/>
  <c r="M13" i="54"/>
  <c r="M12" i="54"/>
  <c r="M30" i="54" s="1"/>
  <c r="M10" i="54"/>
  <c r="M9" i="54"/>
  <c r="M8" i="54"/>
  <c r="M7" i="54"/>
  <c r="L130" i="54"/>
  <c r="L120" i="54"/>
  <c r="L36" i="54" s="1"/>
  <c r="L108" i="54"/>
  <c r="L45" i="54"/>
  <c r="L44" i="54"/>
  <c r="L52" i="54" s="1"/>
  <c r="L43" i="54"/>
  <c r="L40" i="54"/>
  <c r="L38" i="54"/>
  <c r="L35" i="54"/>
  <c r="L15" i="54"/>
  <c r="L18" i="54" s="1"/>
  <c r="L13" i="54"/>
  <c r="L12" i="54"/>
  <c r="L10" i="54"/>
  <c r="L9" i="54"/>
  <c r="L8" i="54"/>
  <c r="L7" i="54"/>
  <c r="K130" i="54"/>
  <c r="K38" i="54" s="1"/>
  <c r="K120" i="54"/>
  <c r="K126" i="54" s="1"/>
  <c r="K108" i="54"/>
  <c r="K45" i="54"/>
  <c r="K44" i="54"/>
  <c r="K52" i="54" s="1"/>
  <c r="K43" i="54"/>
  <c r="K40" i="54"/>
  <c r="K35" i="54"/>
  <c r="K15" i="54"/>
  <c r="K18" i="54" s="1"/>
  <c r="K21" i="54" s="1"/>
  <c r="K13" i="54"/>
  <c r="K12" i="54"/>
  <c r="K10" i="54"/>
  <c r="K11" i="54" s="1"/>
  <c r="K9" i="54"/>
  <c r="K8" i="54"/>
  <c r="K7" i="54"/>
  <c r="J130" i="54"/>
  <c r="J38" i="54" s="1"/>
  <c r="J120" i="54"/>
  <c r="J126" i="54" s="1"/>
  <c r="J108" i="54"/>
  <c r="J45" i="54"/>
  <c r="J44" i="54"/>
  <c r="J52" i="54" s="1"/>
  <c r="J43" i="54"/>
  <c r="J40" i="54"/>
  <c r="J35" i="54"/>
  <c r="J15" i="54"/>
  <c r="J18" i="54" s="1"/>
  <c r="J13" i="54"/>
  <c r="J12" i="54"/>
  <c r="J10" i="54"/>
  <c r="J11" i="54" s="1"/>
  <c r="J9" i="54"/>
  <c r="J8" i="54"/>
  <c r="J7" i="54"/>
  <c r="J29" i="54" s="1"/>
  <c r="I144" i="52"/>
  <c r="M119" i="52"/>
  <c r="M126" i="52" s="1"/>
  <c r="J114" i="52"/>
  <c r="J119" i="52" s="1"/>
  <c r="K114" i="52"/>
  <c r="K119" i="52" s="1"/>
  <c r="K36" i="52" s="1"/>
  <c r="L114" i="52"/>
  <c r="L119" i="52" s="1"/>
  <c r="I114" i="52"/>
  <c r="I119" i="52" s="1"/>
  <c r="I107" i="52"/>
  <c r="I100" i="52"/>
  <c r="I99" i="52"/>
  <c r="I93" i="52"/>
  <c r="I81" i="52"/>
  <c r="I80" i="52"/>
  <c r="J80" i="52"/>
  <c r="K80" i="52"/>
  <c r="L80" i="52"/>
  <c r="J69" i="52"/>
  <c r="K69" i="52"/>
  <c r="L69" i="52"/>
  <c r="I69" i="52"/>
  <c r="C7" i="52"/>
  <c r="N131" i="52"/>
  <c r="N38" i="52" s="1"/>
  <c r="N126" i="52"/>
  <c r="N108" i="52"/>
  <c r="N45" i="52"/>
  <c r="N44" i="52"/>
  <c r="N52" i="52" s="1"/>
  <c r="N43" i="52"/>
  <c r="N40" i="52"/>
  <c r="N36" i="52"/>
  <c r="N35" i="52"/>
  <c r="N15" i="52"/>
  <c r="N18" i="52" s="1"/>
  <c r="N13" i="52"/>
  <c r="N12" i="52"/>
  <c r="N10" i="52"/>
  <c r="N9" i="52"/>
  <c r="N8" i="52"/>
  <c r="N7" i="52"/>
  <c r="M131" i="52"/>
  <c r="M38" i="52" s="1"/>
  <c r="M108" i="52"/>
  <c r="M45" i="52"/>
  <c r="M44" i="52"/>
  <c r="M52" i="52" s="1"/>
  <c r="M43" i="52"/>
  <c r="M40" i="52"/>
  <c r="M35" i="52"/>
  <c r="M15" i="52"/>
  <c r="M18" i="52" s="1"/>
  <c r="M13" i="52"/>
  <c r="M12" i="52"/>
  <c r="M10" i="52"/>
  <c r="M9" i="52"/>
  <c r="M8" i="52"/>
  <c r="M7" i="52"/>
  <c r="M30" i="52" s="1"/>
  <c r="L131" i="52"/>
  <c r="L38" i="52" s="1"/>
  <c r="L39" i="52" s="1"/>
  <c r="L108" i="52"/>
  <c r="L44" i="52"/>
  <c r="L52" i="52" s="1"/>
  <c r="L43" i="52"/>
  <c r="L40" i="52"/>
  <c r="L35" i="52"/>
  <c r="L15" i="52"/>
  <c r="L18" i="52" s="1"/>
  <c r="L13" i="52"/>
  <c r="L12" i="52"/>
  <c r="L10" i="52"/>
  <c r="L9" i="52"/>
  <c r="L8" i="52"/>
  <c r="L7" i="52"/>
  <c r="K131" i="52"/>
  <c r="K38" i="52" s="1"/>
  <c r="K39" i="52" s="1"/>
  <c r="K108" i="52"/>
  <c r="K45" i="52"/>
  <c r="K44" i="52"/>
  <c r="K52" i="52" s="1"/>
  <c r="K43" i="52"/>
  <c r="K40" i="52"/>
  <c r="K35" i="52"/>
  <c r="K15" i="52"/>
  <c r="K18" i="52" s="1"/>
  <c r="K21" i="52" s="1"/>
  <c r="K13" i="52"/>
  <c r="K12" i="52"/>
  <c r="K10" i="52"/>
  <c r="K9" i="52"/>
  <c r="K8" i="52"/>
  <c r="K7" i="52"/>
  <c r="J131" i="52"/>
  <c r="J38" i="52" s="1"/>
  <c r="J108" i="52"/>
  <c r="J45" i="52"/>
  <c r="J43" i="52"/>
  <c r="J40" i="52"/>
  <c r="J35" i="52"/>
  <c r="J15" i="52"/>
  <c r="J18" i="52" s="1"/>
  <c r="J13" i="52"/>
  <c r="J12" i="52"/>
  <c r="J31" i="52" s="1"/>
  <c r="J10" i="52"/>
  <c r="J11" i="52" s="1"/>
  <c r="J9" i="52"/>
  <c r="J8" i="52"/>
  <c r="J7" i="52"/>
  <c r="I146" i="51"/>
  <c r="J118" i="51"/>
  <c r="J123" i="51" s="1"/>
  <c r="J38" i="51" s="1"/>
  <c r="K118" i="51"/>
  <c r="K123" i="51" s="1"/>
  <c r="K38" i="51" s="1"/>
  <c r="L118" i="51"/>
  <c r="L123" i="51" s="1"/>
  <c r="L38" i="51" s="1"/>
  <c r="M118" i="51"/>
  <c r="M123" i="51" s="1"/>
  <c r="M38" i="51" s="1"/>
  <c r="J131" i="51"/>
  <c r="J133" i="51" s="1"/>
  <c r="J40" i="51" s="1"/>
  <c r="K131" i="51"/>
  <c r="K133" i="51" s="1"/>
  <c r="K40" i="51" s="1"/>
  <c r="L131" i="51"/>
  <c r="L133" i="51" s="1"/>
  <c r="L40" i="51" s="1"/>
  <c r="M131" i="51"/>
  <c r="M133" i="51" s="1"/>
  <c r="M40" i="51" s="1"/>
  <c r="I122" i="51"/>
  <c r="I118" i="51"/>
  <c r="I111" i="51"/>
  <c r="I103" i="51"/>
  <c r="I97" i="51"/>
  <c r="I85" i="51"/>
  <c r="I84" i="51"/>
  <c r="I73" i="51"/>
  <c r="N133" i="51"/>
  <c r="N40" i="51" s="1"/>
  <c r="N112" i="51"/>
  <c r="N49" i="51"/>
  <c r="N48" i="51"/>
  <c r="N56" i="51" s="1"/>
  <c r="N47" i="51"/>
  <c r="N42" i="51"/>
  <c r="N43" i="51" s="1"/>
  <c r="N38" i="51"/>
  <c r="N37" i="51"/>
  <c r="N16" i="51"/>
  <c r="N19" i="51" s="1"/>
  <c r="N20" i="51" s="1"/>
  <c r="N14" i="51"/>
  <c r="N13" i="51"/>
  <c r="N11" i="51"/>
  <c r="N9" i="51"/>
  <c r="N8" i="51"/>
  <c r="N7" i="51"/>
  <c r="M112" i="51"/>
  <c r="M49" i="51"/>
  <c r="M48" i="51"/>
  <c r="M56" i="51" s="1"/>
  <c r="M47" i="51"/>
  <c r="M43" i="51"/>
  <c r="M42" i="51"/>
  <c r="M37" i="51"/>
  <c r="M16" i="51"/>
  <c r="M19" i="51" s="1"/>
  <c r="M20" i="51" s="1"/>
  <c r="M14" i="51"/>
  <c r="M13" i="51"/>
  <c r="M11" i="51"/>
  <c r="M9" i="51"/>
  <c r="M8" i="51"/>
  <c r="M7" i="51"/>
  <c r="L112" i="51"/>
  <c r="L49" i="51"/>
  <c r="L48" i="51"/>
  <c r="L56" i="51" s="1"/>
  <c r="L47" i="51"/>
  <c r="L42" i="51"/>
  <c r="L43" i="51" s="1"/>
  <c r="L37" i="51"/>
  <c r="L16" i="51"/>
  <c r="L19" i="51" s="1"/>
  <c r="L20" i="51" s="1"/>
  <c r="L14" i="51"/>
  <c r="L13" i="51"/>
  <c r="L11" i="51"/>
  <c r="L9" i="51"/>
  <c r="L8" i="51"/>
  <c r="L7" i="51"/>
  <c r="K112" i="51"/>
  <c r="K49" i="51"/>
  <c r="K48" i="51"/>
  <c r="K56" i="51" s="1"/>
  <c r="K47" i="51"/>
  <c r="K42" i="51"/>
  <c r="K43" i="51" s="1"/>
  <c r="K37" i="51"/>
  <c r="K16" i="51"/>
  <c r="K19" i="51" s="1"/>
  <c r="K20" i="51" s="1"/>
  <c r="K14" i="51"/>
  <c r="K13" i="51"/>
  <c r="K11" i="51"/>
  <c r="K9" i="51"/>
  <c r="K8" i="51"/>
  <c r="K7" i="51"/>
  <c r="J112" i="51"/>
  <c r="J49" i="51"/>
  <c r="J48" i="51"/>
  <c r="J56" i="51" s="1"/>
  <c r="J47" i="51"/>
  <c r="J42" i="51"/>
  <c r="J43" i="51" s="1"/>
  <c r="J37" i="51"/>
  <c r="J16" i="51"/>
  <c r="J19" i="51" s="1"/>
  <c r="J20" i="51" s="1"/>
  <c r="J14" i="51"/>
  <c r="J13" i="51"/>
  <c r="J11" i="51"/>
  <c r="J9" i="51"/>
  <c r="J8" i="51"/>
  <c r="J7" i="51"/>
  <c r="I143" i="50"/>
  <c r="I119" i="50"/>
  <c r="I115" i="50"/>
  <c r="I120" i="50" s="1"/>
  <c r="I126" i="50" s="1"/>
  <c r="I128" i="50" s="1"/>
  <c r="I99" i="50"/>
  <c r="I93" i="50"/>
  <c r="I81" i="50"/>
  <c r="I80" i="50"/>
  <c r="I69" i="50"/>
  <c r="N130" i="50"/>
  <c r="N38" i="50" s="1"/>
  <c r="N108" i="50"/>
  <c r="N109" i="50" s="1"/>
  <c r="N45" i="50"/>
  <c r="N44" i="50"/>
  <c r="N52" i="50" s="1"/>
  <c r="N43" i="50"/>
  <c r="N40" i="50"/>
  <c r="N36" i="50"/>
  <c r="N35" i="50"/>
  <c r="N13" i="50"/>
  <c r="N12" i="50"/>
  <c r="N10" i="50"/>
  <c r="N9" i="50"/>
  <c r="N8" i="50"/>
  <c r="N7" i="50"/>
  <c r="M130" i="50"/>
  <c r="M38" i="50" s="1"/>
  <c r="M108" i="50"/>
  <c r="M109" i="50" s="1"/>
  <c r="M45" i="50"/>
  <c r="M44" i="50"/>
  <c r="M52" i="50" s="1"/>
  <c r="M43" i="50"/>
  <c r="M40" i="50"/>
  <c r="M36" i="50"/>
  <c r="M35" i="50"/>
  <c r="M13" i="50"/>
  <c r="M12" i="50"/>
  <c r="M10" i="50"/>
  <c r="M11" i="50" s="1"/>
  <c r="M9" i="50"/>
  <c r="M8" i="50"/>
  <c r="M7" i="50"/>
  <c r="L130" i="50"/>
  <c r="L38" i="50" s="1"/>
  <c r="L108" i="50"/>
  <c r="L109" i="50" s="1"/>
  <c r="L45" i="50"/>
  <c r="L44" i="50"/>
  <c r="L52" i="50" s="1"/>
  <c r="L43" i="50"/>
  <c r="L40" i="50"/>
  <c r="L36" i="50"/>
  <c r="L37" i="50" s="1"/>
  <c r="L35" i="50"/>
  <c r="L13" i="50"/>
  <c r="L12" i="50"/>
  <c r="L10" i="50"/>
  <c r="L11" i="50" s="1"/>
  <c r="L9" i="50"/>
  <c r="L8" i="50"/>
  <c r="L7" i="50"/>
  <c r="K130" i="50"/>
  <c r="K108" i="50"/>
  <c r="K109" i="50" s="1"/>
  <c r="K45" i="50"/>
  <c r="K44" i="50"/>
  <c r="K52" i="50" s="1"/>
  <c r="K43" i="50"/>
  <c r="K40" i="50"/>
  <c r="K38" i="50"/>
  <c r="K36" i="50"/>
  <c r="K35" i="50"/>
  <c r="K13" i="50"/>
  <c r="K12" i="50"/>
  <c r="K30" i="50" s="1"/>
  <c r="K10" i="50"/>
  <c r="K11" i="50" s="1"/>
  <c r="K9" i="50"/>
  <c r="K8" i="50"/>
  <c r="K7" i="50"/>
  <c r="J130" i="50"/>
  <c r="J38" i="50" s="1"/>
  <c r="J108" i="50"/>
  <c r="J109" i="50" s="1"/>
  <c r="J45" i="50"/>
  <c r="J44" i="50"/>
  <c r="J52" i="50" s="1"/>
  <c r="J43" i="50"/>
  <c r="J40" i="50"/>
  <c r="J36" i="50"/>
  <c r="J35" i="50"/>
  <c r="J13" i="50"/>
  <c r="J12" i="50"/>
  <c r="J30" i="50" s="1"/>
  <c r="J10" i="50"/>
  <c r="J11" i="50" s="1"/>
  <c r="J9" i="50"/>
  <c r="J8" i="50"/>
  <c r="J7" i="50"/>
  <c r="I151" i="49"/>
  <c r="I139" i="49"/>
  <c r="I122" i="49"/>
  <c r="I127" i="49" s="1"/>
  <c r="I133" i="49" s="1"/>
  <c r="I107" i="49"/>
  <c r="I106" i="49"/>
  <c r="I100" i="49"/>
  <c r="I87" i="49"/>
  <c r="I76" i="49"/>
  <c r="N136" i="49"/>
  <c r="N138" i="49" s="1"/>
  <c r="N38" i="49" s="1"/>
  <c r="N115" i="49"/>
  <c r="N116" i="49" s="1"/>
  <c r="N44" i="49"/>
  <c r="N58" i="49" s="1"/>
  <c r="N43" i="49"/>
  <c r="N40" i="49"/>
  <c r="N56" i="49" s="1"/>
  <c r="N36" i="49"/>
  <c r="N35" i="49"/>
  <c r="N13" i="49"/>
  <c r="N12" i="49"/>
  <c r="N10" i="49"/>
  <c r="N9" i="49"/>
  <c r="N8" i="49"/>
  <c r="N7" i="49"/>
  <c r="N29" i="49" s="1"/>
  <c r="M136" i="49"/>
  <c r="M138" i="49" s="1"/>
  <c r="M38" i="49" s="1"/>
  <c r="M115" i="49"/>
  <c r="M116" i="49" s="1"/>
  <c r="M45" i="49"/>
  <c r="M44" i="49"/>
  <c r="M58" i="49" s="1"/>
  <c r="M43" i="49"/>
  <c r="M40" i="49"/>
  <c r="M56" i="49" s="1"/>
  <c r="M36" i="49"/>
  <c r="M35" i="49"/>
  <c r="M37" i="49" s="1"/>
  <c r="M13" i="49"/>
  <c r="M12" i="49"/>
  <c r="M10" i="49"/>
  <c r="M9" i="49"/>
  <c r="M8" i="49"/>
  <c r="M7" i="49"/>
  <c r="L136" i="49"/>
  <c r="L138" i="49" s="1"/>
  <c r="L38" i="49" s="1"/>
  <c r="L115" i="49"/>
  <c r="L116" i="49" s="1"/>
  <c r="L45" i="49"/>
  <c r="L44" i="49"/>
  <c r="L58" i="49" s="1"/>
  <c r="L43" i="49"/>
  <c r="L40" i="49"/>
  <c r="L56" i="49" s="1"/>
  <c r="L36" i="49"/>
  <c r="L35" i="49"/>
  <c r="L13" i="49"/>
  <c r="L12" i="49"/>
  <c r="L10" i="49"/>
  <c r="L9" i="49"/>
  <c r="L8" i="49"/>
  <c r="L7" i="49"/>
  <c r="K136" i="49"/>
  <c r="K138" i="49" s="1"/>
  <c r="K38" i="49" s="1"/>
  <c r="K115" i="49"/>
  <c r="K116" i="49" s="1"/>
  <c r="K45" i="49"/>
  <c r="K44" i="49"/>
  <c r="K58" i="49" s="1"/>
  <c r="K43" i="49"/>
  <c r="K40" i="49"/>
  <c r="K56" i="49" s="1"/>
  <c r="K36" i="49"/>
  <c r="K35" i="49"/>
  <c r="K13" i="49"/>
  <c r="K12" i="49"/>
  <c r="K10" i="49"/>
  <c r="K8" i="49"/>
  <c r="K7" i="49"/>
  <c r="K30" i="49" s="1"/>
  <c r="J136" i="49"/>
  <c r="J138" i="49" s="1"/>
  <c r="J38" i="49" s="1"/>
  <c r="J115" i="49"/>
  <c r="J116" i="49" s="1"/>
  <c r="J45" i="49"/>
  <c r="J44" i="49"/>
  <c r="J58" i="49" s="1"/>
  <c r="J40" i="49"/>
  <c r="J56" i="49" s="1"/>
  <c r="J36" i="49"/>
  <c r="J35" i="49"/>
  <c r="J20" i="49"/>
  <c r="J13" i="49"/>
  <c r="J12" i="49"/>
  <c r="J10" i="49"/>
  <c r="J9" i="49"/>
  <c r="J8" i="49"/>
  <c r="J7" i="49"/>
  <c r="I133" i="25"/>
  <c r="J110" i="25"/>
  <c r="K110" i="25"/>
  <c r="L110" i="25"/>
  <c r="M110" i="25"/>
  <c r="N110" i="25"/>
  <c r="I110" i="25"/>
  <c r="I108" i="25"/>
  <c r="I101" i="25"/>
  <c r="J82" i="25"/>
  <c r="K82" i="25"/>
  <c r="L82" i="25"/>
  <c r="I82" i="25"/>
  <c r="I72" i="25"/>
  <c r="N44" i="25"/>
  <c r="N116" i="25"/>
  <c r="N99" i="25"/>
  <c r="N83" i="25"/>
  <c r="N82" i="25"/>
  <c r="N72" i="25"/>
  <c r="N46" i="25"/>
  <c r="N45" i="25"/>
  <c r="N54" i="25" s="1"/>
  <c r="N41" i="25"/>
  <c r="N52" i="25" s="1"/>
  <c r="N39" i="25"/>
  <c r="N36" i="25"/>
  <c r="N16" i="25"/>
  <c r="N19" i="25" s="1"/>
  <c r="N14" i="25"/>
  <c r="N13" i="25"/>
  <c r="N11" i="25"/>
  <c r="N9" i="25"/>
  <c r="N8" i="25"/>
  <c r="N7" i="25"/>
  <c r="M44" i="25"/>
  <c r="M116" i="25"/>
  <c r="M122" i="25" s="1"/>
  <c r="M99" i="25"/>
  <c r="M83" i="25"/>
  <c r="M82" i="25"/>
  <c r="M72" i="25"/>
  <c r="M46" i="25"/>
  <c r="M45" i="25"/>
  <c r="M54" i="25" s="1"/>
  <c r="M41" i="25"/>
  <c r="M52" i="25" s="1"/>
  <c r="M39" i="25"/>
  <c r="M36" i="25"/>
  <c r="M16" i="25"/>
  <c r="M19" i="25" s="1"/>
  <c r="M14" i="25"/>
  <c r="M13" i="25"/>
  <c r="M11" i="25"/>
  <c r="M9" i="25"/>
  <c r="M8" i="25"/>
  <c r="M7" i="25"/>
  <c r="L44" i="25"/>
  <c r="L116" i="25"/>
  <c r="L122" i="25" s="1"/>
  <c r="L99" i="25"/>
  <c r="L83" i="25"/>
  <c r="L72" i="25"/>
  <c r="L46" i="25"/>
  <c r="L45" i="25"/>
  <c r="L54" i="25" s="1"/>
  <c r="L41" i="25"/>
  <c r="L52" i="25" s="1"/>
  <c r="L39" i="25"/>
  <c r="L36" i="25"/>
  <c r="L16" i="25"/>
  <c r="L19" i="25" s="1"/>
  <c r="L14" i="25"/>
  <c r="L13" i="25"/>
  <c r="L11" i="25"/>
  <c r="L9" i="25"/>
  <c r="L8" i="25"/>
  <c r="L7" i="25"/>
  <c r="K44" i="25"/>
  <c r="K116" i="25"/>
  <c r="K122" i="25" s="1"/>
  <c r="K99" i="25"/>
  <c r="K83" i="25"/>
  <c r="K72" i="25"/>
  <c r="K46" i="25"/>
  <c r="K45" i="25"/>
  <c r="K54" i="25" s="1"/>
  <c r="K41" i="25"/>
  <c r="K52" i="25" s="1"/>
  <c r="K39" i="25"/>
  <c r="K36" i="25"/>
  <c r="K16" i="25"/>
  <c r="K19" i="25" s="1"/>
  <c r="K14" i="25"/>
  <c r="K13" i="25"/>
  <c r="K31" i="25" s="1"/>
  <c r="K11" i="25"/>
  <c r="K9" i="25"/>
  <c r="K8" i="25"/>
  <c r="K7" i="25"/>
  <c r="J44" i="25"/>
  <c r="J116" i="25"/>
  <c r="J122" i="25" s="1"/>
  <c r="J99" i="25"/>
  <c r="J83" i="25"/>
  <c r="J72" i="25"/>
  <c r="J46" i="25"/>
  <c r="J45" i="25"/>
  <c r="J54" i="25" s="1"/>
  <c r="J41" i="25"/>
  <c r="J39" i="25"/>
  <c r="J36" i="25"/>
  <c r="J16" i="25"/>
  <c r="J19" i="25" s="1"/>
  <c r="J14" i="25"/>
  <c r="J13" i="25"/>
  <c r="J15" i="25" s="1"/>
  <c r="J11" i="25"/>
  <c r="J9" i="25"/>
  <c r="J8" i="25"/>
  <c r="J7" i="25"/>
  <c r="I142" i="26"/>
  <c r="I115" i="26"/>
  <c r="I120" i="26" s="1"/>
  <c r="I126" i="26" s="1"/>
  <c r="I128" i="26" s="1"/>
  <c r="I108" i="26"/>
  <c r="I101" i="26"/>
  <c r="I100" i="26"/>
  <c r="I81" i="26"/>
  <c r="I80" i="26"/>
  <c r="N45" i="26"/>
  <c r="N44" i="26"/>
  <c r="N52" i="26" s="1"/>
  <c r="N43" i="26"/>
  <c r="N40" i="26"/>
  <c r="N38" i="26"/>
  <c r="N36" i="26"/>
  <c r="N35" i="26"/>
  <c r="N15" i="26"/>
  <c r="N18" i="26" s="1"/>
  <c r="N13" i="26"/>
  <c r="N12" i="26"/>
  <c r="N10" i="26"/>
  <c r="N9" i="26"/>
  <c r="N8" i="26"/>
  <c r="N7" i="26"/>
  <c r="M45" i="26"/>
  <c r="M44" i="26"/>
  <c r="M52" i="26" s="1"/>
  <c r="M43" i="26"/>
  <c r="M40" i="26"/>
  <c r="M38" i="26"/>
  <c r="M41" i="26" s="1"/>
  <c r="M36" i="26"/>
  <c r="M35" i="26"/>
  <c r="M15" i="26"/>
  <c r="M18" i="26" s="1"/>
  <c r="M13" i="26"/>
  <c r="M12" i="26"/>
  <c r="M10" i="26"/>
  <c r="M9" i="26"/>
  <c r="M8" i="26"/>
  <c r="M7" i="26"/>
  <c r="L45" i="26"/>
  <c r="L44" i="26"/>
  <c r="L52" i="26" s="1"/>
  <c r="L43" i="26"/>
  <c r="L40" i="26"/>
  <c r="L38" i="26"/>
  <c r="L41" i="26" s="1"/>
  <c r="L36" i="26"/>
  <c r="L35" i="26"/>
  <c r="L15" i="26"/>
  <c r="L18" i="26" s="1"/>
  <c r="L13" i="26"/>
  <c r="L12" i="26"/>
  <c r="L10" i="26"/>
  <c r="L9" i="26"/>
  <c r="L8" i="26"/>
  <c r="L7" i="26"/>
  <c r="K45" i="26"/>
  <c r="K44" i="26"/>
  <c r="K52" i="26" s="1"/>
  <c r="K43" i="26"/>
  <c r="K40" i="26"/>
  <c r="K38" i="26"/>
  <c r="K36" i="26"/>
  <c r="K37" i="26" s="1"/>
  <c r="K35" i="26"/>
  <c r="K15" i="26"/>
  <c r="K18" i="26" s="1"/>
  <c r="K13" i="26"/>
  <c r="K12" i="26"/>
  <c r="K10" i="26"/>
  <c r="K9" i="26"/>
  <c r="K8" i="26"/>
  <c r="K7" i="26"/>
  <c r="J45" i="26"/>
  <c r="J44" i="26"/>
  <c r="J52" i="26" s="1"/>
  <c r="J43" i="26"/>
  <c r="J40" i="26"/>
  <c r="J38" i="26"/>
  <c r="J36" i="26"/>
  <c r="J37" i="26" s="1"/>
  <c r="J35" i="26"/>
  <c r="J15" i="26"/>
  <c r="J18" i="26" s="1"/>
  <c r="J13" i="26"/>
  <c r="J12" i="26"/>
  <c r="J10" i="26"/>
  <c r="J9" i="26"/>
  <c r="J8" i="26"/>
  <c r="J7" i="26"/>
  <c r="I147" i="41"/>
  <c r="I110" i="41"/>
  <c r="I104" i="41"/>
  <c r="I89" i="41"/>
  <c r="I78" i="41"/>
  <c r="N146" i="41"/>
  <c r="N122" i="41"/>
  <c r="N123" i="41" s="1"/>
  <c r="N113" i="41"/>
  <c r="N92" i="41"/>
  <c r="N11" i="41" s="1"/>
  <c r="N60" i="41"/>
  <c r="N45" i="41"/>
  <c r="N42" i="41"/>
  <c r="N58" i="41" s="1"/>
  <c r="N40" i="41"/>
  <c r="N38" i="41"/>
  <c r="N37" i="41"/>
  <c r="N16" i="41"/>
  <c r="N15" i="41"/>
  <c r="N14" i="41"/>
  <c r="N13" i="41"/>
  <c r="N12" i="41"/>
  <c r="N10" i="41"/>
  <c r="N9" i="41"/>
  <c r="N8" i="41"/>
  <c r="N7" i="41"/>
  <c r="M146" i="41"/>
  <c r="M40" i="41" s="1"/>
  <c r="M122" i="41"/>
  <c r="M123" i="41" s="1"/>
  <c r="M113" i="41"/>
  <c r="M16" i="41" s="1"/>
  <c r="M92" i="41"/>
  <c r="M11" i="41" s="1"/>
  <c r="M45" i="41"/>
  <c r="M42" i="41"/>
  <c r="M58" i="41" s="1"/>
  <c r="M38" i="41"/>
  <c r="M37" i="41"/>
  <c r="M15" i="41"/>
  <c r="M14" i="41"/>
  <c r="M13" i="41"/>
  <c r="M12" i="41"/>
  <c r="M10" i="41"/>
  <c r="M9" i="41"/>
  <c r="M8" i="41"/>
  <c r="M7" i="41"/>
  <c r="L146" i="41"/>
  <c r="L40" i="41" s="1"/>
  <c r="L122" i="41"/>
  <c r="L123" i="41" s="1"/>
  <c r="L113" i="41"/>
  <c r="L16" i="41" s="1"/>
  <c r="L92" i="41"/>
  <c r="L11" i="41" s="1"/>
  <c r="L45" i="41"/>
  <c r="L42" i="41"/>
  <c r="L58" i="41" s="1"/>
  <c r="L38" i="41"/>
  <c r="L37" i="41"/>
  <c r="L15" i="41"/>
  <c r="L14" i="41"/>
  <c r="L13" i="41"/>
  <c r="L12" i="41"/>
  <c r="L10" i="41"/>
  <c r="L9" i="41"/>
  <c r="L8" i="41"/>
  <c r="L7" i="41"/>
  <c r="K146" i="41"/>
  <c r="K40" i="41" s="1"/>
  <c r="K122" i="41"/>
  <c r="K123" i="41" s="1"/>
  <c r="K113" i="41"/>
  <c r="K16" i="41" s="1"/>
  <c r="K92" i="41"/>
  <c r="K11" i="41" s="1"/>
  <c r="K60" i="41"/>
  <c r="K45" i="41"/>
  <c r="K42" i="41"/>
  <c r="K58" i="41" s="1"/>
  <c r="K38" i="41"/>
  <c r="K37" i="41"/>
  <c r="K15" i="41"/>
  <c r="K14" i="41"/>
  <c r="K13" i="41"/>
  <c r="K12" i="41"/>
  <c r="K10" i="41"/>
  <c r="K9" i="41"/>
  <c r="K8" i="41"/>
  <c r="K7" i="41"/>
  <c r="J40" i="41"/>
  <c r="J122" i="41"/>
  <c r="J123" i="41" s="1"/>
  <c r="J113" i="41"/>
  <c r="J16" i="41" s="1"/>
  <c r="J11" i="41"/>
  <c r="J45" i="41"/>
  <c r="J42" i="41"/>
  <c r="J58" i="41" s="1"/>
  <c r="J38" i="41"/>
  <c r="J37" i="41"/>
  <c r="J17" i="41"/>
  <c r="J20" i="41" s="1"/>
  <c r="J15" i="41"/>
  <c r="J14" i="41"/>
  <c r="J13" i="41"/>
  <c r="J12" i="41"/>
  <c r="J10" i="41"/>
  <c r="J9" i="41"/>
  <c r="J8" i="41"/>
  <c r="J7" i="41"/>
  <c r="I109" i="38"/>
  <c r="I103" i="38"/>
  <c r="I91" i="38"/>
  <c r="I89" i="38"/>
  <c r="I78" i="38"/>
  <c r="K118" i="38"/>
  <c r="K120" i="38" s="1"/>
  <c r="K111" i="38"/>
  <c r="K16" i="38" s="1"/>
  <c r="K91" i="38"/>
  <c r="K12" i="38" s="1"/>
  <c r="K47" i="38"/>
  <c r="K60" i="38" s="1"/>
  <c r="K46" i="38"/>
  <c r="K45" i="38"/>
  <c r="K40" i="38"/>
  <c r="K42" i="38" s="1"/>
  <c r="K38" i="38"/>
  <c r="K37" i="38"/>
  <c r="K17" i="38"/>
  <c r="K20" i="38" s="1"/>
  <c r="K15" i="38"/>
  <c r="K14" i="38"/>
  <c r="K13" i="38"/>
  <c r="K11" i="38"/>
  <c r="K10" i="38"/>
  <c r="K7" i="38"/>
  <c r="J118" i="38"/>
  <c r="J120" i="38" s="1"/>
  <c r="J111" i="38"/>
  <c r="J16" i="38" s="1"/>
  <c r="J12" i="38"/>
  <c r="J47" i="38"/>
  <c r="J46" i="38"/>
  <c r="J45" i="38"/>
  <c r="J40" i="38"/>
  <c r="J38" i="38"/>
  <c r="J37" i="38"/>
  <c r="J15" i="38"/>
  <c r="J14" i="38"/>
  <c r="J13" i="38"/>
  <c r="J11" i="38"/>
  <c r="J10" i="38"/>
  <c r="J7" i="38"/>
  <c r="D38" i="13"/>
  <c r="E38" i="13"/>
  <c r="F38" i="13"/>
  <c r="G38" i="13"/>
  <c r="H38" i="13"/>
  <c r="I38" i="13"/>
  <c r="J38" i="13"/>
  <c r="K38" i="13"/>
  <c r="L38" i="13"/>
  <c r="M38" i="13"/>
  <c r="N38" i="13"/>
  <c r="J39" i="13"/>
  <c r="K39" i="13"/>
  <c r="L39" i="13"/>
  <c r="L40" i="13" s="1"/>
  <c r="M39" i="13"/>
  <c r="N39" i="13"/>
  <c r="D41" i="13"/>
  <c r="E41" i="13"/>
  <c r="F41" i="13"/>
  <c r="G41" i="13"/>
  <c r="H41" i="13"/>
  <c r="I41" i="13"/>
  <c r="J41" i="13"/>
  <c r="K41" i="13"/>
  <c r="L41" i="13"/>
  <c r="M41" i="13"/>
  <c r="N41" i="13"/>
  <c r="D43" i="13"/>
  <c r="E43" i="13"/>
  <c r="F43" i="13"/>
  <c r="G43" i="13"/>
  <c r="H43" i="13"/>
  <c r="I43" i="13"/>
  <c r="J43" i="13"/>
  <c r="K43" i="13"/>
  <c r="K74" i="13" s="1"/>
  <c r="L43" i="13"/>
  <c r="M43" i="13"/>
  <c r="M44" i="13" s="1"/>
  <c r="M74" i="13" s="1"/>
  <c r="N43" i="13"/>
  <c r="N44" i="13" s="1"/>
  <c r="N74" i="13" s="1"/>
  <c r="I126" i="13"/>
  <c r="I131" i="13" s="1"/>
  <c r="I39" i="13" s="1"/>
  <c r="I120" i="13"/>
  <c r="J112" i="13"/>
  <c r="K112" i="13"/>
  <c r="L112" i="13"/>
  <c r="M112" i="13"/>
  <c r="I113" i="13"/>
  <c r="I112" i="13"/>
  <c r="I107" i="13"/>
  <c r="I97" i="13"/>
  <c r="I96" i="13"/>
  <c r="I90" i="13"/>
  <c r="N48" i="13"/>
  <c r="N16" i="13"/>
  <c r="N19" i="13" s="1"/>
  <c r="N20" i="13" s="1"/>
  <c r="N14" i="13"/>
  <c r="N13" i="13"/>
  <c r="N11" i="13"/>
  <c r="N10" i="13"/>
  <c r="N9" i="13"/>
  <c r="N8" i="13"/>
  <c r="M48" i="13"/>
  <c r="M16" i="13"/>
  <c r="M19" i="13" s="1"/>
  <c r="M20" i="13" s="1"/>
  <c r="M14" i="13"/>
  <c r="M13" i="13"/>
  <c r="M11" i="13"/>
  <c r="M10" i="13"/>
  <c r="M9" i="13"/>
  <c r="M8" i="13"/>
  <c r="L48" i="13"/>
  <c r="L16" i="13"/>
  <c r="L19" i="13" s="1"/>
  <c r="L20" i="13" s="1"/>
  <c r="L14" i="13"/>
  <c r="L13" i="13"/>
  <c r="L11" i="13"/>
  <c r="L10" i="13"/>
  <c r="L9" i="13"/>
  <c r="L8" i="13"/>
  <c r="K16" i="13"/>
  <c r="K14" i="13"/>
  <c r="K13" i="13"/>
  <c r="K11" i="13"/>
  <c r="K10" i="13"/>
  <c r="K9" i="13"/>
  <c r="K8" i="13"/>
  <c r="J48" i="13"/>
  <c r="J16" i="13"/>
  <c r="J46" i="13" s="1"/>
  <c r="J14" i="13"/>
  <c r="J13" i="13"/>
  <c r="J11" i="13"/>
  <c r="J10" i="13"/>
  <c r="J9" i="13"/>
  <c r="J8" i="13"/>
  <c r="I114" i="40"/>
  <c r="I119" i="40" s="1"/>
  <c r="I125" i="40" s="1"/>
  <c r="I127" i="40" s="1"/>
  <c r="I100" i="40"/>
  <c r="I99" i="40"/>
  <c r="I93" i="40"/>
  <c r="I81" i="40"/>
  <c r="I80" i="40"/>
  <c r="I69" i="40"/>
  <c r="N142" i="40"/>
  <c r="N43" i="40" s="1"/>
  <c r="N129" i="40"/>
  <c r="N108" i="40"/>
  <c r="N45" i="40"/>
  <c r="N40" i="40"/>
  <c r="N20" i="40" s="1"/>
  <c r="N38" i="40"/>
  <c r="N36" i="40"/>
  <c r="N37" i="40" s="1"/>
  <c r="N35" i="40"/>
  <c r="N15" i="40"/>
  <c r="N18" i="40" s="1"/>
  <c r="N13" i="40"/>
  <c r="N12" i="40"/>
  <c r="N11" i="40"/>
  <c r="N10" i="40"/>
  <c r="N9" i="40"/>
  <c r="N8" i="40"/>
  <c r="N7" i="40"/>
  <c r="M142" i="40"/>
  <c r="M43" i="40" s="1"/>
  <c r="M129" i="40"/>
  <c r="M38" i="40" s="1"/>
  <c r="M108" i="40"/>
  <c r="M15" i="40" s="1"/>
  <c r="M18" i="40" s="1"/>
  <c r="M45" i="40"/>
  <c r="M44" i="40"/>
  <c r="M52" i="40" s="1"/>
  <c r="M40" i="40"/>
  <c r="M20" i="40" s="1"/>
  <c r="M36" i="40"/>
  <c r="M35" i="40"/>
  <c r="M13" i="40"/>
  <c r="M12" i="40"/>
  <c r="M29" i="40" s="1"/>
  <c r="M11" i="40"/>
  <c r="M10" i="40"/>
  <c r="M9" i="40"/>
  <c r="M8" i="40"/>
  <c r="M7" i="40"/>
  <c r="L142" i="40"/>
  <c r="L43" i="40" s="1"/>
  <c r="L129" i="40"/>
  <c r="L38" i="40" s="1"/>
  <c r="L108" i="40"/>
  <c r="L15" i="40" s="1"/>
  <c r="L18" i="40" s="1"/>
  <c r="L45" i="40"/>
  <c r="L44" i="40"/>
  <c r="L52" i="40" s="1"/>
  <c r="L40" i="40"/>
  <c r="L20" i="40" s="1"/>
  <c r="L36" i="40"/>
  <c r="L35" i="40"/>
  <c r="L13" i="40"/>
  <c r="L12" i="40"/>
  <c r="L11" i="40"/>
  <c r="L10" i="40"/>
  <c r="L9" i="40"/>
  <c r="L8" i="40"/>
  <c r="L7" i="40"/>
  <c r="L30" i="40" s="1"/>
  <c r="K142" i="40"/>
  <c r="K129" i="40"/>
  <c r="K108" i="40"/>
  <c r="K15" i="40" s="1"/>
  <c r="K18" i="40" s="1"/>
  <c r="K45" i="40"/>
  <c r="K44" i="40"/>
  <c r="K52" i="40" s="1"/>
  <c r="K43" i="40"/>
  <c r="K40" i="40"/>
  <c r="K20" i="40" s="1"/>
  <c r="K38" i="40"/>
  <c r="K36" i="40"/>
  <c r="K35" i="40"/>
  <c r="K14" i="40"/>
  <c r="K13" i="40"/>
  <c r="K12" i="40"/>
  <c r="K11" i="40"/>
  <c r="K10" i="40"/>
  <c r="K9" i="40"/>
  <c r="K8" i="40"/>
  <c r="K7" i="40"/>
  <c r="J142" i="40"/>
  <c r="J43" i="40" s="1"/>
  <c r="J129" i="40"/>
  <c r="J38" i="40" s="1"/>
  <c r="J39" i="40" s="1"/>
  <c r="J108" i="40"/>
  <c r="J15" i="40" s="1"/>
  <c r="J18" i="40" s="1"/>
  <c r="J44" i="40"/>
  <c r="J52" i="40" s="1"/>
  <c r="J40" i="40"/>
  <c r="J50" i="40" s="1"/>
  <c r="J36" i="40"/>
  <c r="J35" i="40"/>
  <c r="J13" i="40"/>
  <c r="J14" i="40" s="1"/>
  <c r="J12" i="40"/>
  <c r="J11" i="40"/>
  <c r="J10" i="40"/>
  <c r="J9" i="40"/>
  <c r="J8" i="40"/>
  <c r="J7" i="40"/>
  <c r="I157" i="23"/>
  <c r="I128" i="23"/>
  <c r="I114" i="23"/>
  <c r="J105" i="23"/>
  <c r="K105" i="23"/>
  <c r="L105" i="23"/>
  <c r="M105" i="23"/>
  <c r="N105" i="23"/>
  <c r="I105" i="23"/>
  <c r="I93" i="23"/>
  <c r="N142" i="23"/>
  <c r="N144" i="23" s="1"/>
  <c r="N38" i="23" s="1"/>
  <c r="N134" i="23"/>
  <c r="N120" i="23"/>
  <c r="N122" i="23" s="1"/>
  <c r="N113" i="23"/>
  <c r="N92" i="23"/>
  <c r="N78" i="23"/>
  <c r="N43" i="23"/>
  <c r="N40" i="23"/>
  <c r="N36" i="23"/>
  <c r="N35" i="23"/>
  <c r="N13" i="23"/>
  <c r="N12" i="23"/>
  <c r="N10" i="23"/>
  <c r="N9" i="23"/>
  <c r="N8" i="23"/>
  <c r="N7" i="23"/>
  <c r="M142" i="23"/>
  <c r="M144" i="23" s="1"/>
  <c r="M38" i="23" s="1"/>
  <c r="M134" i="23"/>
  <c r="M36" i="23" s="1"/>
  <c r="M120" i="23"/>
  <c r="M122" i="23" s="1"/>
  <c r="M113" i="23"/>
  <c r="M92" i="23"/>
  <c r="M78" i="23"/>
  <c r="M43" i="23"/>
  <c r="M40" i="23"/>
  <c r="M35" i="23"/>
  <c r="M13" i="23"/>
  <c r="M12" i="23"/>
  <c r="M10" i="23"/>
  <c r="M9" i="23"/>
  <c r="M8" i="23"/>
  <c r="M7" i="23"/>
  <c r="L134" i="23"/>
  <c r="L120" i="23"/>
  <c r="L122" i="23" s="1"/>
  <c r="L113" i="23"/>
  <c r="L78" i="23"/>
  <c r="L43" i="23"/>
  <c r="L40" i="23"/>
  <c r="L35" i="23"/>
  <c r="L13" i="23"/>
  <c r="L12" i="23"/>
  <c r="L10" i="23"/>
  <c r="L9" i="23"/>
  <c r="L8" i="23"/>
  <c r="L7" i="23"/>
  <c r="K134" i="23"/>
  <c r="K120" i="23"/>
  <c r="K122" i="23" s="1"/>
  <c r="K113" i="23"/>
  <c r="K92" i="23"/>
  <c r="K43" i="23"/>
  <c r="K40" i="23"/>
  <c r="K35" i="23"/>
  <c r="K13" i="23"/>
  <c r="K12" i="23"/>
  <c r="K10" i="23"/>
  <c r="K9" i="23"/>
  <c r="K8" i="23"/>
  <c r="K7" i="23"/>
  <c r="K29" i="23" s="1"/>
  <c r="J134" i="23"/>
  <c r="J92" i="23"/>
  <c r="J43" i="23"/>
  <c r="J40" i="23"/>
  <c r="J56" i="23" s="1"/>
  <c r="J35" i="23"/>
  <c r="J13" i="23"/>
  <c r="J12" i="23"/>
  <c r="J10" i="23"/>
  <c r="J9" i="23"/>
  <c r="J8" i="23"/>
  <c r="J7" i="23"/>
  <c r="K31" i="23" s="1"/>
  <c r="I147" i="11"/>
  <c r="I43" i="11" s="1"/>
  <c r="I120" i="11"/>
  <c r="I125" i="11" s="1"/>
  <c r="I15" i="11"/>
  <c r="I18" i="11" s="1"/>
  <c r="N107" i="11"/>
  <c r="M107" i="11"/>
  <c r="L107" i="11"/>
  <c r="J107" i="11"/>
  <c r="N106" i="11"/>
  <c r="M106" i="11"/>
  <c r="L106" i="11"/>
  <c r="J106" i="11"/>
  <c r="I106" i="11"/>
  <c r="N100" i="11"/>
  <c r="M100" i="11"/>
  <c r="L100" i="11"/>
  <c r="K100" i="11"/>
  <c r="J100" i="11"/>
  <c r="I100" i="11"/>
  <c r="N88" i="11"/>
  <c r="M88" i="11"/>
  <c r="L88" i="11"/>
  <c r="K88" i="11"/>
  <c r="J88" i="11"/>
  <c r="I88" i="11"/>
  <c r="N87" i="11"/>
  <c r="M87" i="11"/>
  <c r="L87" i="11"/>
  <c r="K87" i="11"/>
  <c r="J87" i="11"/>
  <c r="I87" i="11"/>
  <c r="N76" i="11"/>
  <c r="M76" i="11"/>
  <c r="L76" i="11"/>
  <c r="K76" i="11"/>
  <c r="J76" i="11"/>
  <c r="I76" i="11"/>
  <c r="N45" i="11"/>
  <c r="M45" i="11"/>
  <c r="L45" i="11"/>
  <c r="K45" i="11"/>
  <c r="J45" i="11"/>
  <c r="I45" i="11"/>
  <c r="N44" i="11"/>
  <c r="N58" i="11" s="1"/>
  <c r="M44" i="11"/>
  <c r="M58" i="11" s="1"/>
  <c r="L44" i="11"/>
  <c r="L58" i="11" s="1"/>
  <c r="J44" i="11"/>
  <c r="J58" i="11" s="1"/>
  <c r="I44" i="11"/>
  <c r="I58" i="11" s="1"/>
  <c r="N43" i="11"/>
  <c r="M43" i="11"/>
  <c r="L43" i="11"/>
  <c r="K43" i="11"/>
  <c r="J43" i="11"/>
  <c r="N40" i="11"/>
  <c r="N56" i="11" s="1"/>
  <c r="M40" i="11"/>
  <c r="M56" i="11" s="1"/>
  <c r="L40" i="11"/>
  <c r="L56" i="11" s="1"/>
  <c r="K40" i="11"/>
  <c r="K56" i="11" s="1"/>
  <c r="J40" i="11"/>
  <c r="J56" i="11" s="1"/>
  <c r="I40" i="11"/>
  <c r="I56" i="11" s="1"/>
  <c r="N38" i="11"/>
  <c r="M38" i="11"/>
  <c r="L38" i="11"/>
  <c r="K38" i="11"/>
  <c r="J38" i="11"/>
  <c r="N36" i="11"/>
  <c r="M36" i="11"/>
  <c r="L36" i="11"/>
  <c r="K36" i="11"/>
  <c r="J36" i="11"/>
  <c r="N35" i="11"/>
  <c r="M35" i="11"/>
  <c r="M39" i="11" s="1"/>
  <c r="L35" i="11"/>
  <c r="K35" i="11"/>
  <c r="K39" i="11" s="1"/>
  <c r="J35" i="11"/>
  <c r="I35" i="11"/>
  <c r="L20" i="11"/>
  <c r="N15" i="11"/>
  <c r="N18" i="11" s="1"/>
  <c r="M15" i="11"/>
  <c r="M18" i="11" s="1"/>
  <c r="L15" i="11"/>
  <c r="L18" i="11" s="1"/>
  <c r="K15" i="11"/>
  <c r="K18" i="11" s="1"/>
  <c r="J15" i="11"/>
  <c r="J18" i="11" s="1"/>
  <c r="N13" i="11"/>
  <c r="M13" i="11"/>
  <c r="L13" i="11"/>
  <c r="K13" i="11"/>
  <c r="J13" i="11"/>
  <c r="I13" i="11"/>
  <c r="N12" i="11"/>
  <c r="M12" i="11"/>
  <c r="L12" i="11"/>
  <c r="K12" i="11"/>
  <c r="K14" i="11" s="1"/>
  <c r="J12" i="11"/>
  <c r="I12" i="11"/>
  <c r="N10" i="11"/>
  <c r="M10" i="11"/>
  <c r="L10" i="11"/>
  <c r="K10" i="11"/>
  <c r="J10" i="11"/>
  <c r="I10" i="11"/>
  <c r="N9" i="11"/>
  <c r="M9" i="11"/>
  <c r="L9" i="11"/>
  <c r="K9" i="11"/>
  <c r="J9" i="11"/>
  <c r="I9" i="11"/>
  <c r="N8" i="11"/>
  <c r="M8" i="11"/>
  <c r="L8" i="11"/>
  <c r="K8" i="11"/>
  <c r="J8" i="11"/>
  <c r="I8" i="11"/>
  <c r="N7" i="11"/>
  <c r="M7" i="11"/>
  <c r="M30" i="11" s="1"/>
  <c r="L7" i="11"/>
  <c r="L30" i="11" s="1"/>
  <c r="K7" i="11"/>
  <c r="K30" i="11" s="1"/>
  <c r="J7" i="11"/>
  <c r="J30" i="11" s="1"/>
  <c r="I7" i="11"/>
  <c r="I30" i="11" s="1"/>
  <c r="I146" i="12"/>
  <c r="I119" i="12"/>
  <c r="I124" i="12" s="1"/>
  <c r="I130" i="12" s="1"/>
  <c r="I132" i="12" s="1"/>
  <c r="I113" i="12"/>
  <c r="I106" i="12"/>
  <c r="K106" i="12"/>
  <c r="L106" i="12"/>
  <c r="M106" i="12"/>
  <c r="N106" i="12"/>
  <c r="K105" i="12"/>
  <c r="L105" i="12"/>
  <c r="M105" i="12"/>
  <c r="N105" i="12"/>
  <c r="I105" i="12"/>
  <c r="I99" i="12"/>
  <c r="K99" i="12"/>
  <c r="L99" i="12"/>
  <c r="M99" i="12"/>
  <c r="N99" i="12"/>
  <c r="I87" i="12"/>
  <c r="K87" i="12"/>
  <c r="L87" i="12"/>
  <c r="M87" i="12"/>
  <c r="N87" i="12"/>
  <c r="I86" i="12"/>
  <c r="K86" i="12"/>
  <c r="L86" i="12"/>
  <c r="M86" i="12"/>
  <c r="N86" i="12"/>
  <c r="I75" i="12"/>
  <c r="K75" i="12"/>
  <c r="L75" i="12"/>
  <c r="M75" i="12"/>
  <c r="N75" i="12"/>
  <c r="I44" i="12"/>
  <c r="I58" i="12" s="1"/>
  <c r="J44" i="12"/>
  <c r="J58" i="12" s="1"/>
  <c r="K44" i="12"/>
  <c r="K58" i="12" s="1"/>
  <c r="L44" i="12"/>
  <c r="L58" i="12" s="1"/>
  <c r="M44" i="12"/>
  <c r="M58" i="12" s="1"/>
  <c r="N44" i="12"/>
  <c r="N58" i="12" s="1"/>
  <c r="N45" i="12"/>
  <c r="N43" i="12"/>
  <c r="N40" i="12"/>
  <c r="N38" i="12"/>
  <c r="N36" i="12"/>
  <c r="N35" i="12"/>
  <c r="N15" i="12"/>
  <c r="N18" i="12" s="1"/>
  <c r="N27" i="12" s="1"/>
  <c r="N13" i="12"/>
  <c r="N12" i="12"/>
  <c r="N10" i="12"/>
  <c r="N9" i="12"/>
  <c r="N8" i="12"/>
  <c r="N7" i="12"/>
  <c r="M45" i="12"/>
  <c r="M43" i="12"/>
  <c r="M40" i="12"/>
  <c r="M38" i="12"/>
  <c r="M36" i="12"/>
  <c r="M35" i="12"/>
  <c r="M15" i="12"/>
  <c r="M18" i="12" s="1"/>
  <c r="M27" i="12" s="1"/>
  <c r="M13" i="12"/>
  <c r="M12" i="12"/>
  <c r="M10" i="12"/>
  <c r="M9" i="12"/>
  <c r="M8" i="12"/>
  <c r="M7" i="12"/>
  <c r="L45" i="12"/>
  <c r="L43" i="12"/>
  <c r="L40" i="12"/>
  <c r="L38" i="12"/>
  <c r="L36" i="12"/>
  <c r="L35" i="12"/>
  <c r="L15" i="12"/>
  <c r="L18" i="12" s="1"/>
  <c r="L27" i="12" s="1"/>
  <c r="L13" i="12"/>
  <c r="L12" i="12"/>
  <c r="L10" i="12"/>
  <c r="L9" i="12"/>
  <c r="L8" i="12"/>
  <c r="L7" i="12"/>
  <c r="K45" i="12"/>
  <c r="K43" i="12"/>
  <c r="K40" i="12"/>
  <c r="K38" i="12"/>
  <c r="K36" i="12"/>
  <c r="K35" i="12"/>
  <c r="K20" i="12"/>
  <c r="K15" i="12"/>
  <c r="K18" i="12" s="1"/>
  <c r="K27" i="12" s="1"/>
  <c r="K13" i="12"/>
  <c r="K12" i="12"/>
  <c r="K10" i="12"/>
  <c r="K9" i="12"/>
  <c r="K8" i="12"/>
  <c r="K7" i="12"/>
  <c r="J45" i="12"/>
  <c r="J43" i="12"/>
  <c r="J40" i="12"/>
  <c r="J38" i="12"/>
  <c r="J36" i="12"/>
  <c r="J35" i="12"/>
  <c r="J15" i="12"/>
  <c r="J18" i="12" s="1"/>
  <c r="J27" i="12" s="1"/>
  <c r="J13" i="12"/>
  <c r="J12" i="12"/>
  <c r="J10" i="12"/>
  <c r="J9" i="12"/>
  <c r="J8" i="12"/>
  <c r="J7" i="12"/>
  <c r="J48" i="5"/>
  <c r="K48" i="5"/>
  <c r="L48" i="5"/>
  <c r="M48" i="5"/>
  <c r="N48" i="5"/>
  <c r="K43" i="9"/>
  <c r="K57" i="9" s="1"/>
  <c r="L43" i="9"/>
  <c r="L57" i="9" s="1"/>
  <c r="M43" i="9"/>
  <c r="M57" i="9" s="1"/>
  <c r="N43" i="9"/>
  <c r="N57" i="9" s="1"/>
  <c r="I44" i="37"/>
  <c r="J44" i="37"/>
  <c r="J58" i="37" s="1"/>
  <c r="K44" i="37"/>
  <c r="K58" i="37" s="1"/>
  <c r="L44" i="37"/>
  <c r="L58" i="37" s="1"/>
  <c r="M44" i="37"/>
  <c r="M58" i="37" s="1"/>
  <c r="N44" i="37"/>
  <c r="N58" i="37" s="1"/>
  <c r="O44" i="37"/>
  <c r="O58" i="37" s="1"/>
  <c r="I50" i="44"/>
  <c r="J50" i="44"/>
  <c r="K50" i="44"/>
  <c r="L50" i="44"/>
  <c r="M50" i="44"/>
  <c r="N50" i="44"/>
  <c r="N58" i="44" s="1"/>
  <c r="H44" i="43"/>
  <c r="H52" i="43" s="1"/>
  <c r="I44" i="43"/>
  <c r="I52" i="43" s="1"/>
  <c r="J44" i="43"/>
  <c r="J52" i="43" s="1"/>
  <c r="K44" i="43"/>
  <c r="K52" i="43" s="1"/>
  <c r="L44" i="43"/>
  <c r="L52" i="43" s="1"/>
  <c r="M44" i="43"/>
  <c r="M52" i="43" s="1"/>
  <c r="N44" i="43"/>
  <c r="N52" i="43" s="1"/>
  <c r="I44" i="42"/>
  <c r="J44" i="42"/>
  <c r="K44" i="42"/>
  <c r="L44" i="42"/>
  <c r="L52" i="42" s="1"/>
  <c r="M44" i="42"/>
  <c r="N44" i="42"/>
  <c r="K44" i="16"/>
  <c r="L44" i="16"/>
  <c r="M44" i="16"/>
  <c r="N44" i="16"/>
  <c r="J46" i="16"/>
  <c r="I47" i="16"/>
  <c r="I44" i="16" s="1"/>
  <c r="J46" i="15"/>
  <c r="J44" i="15" s="1"/>
  <c r="E29" i="87" s="1"/>
  <c r="K44" i="15"/>
  <c r="L44" i="15"/>
  <c r="M44" i="15"/>
  <c r="N44" i="15"/>
  <c r="I151" i="16"/>
  <c r="I43" i="16" s="1"/>
  <c r="I123" i="16"/>
  <c r="I129" i="16" s="1"/>
  <c r="I117" i="16"/>
  <c r="I15" i="16" s="1"/>
  <c r="I18" i="16" s="1"/>
  <c r="N110" i="16"/>
  <c r="M110" i="16"/>
  <c r="L110" i="16"/>
  <c r="I110" i="16"/>
  <c r="N109" i="16"/>
  <c r="M109" i="16"/>
  <c r="L109" i="16"/>
  <c r="I109" i="16"/>
  <c r="N100" i="16"/>
  <c r="M100" i="16"/>
  <c r="L100" i="16"/>
  <c r="I100" i="16"/>
  <c r="N88" i="16"/>
  <c r="M88" i="16"/>
  <c r="L88" i="16"/>
  <c r="I88" i="16"/>
  <c r="N87" i="16"/>
  <c r="M87" i="16"/>
  <c r="L87" i="16"/>
  <c r="I87" i="16"/>
  <c r="N76" i="16"/>
  <c r="M76" i="16"/>
  <c r="L76" i="16"/>
  <c r="I76" i="16"/>
  <c r="N45" i="16"/>
  <c r="M58" i="16" s="1"/>
  <c r="M45" i="16"/>
  <c r="L58" i="16" s="1"/>
  <c r="L45" i="16"/>
  <c r="K58" i="16" s="1"/>
  <c r="K45" i="16"/>
  <c r="J58" i="16" s="1"/>
  <c r="J45" i="16"/>
  <c r="I45" i="16"/>
  <c r="H58" i="16" s="1"/>
  <c r="N43" i="16"/>
  <c r="M43" i="16"/>
  <c r="L43" i="16"/>
  <c r="K43" i="16"/>
  <c r="J43" i="16"/>
  <c r="N40" i="16"/>
  <c r="N56" i="16" s="1"/>
  <c r="M40" i="16"/>
  <c r="M56" i="16" s="1"/>
  <c r="L40" i="16"/>
  <c r="L56" i="16" s="1"/>
  <c r="K40" i="16"/>
  <c r="K56" i="16" s="1"/>
  <c r="J40" i="16"/>
  <c r="J56" i="16" s="1"/>
  <c r="I40" i="16"/>
  <c r="N38" i="16"/>
  <c r="M38" i="16"/>
  <c r="L38" i="16"/>
  <c r="K38" i="16"/>
  <c r="J38" i="16"/>
  <c r="N36" i="16"/>
  <c r="M36" i="16"/>
  <c r="L36" i="16"/>
  <c r="K36" i="16"/>
  <c r="N35" i="16"/>
  <c r="M35" i="16"/>
  <c r="L35" i="16"/>
  <c r="K35" i="16"/>
  <c r="J35" i="16"/>
  <c r="I35" i="16"/>
  <c r="M20" i="16"/>
  <c r="L20" i="16"/>
  <c r="N15" i="16"/>
  <c r="N18" i="16" s="1"/>
  <c r="M15" i="16"/>
  <c r="M18" i="16" s="1"/>
  <c r="L15" i="16"/>
  <c r="L18" i="16" s="1"/>
  <c r="K15" i="16"/>
  <c r="K18" i="16" s="1"/>
  <c r="J15" i="16"/>
  <c r="J18" i="16" s="1"/>
  <c r="N13" i="16"/>
  <c r="M13" i="16"/>
  <c r="L13" i="16"/>
  <c r="K13" i="16"/>
  <c r="J13" i="16"/>
  <c r="I13" i="16"/>
  <c r="N12" i="16"/>
  <c r="M12" i="16"/>
  <c r="L12" i="16"/>
  <c r="K12" i="16"/>
  <c r="I12" i="16"/>
  <c r="N10" i="16"/>
  <c r="M10" i="16"/>
  <c r="L10" i="16"/>
  <c r="K10" i="16"/>
  <c r="J10" i="16"/>
  <c r="I10" i="16"/>
  <c r="N9" i="16"/>
  <c r="M9" i="16"/>
  <c r="L9" i="16"/>
  <c r="K9" i="16"/>
  <c r="J9" i="16"/>
  <c r="I9" i="16"/>
  <c r="N8" i="16"/>
  <c r="M8" i="16"/>
  <c r="L8" i="16"/>
  <c r="K8" i="16"/>
  <c r="J8" i="16"/>
  <c r="I8" i="16"/>
  <c r="N7" i="16"/>
  <c r="N30" i="16" s="1"/>
  <c r="M7" i="16"/>
  <c r="M30" i="16" s="1"/>
  <c r="L7" i="16"/>
  <c r="L30" i="16" s="1"/>
  <c r="K7" i="16"/>
  <c r="K30" i="16" s="1"/>
  <c r="J7" i="16"/>
  <c r="I7" i="16"/>
  <c r="I30" i="16" s="1"/>
  <c r="I123" i="15"/>
  <c r="I129" i="15" s="1"/>
  <c r="I135" i="15" s="1"/>
  <c r="I137" i="15" s="1"/>
  <c r="I117" i="15"/>
  <c r="I110" i="15"/>
  <c r="J110" i="15"/>
  <c r="L110" i="15"/>
  <c r="M110" i="15"/>
  <c r="N110" i="15"/>
  <c r="I109" i="15"/>
  <c r="J109" i="15"/>
  <c r="L109" i="15"/>
  <c r="M109" i="15"/>
  <c r="N109" i="15"/>
  <c r="J100" i="15"/>
  <c r="L100" i="15"/>
  <c r="M100" i="15"/>
  <c r="N100" i="15"/>
  <c r="I100" i="15"/>
  <c r="I88" i="15"/>
  <c r="J88" i="15"/>
  <c r="L88" i="15"/>
  <c r="M88" i="15"/>
  <c r="N88" i="15"/>
  <c r="I87" i="15"/>
  <c r="J87" i="15"/>
  <c r="L87" i="15"/>
  <c r="M87" i="15"/>
  <c r="N87" i="15"/>
  <c r="J76" i="15"/>
  <c r="L76" i="15"/>
  <c r="M76" i="15"/>
  <c r="N76" i="15"/>
  <c r="N45" i="15"/>
  <c r="M58" i="15" s="1"/>
  <c r="N43" i="15"/>
  <c r="N40" i="15"/>
  <c r="N56" i="15" s="1"/>
  <c r="N38" i="15"/>
  <c r="N36" i="15"/>
  <c r="N35" i="15"/>
  <c r="N20" i="15"/>
  <c r="N15" i="15"/>
  <c r="N18" i="15" s="1"/>
  <c r="N13" i="15"/>
  <c r="N12" i="15"/>
  <c r="N14" i="15" s="1"/>
  <c r="N10" i="15"/>
  <c r="N9" i="15"/>
  <c r="N8" i="15"/>
  <c r="N7" i="15"/>
  <c r="M45" i="15"/>
  <c r="L58" i="15" s="1"/>
  <c r="M43" i="15"/>
  <c r="M40" i="15"/>
  <c r="M56" i="15" s="1"/>
  <c r="M38" i="15"/>
  <c r="M36" i="15"/>
  <c r="M35" i="15"/>
  <c r="M15" i="15"/>
  <c r="M18" i="15" s="1"/>
  <c r="M13" i="15"/>
  <c r="M12" i="15"/>
  <c r="M14" i="15" s="1"/>
  <c r="M10" i="15"/>
  <c r="M9" i="15"/>
  <c r="M8" i="15"/>
  <c r="M7" i="15"/>
  <c r="L45" i="15"/>
  <c r="K58" i="15" s="1"/>
  <c r="L43" i="15"/>
  <c r="L40" i="15"/>
  <c r="L56" i="15" s="1"/>
  <c r="L38" i="15"/>
  <c r="L36" i="15"/>
  <c r="L35" i="15"/>
  <c r="L15" i="15"/>
  <c r="L18" i="15" s="1"/>
  <c r="L13" i="15"/>
  <c r="L12" i="15"/>
  <c r="L10" i="15"/>
  <c r="L9" i="15"/>
  <c r="L8" i="15"/>
  <c r="L7" i="15"/>
  <c r="K45" i="15"/>
  <c r="K43" i="15"/>
  <c r="K56" i="15"/>
  <c r="K38" i="15"/>
  <c r="K36" i="15"/>
  <c r="K35" i="15"/>
  <c r="K15" i="15"/>
  <c r="K18" i="15" s="1"/>
  <c r="K13" i="15"/>
  <c r="K12" i="15"/>
  <c r="K10" i="15"/>
  <c r="K9" i="15"/>
  <c r="K8" i="15"/>
  <c r="K7" i="15"/>
  <c r="K31" i="15" s="1"/>
  <c r="J40" i="15"/>
  <c r="J56" i="15" s="1"/>
  <c r="J38" i="15"/>
  <c r="J35" i="15"/>
  <c r="J15" i="15"/>
  <c r="J18" i="15" s="1"/>
  <c r="J13" i="15"/>
  <c r="J12" i="15"/>
  <c r="J10" i="15"/>
  <c r="J9" i="15"/>
  <c r="J8" i="15"/>
  <c r="J7" i="15"/>
  <c r="J110" i="22"/>
  <c r="K110" i="22"/>
  <c r="L110" i="22"/>
  <c r="M110" i="22"/>
  <c r="N110" i="22"/>
  <c r="I110" i="22"/>
  <c r="I77" i="22"/>
  <c r="J77" i="22"/>
  <c r="K77" i="22"/>
  <c r="L77" i="22"/>
  <c r="M77" i="22"/>
  <c r="N77" i="22"/>
  <c r="N155" i="22"/>
  <c r="N45" i="22" s="1"/>
  <c r="N139" i="22"/>
  <c r="N141" i="22" s="1"/>
  <c r="N40" i="22" s="1"/>
  <c r="N124" i="22"/>
  <c r="N130" i="22" s="1"/>
  <c r="N37" i="22" s="1"/>
  <c r="N117" i="22"/>
  <c r="N109" i="22"/>
  <c r="N101" i="22"/>
  <c r="N89" i="22"/>
  <c r="N88" i="22"/>
  <c r="N46" i="22"/>
  <c r="N60" i="22" s="1"/>
  <c r="N42" i="22"/>
  <c r="N58" i="22" s="1"/>
  <c r="N36" i="22"/>
  <c r="N16" i="22"/>
  <c r="N15" i="22"/>
  <c r="N19" i="22" s="1"/>
  <c r="N13" i="22"/>
  <c r="N12" i="22"/>
  <c r="N10" i="22"/>
  <c r="N9" i="22"/>
  <c r="N8" i="22"/>
  <c r="N7" i="22"/>
  <c r="M155" i="22"/>
  <c r="M45" i="22" s="1"/>
  <c r="M139" i="22"/>
  <c r="M141" i="22" s="1"/>
  <c r="M40" i="22" s="1"/>
  <c r="M124" i="22"/>
  <c r="M130" i="22" s="1"/>
  <c r="M37" i="22" s="1"/>
  <c r="M117" i="22"/>
  <c r="M16" i="22" s="1"/>
  <c r="M109" i="22"/>
  <c r="M101" i="22"/>
  <c r="M89" i="22"/>
  <c r="M88" i="22"/>
  <c r="M46" i="22"/>
  <c r="M60" i="22" s="1"/>
  <c r="M42" i="22"/>
  <c r="M58" i="22" s="1"/>
  <c r="M36" i="22"/>
  <c r="M21" i="22"/>
  <c r="M15" i="22"/>
  <c r="M19" i="22" s="1"/>
  <c r="M13" i="22"/>
  <c r="M12" i="22"/>
  <c r="M10" i="22"/>
  <c r="M9" i="22"/>
  <c r="M8" i="22"/>
  <c r="M7" i="22"/>
  <c r="L155" i="22"/>
  <c r="L45" i="22" s="1"/>
  <c r="L139" i="22"/>
  <c r="L141" i="22" s="1"/>
  <c r="L40" i="22" s="1"/>
  <c r="L124" i="22"/>
  <c r="L130" i="22" s="1"/>
  <c r="L37" i="22" s="1"/>
  <c r="L117" i="22"/>
  <c r="L16" i="22" s="1"/>
  <c r="L109" i="22"/>
  <c r="L101" i="22"/>
  <c r="L89" i="22"/>
  <c r="L88" i="22"/>
  <c r="L46" i="22"/>
  <c r="L60" i="22" s="1"/>
  <c r="L42" i="22"/>
  <c r="L58" i="22" s="1"/>
  <c r="L36" i="22"/>
  <c r="L21" i="22"/>
  <c r="L15" i="22"/>
  <c r="L19" i="22" s="1"/>
  <c r="L13" i="22"/>
  <c r="L12" i="22"/>
  <c r="L10" i="22"/>
  <c r="L9" i="22"/>
  <c r="L8" i="22"/>
  <c r="L7" i="22"/>
  <c r="K155" i="22"/>
  <c r="K45" i="22" s="1"/>
  <c r="K139" i="22"/>
  <c r="K141" i="22" s="1"/>
  <c r="K40" i="22" s="1"/>
  <c r="K124" i="22"/>
  <c r="K130" i="22" s="1"/>
  <c r="K37" i="22" s="1"/>
  <c r="K117" i="22"/>
  <c r="K16" i="22" s="1"/>
  <c r="K109" i="22"/>
  <c r="K101" i="22"/>
  <c r="K89" i="22"/>
  <c r="K88" i="22"/>
  <c r="K46" i="22"/>
  <c r="K60" i="22" s="1"/>
  <c r="K42" i="22"/>
  <c r="K58" i="22" s="1"/>
  <c r="K39" i="22"/>
  <c r="K36" i="22"/>
  <c r="K15" i="22"/>
  <c r="K19" i="22" s="1"/>
  <c r="K13" i="22"/>
  <c r="K12" i="22"/>
  <c r="K10" i="22"/>
  <c r="K9" i="22"/>
  <c r="K8" i="22"/>
  <c r="K7" i="22"/>
  <c r="J45" i="22"/>
  <c r="J139" i="22"/>
  <c r="J39" i="22" s="1"/>
  <c r="J124" i="22"/>
  <c r="J130" i="22" s="1"/>
  <c r="J37" i="22" s="1"/>
  <c r="J117" i="22"/>
  <c r="J118" i="22" s="1"/>
  <c r="J109" i="22"/>
  <c r="J46" i="22"/>
  <c r="J60" i="22" s="1"/>
  <c r="J42" i="22"/>
  <c r="J14" i="22"/>
  <c r="I133" i="14"/>
  <c r="N150" i="14"/>
  <c r="N43" i="14" s="1"/>
  <c r="N115" i="14"/>
  <c r="N15" i="14" s="1"/>
  <c r="N18" i="14" s="1"/>
  <c r="N107" i="14"/>
  <c r="N100" i="14"/>
  <c r="N88" i="14"/>
  <c r="N87" i="14"/>
  <c r="N76" i="14"/>
  <c r="N44" i="14"/>
  <c r="N58" i="14" s="1"/>
  <c r="N45" i="14"/>
  <c r="N40" i="14"/>
  <c r="N56" i="14" s="1"/>
  <c r="N38" i="14"/>
  <c r="N36" i="14"/>
  <c r="N35" i="14"/>
  <c r="N20" i="14"/>
  <c r="N13" i="14"/>
  <c r="N12" i="14"/>
  <c r="N10" i="14"/>
  <c r="N9" i="14"/>
  <c r="N8" i="14"/>
  <c r="N7" i="14"/>
  <c r="M150" i="14"/>
  <c r="M115" i="14"/>
  <c r="M15" i="14" s="1"/>
  <c r="M18" i="14" s="1"/>
  <c r="M107" i="14"/>
  <c r="M100" i="14"/>
  <c r="M88" i="14"/>
  <c r="M87" i="14"/>
  <c r="M76" i="14"/>
  <c r="M44" i="14"/>
  <c r="M58" i="14" s="1"/>
  <c r="M45" i="14"/>
  <c r="M43" i="14"/>
  <c r="M40" i="14"/>
  <c r="M56" i="14" s="1"/>
  <c r="M38" i="14"/>
  <c r="M36" i="14"/>
  <c r="M35" i="14"/>
  <c r="M13" i="14"/>
  <c r="M12" i="14"/>
  <c r="M10" i="14"/>
  <c r="M9" i="14"/>
  <c r="M8" i="14"/>
  <c r="M7" i="14"/>
  <c r="L150" i="14"/>
  <c r="L115" i="14"/>
  <c r="L107" i="14"/>
  <c r="L100" i="14"/>
  <c r="L88" i="14"/>
  <c r="L87" i="14"/>
  <c r="L76" i="14"/>
  <c r="L44" i="14"/>
  <c r="L58" i="14" s="1"/>
  <c r="L45" i="14"/>
  <c r="L43" i="14"/>
  <c r="L40" i="14"/>
  <c r="L56" i="14" s="1"/>
  <c r="L38" i="14"/>
  <c r="L36" i="14"/>
  <c r="L35" i="14"/>
  <c r="L15" i="14"/>
  <c r="L18" i="14" s="1"/>
  <c r="L13" i="14"/>
  <c r="L12" i="14"/>
  <c r="L14" i="14" s="1"/>
  <c r="L10" i="14"/>
  <c r="L9" i="14"/>
  <c r="L8" i="14"/>
  <c r="L7" i="14"/>
  <c r="K150" i="14"/>
  <c r="K43" i="14" s="1"/>
  <c r="K115" i="14"/>
  <c r="K107" i="14"/>
  <c r="K100" i="14"/>
  <c r="K88" i="14"/>
  <c r="K87" i="14"/>
  <c r="K76" i="14"/>
  <c r="K44" i="14"/>
  <c r="K58" i="14" s="1"/>
  <c r="K45" i="14"/>
  <c r="K40" i="14"/>
  <c r="K56" i="14" s="1"/>
  <c r="K38" i="14"/>
  <c r="K36" i="14"/>
  <c r="K35" i="14"/>
  <c r="K15" i="14"/>
  <c r="K18" i="14" s="1"/>
  <c r="K13" i="14"/>
  <c r="K12" i="14"/>
  <c r="K14" i="14" s="1"/>
  <c r="K10" i="14"/>
  <c r="K9" i="14"/>
  <c r="K8" i="14"/>
  <c r="K7" i="14"/>
  <c r="J43" i="14"/>
  <c r="J15" i="14"/>
  <c r="J18" i="14" s="1"/>
  <c r="J100" i="14"/>
  <c r="J87" i="14"/>
  <c r="J44" i="14"/>
  <c r="J58" i="14" s="1"/>
  <c r="J40" i="14"/>
  <c r="J38" i="14"/>
  <c r="J36" i="14"/>
  <c r="J35" i="14"/>
  <c r="J13" i="14"/>
  <c r="J12" i="14"/>
  <c r="J10" i="14"/>
  <c r="J9" i="14"/>
  <c r="J8" i="14"/>
  <c r="J7" i="14"/>
  <c r="I146" i="43"/>
  <c r="I116" i="43"/>
  <c r="I122" i="43" s="1"/>
  <c r="I128" i="43" s="1"/>
  <c r="I131" i="43" s="1"/>
  <c r="I133" i="43" s="1"/>
  <c r="I109" i="43"/>
  <c r="I110" i="43" s="1"/>
  <c r="I100" i="43"/>
  <c r="I93" i="43"/>
  <c r="I81" i="43"/>
  <c r="I80" i="43"/>
  <c r="I69" i="43"/>
  <c r="N131" i="43"/>
  <c r="N133" i="43" s="1"/>
  <c r="N38" i="43" s="1"/>
  <c r="N122" i="43"/>
  <c r="N36" i="43" s="1"/>
  <c r="N110" i="43"/>
  <c r="N45" i="43"/>
  <c r="N43" i="43"/>
  <c r="N40" i="43"/>
  <c r="N35" i="43"/>
  <c r="N15" i="43"/>
  <c r="N18" i="43" s="1"/>
  <c r="N13" i="43"/>
  <c r="N12" i="43"/>
  <c r="N14" i="43" s="1"/>
  <c r="N32" i="43" s="1"/>
  <c r="N10" i="43"/>
  <c r="N11" i="43" s="1"/>
  <c r="N9" i="43"/>
  <c r="N8" i="43"/>
  <c r="N7" i="43"/>
  <c r="N30" i="43" s="1"/>
  <c r="M131" i="43"/>
  <c r="M133" i="43" s="1"/>
  <c r="M38" i="43" s="1"/>
  <c r="M122" i="43"/>
  <c r="M36" i="43" s="1"/>
  <c r="M37" i="43" s="1"/>
  <c r="M110" i="43"/>
  <c r="M45" i="43"/>
  <c r="M43" i="43"/>
  <c r="M40" i="43"/>
  <c r="M35" i="43"/>
  <c r="M15" i="43"/>
  <c r="M18" i="43" s="1"/>
  <c r="M13" i="43"/>
  <c r="M12" i="43"/>
  <c r="M10" i="43"/>
  <c r="M9" i="43"/>
  <c r="M8" i="43"/>
  <c r="M7" i="43"/>
  <c r="L131" i="43"/>
  <c r="L133" i="43" s="1"/>
  <c r="L38" i="43" s="1"/>
  <c r="L122" i="43"/>
  <c r="L36" i="43" s="1"/>
  <c r="L110" i="43"/>
  <c r="L45" i="43"/>
  <c r="L43" i="43"/>
  <c r="L40" i="43"/>
  <c r="L35" i="43"/>
  <c r="L15" i="43"/>
  <c r="L18" i="43" s="1"/>
  <c r="L21" i="43" s="1"/>
  <c r="L13" i="43"/>
  <c r="L12" i="43"/>
  <c r="L30" i="43" s="1"/>
  <c r="L10" i="43"/>
  <c r="L9" i="43"/>
  <c r="L8" i="43"/>
  <c r="L7" i="43"/>
  <c r="K131" i="43"/>
  <c r="K133" i="43" s="1"/>
  <c r="K38" i="43" s="1"/>
  <c r="K122" i="43"/>
  <c r="K36" i="43" s="1"/>
  <c r="K37" i="43" s="1"/>
  <c r="K110" i="43"/>
  <c r="K45" i="43"/>
  <c r="K43" i="43"/>
  <c r="K40" i="43"/>
  <c r="K35" i="43"/>
  <c r="K15" i="43"/>
  <c r="K18" i="43" s="1"/>
  <c r="K13" i="43"/>
  <c r="K12" i="43"/>
  <c r="K30" i="43" s="1"/>
  <c r="K10" i="43"/>
  <c r="K11" i="43" s="1"/>
  <c r="K9" i="43"/>
  <c r="K8" i="43"/>
  <c r="K7" i="43"/>
  <c r="J131" i="43"/>
  <c r="J133" i="43" s="1"/>
  <c r="J38" i="43" s="1"/>
  <c r="J122" i="43"/>
  <c r="J36" i="43" s="1"/>
  <c r="J110" i="43"/>
  <c r="J45" i="43"/>
  <c r="J43" i="43"/>
  <c r="J40" i="43"/>
  <c r="J35" i="43"/>
  <c r="J15" i="43"/>
  <c r="J18" i="43" s="1"/>
  <c r="J21" i="43" s="1"/>
  <c r="J13" i="43"/>
  <c r="J12" i="43"/>
  <c r="J30" i="43" s="1"/>
  <c r="J10" i="43"/>
  <c r="J9" i="43"/>
  <c r="J8" i="43"/>
  <c r="J7" i="43"/>
  <c r="I146" i="42"/>
  <c r="I116" i="42"/>
  <c r="I109" i="42"/>
  <c r="I100" i="42"/>
  <c r="I93" i="42"/>
  <c r="I81" i="42"/>
  <c r="I80" i="42"/>
  <c r="I69" i="42"/>
  <c r="N131" i="42"/>
  <c r="N133" i="42" s="1"/>
  <c r="N38" i="42" s="1"/>
  <c r="N122" i="42"/>
  <c r="N36" i="42" s="1"/>
  <c r="N37" i="42" s="1"/>
  <c r="N110" i="42"/>
  <c r="N45" i="42"/>
  <c r="N52" i="42"/>
  <c r="N43" i="42"/>
  <c r="N40" i="42"/>
  <c r="N35" i="42"/>
  <c r="N15" i="42"/>
  <c r="N18" i="42" s="1"/>
  <c r="N13" i="42"/>
  <c r="N12" i="42"/>
  <c r="N14" i="42" s="1"/>
  <c r="N10" i="42"/>
  <c r="N9" i="42"/>
  <c r="N8" i="42"/>
  <c r="N7" i="42"/>
  <c r="M131" i="42"/>
  <c r="M133" i="42" s="1"/>
  <c r="M38" i="42" s="1"/>
  <c r="M122" i="42"/>
  <c r="M110" i="42"/>
  <c r="M45" i="42"/>
  <c r="M52" i="42"/>
  <c r="M43" i="42"/>
  <c r="M40" i="42"/>
  <c r="M36" i="42"/>
  <c r="M35" i="42"/>
  <c r="M15" i="42"/>
  <c r="M18" i="42" s="1"/>
  <c r="M13" i="42"/>
  <c r="M12" i="42"/>
  <c r="M10" i="42"/>
  <c r="M9" i="42"/>
  <c r="M8" i="42"/>
  <c r="M7" i="42"/>
  <c r="L131" i="42"/>
  <c r="L133" i="42" s="1"/>
  <c r="L38" i="42" s="1"/>
  <c r="L122" i="42"/>
  <c r="L36" i="42" s="1"/>
  <c r="L37" i="42" s="1"/>
  <c r="L110" i="42"/>
  <c r="L45" i="42"/>
  <c r="L43" i="42"/>
  <c r="L40" i="42"/>
  <c r="L35" i="42"/>
  <c r="L15" i="42"/>
  <c r="L18" i="42" s="1"/>
  <c r="L13" i="42"/>
  <c r="L12" i="42"/>
  <c r="L10" i="42"/>
  <c r="L9" i="42"/>
  <c r="L8" i="42"/>
  <c r="L7" i="42"/>
  <c r="K131" i="42"/>
  <c r="K133" i="42" s="1"/>
  <c r="K38" i="42" s="1"/>
  <c r="K122" i="42"/>
  <c r="K110" i="42"/>
  <c r="K45" i="42"/>
  <c r="K52" i="42"/>
  <c r="K43" i="42"/>
  <c r="K40" i="42"/>
  <c r="K36" i="42"/>
  <c r="K35" i="42"/>
  <c r="K15" i="42"/>
  <c r="K18" i="42" s="1"/>
  <c r="K13" i="42"/>
  <c r="K12" i="42"/>
  <c r="K14" i="42" s="1"/>
  <c r="K10" i="42"/>
  <c r="K9" i="42"/>
  <c r="K8" i="42"/>
  <c r="K7" i="42"/>
  <c r="J131" i="42"/>
  <c r="J133" i="42" s="1"/>
  <c r="J38" i="42" s="1"/>
  <c r="J122" i="42"/>
  <c r="J36" i="42" s="1"/>
  <c r="J37" i="42" s="1"/>
  <c r="J110" i="42"/>
  <c r="J45" i="42"/>
  <c r="J52" i="42"/>
  <c r="J43" i="42"/>
  <c r="J40" i="42"/>
  <c r="J35" i="42"/>
  <c r="J15" i="42"/>
  <c r="J18" i="42" s="1"/>
  <c r="J13" i="42"/>
  <c r="J12" i="42"/>
  <c r="J10" i="42"/>
  <c r="J9" i="42"/>
  <c r="J8" i="42"/>
  <c r="J7" i="42"/>
  <c r="I123" i="44"/>
  <c r="I128" i="44" s="1"/>
  <c r="I134" i="44" s="1"/>
  <c r="I88" i="44"/>
  <c r="L76" i="44"/>
  <c r="M76" i="44"/>
  <c r="N76" i="44"/>
  <c r="I76" i="44"/>
  <c r="I100" i="44"/>
  <c r="J100" i="44"/>
  <c r="K100" i="44"/>
  <c r="L100" i="44"/>
  <c r="M100" i="44"/>
  <c r="N100" i="44"/>
  <c r="I87" i="44"/>
  <c r="J87" i="44"/>
  <c r="K87" i="44"/>
  <c r="L87" i="44"/>
  <c r="M87" i="44"/>
  <c r="N87" i="44"/>
  <c r="N137" i="44"/>
  <c r="N139" i="44" s="1"/>
  <c r="N38" i="44" s="1"/>
  <c r="N116" i="44"/>
  <c r="N117" i="44" s="1"/>
  <c r="N108" i="44"/>
  <c r="N107" i="44"/>
  <c r="N51" i="44"/>
  <c r="N43" i="44"/>
  <c r="N40" i="44"/>
  <c r="N56" i="44" s="1"/>
  <c r="N36" i="44"/>
  <c r="N35" i="44"/>
  <c r="N15" i="44"/>
  <c r="N18" i="44" s="1"/>
  <c r="N13" i="44"/>
  <c r="N12" i="44"/>
  <c r="N10" i="44"/>
  <c r="N9" i="44"/>
  <c r="N8" i="44"/>
  <c r="N7" i="44"/>
  <c r="M137" i="44"/>
  <c r="M139" i="44" s="1"/>
  <c r="M38" i="44" s="1"/>
  <c r="M116" i="44"/>
  <c r="M117" i="44" s="1"/>
  <c r="M108" i="44"/>
  <c r="M107" i="44"/>
  <c r="M51" i="44"/>
  <c r="M58" i="44"/>
  <c r="M43" i="44"/>
  <c r="M40" i="44"/>
  <c r="M56" i="44" s="1"/>
  <c r="M36" i="44"/>
  <c r="M35" i="44"/>
  <c r="M13" i="44"/>
  <c r="M12" i="44"/>
  <c r="M10" i="44"/>
  <c r="M9" i="44"/>
  <c r="M8" i="44"/>
  <c r="M7" i="44"/>
  <c r="M11" i="44" s="1"/>
  <c r="L137" i="44"/>
  <c r="L139" i="44" s="1"/>
  <c r="L38" i="44" s="1"/>
  <c r="L116" i="44"/>
  <c r="L117" i="44" s="1"/>
  <c r="L108" i="44"/>
  <c r="L107" i="44"/>
  <c r="L51" i="44"/>
  <c r="L58" i="44"/>
  <c r="L43" i="44"/>
  <c r="L40" i="44"/>
  <c r="L56" i="44" s="1"/>
  <c r="L36" i="44"/>
  <c r="L35" i="44"/>
  <c r="L13" i="44"/>
  <c r="L12" i="44"/>
  <c r="L10" i="44"/>
  <c r="L9" i="44"/>
  <c r="L8" i="44"/>
  <c r="L7" i="44"/>
  <c r="K137" i="44"/>
  <c r="K116" i="44"/>
  <c r="K117" i="44" s="1"/>
  <c r="K108" i="44"/>
  <c r="K107" i="44"/>
  <c r="K51" i="44"/>
  <c r="K58" i="44"/>
  <c r="K43" i="44"/>
  <c r="K36" i="44"/>
  <c r="K35" i="44"/>
  <c r="K13" i="44"/>
  <c r="K12" i="44"/>
  <c r="K10" i="44"/>
  <c r="K9" i="44"/>
  <c r="K8" i="44"/>
  <c r="K7" i="44"/>
  <c r="K11" i="44" s="1"/>
  <c r="J137" i="44"/>
  <c r="J139" i="44" s="1"/>
  <c r="J116" i="44"/>
  <c r="J117" i="44" s="1"/>
  <c r="J108" i="44"/>
  <c r="J107" i="44"/>
  <c r="J51" i="44"/>
  <c r="J58" i="44"/>
  <c r="J43" i="44"/>
  <c r="J36" i="44"/>
  <c r="J35" i="44"/>
  <c r="J13" i="44"/>
  <c r="J12" i="44"/>
  <c r="J10" i="44"/>
  <c r="J9" i="44"/>
  <c r="J8" i="44"/>
  <c r="J7" i="44"/>
  <c r="H154" i="64"/>
  <c r="H43" i="64" s="1"/>
  <c r="G154" i="64"/>
  <c r="F154" i="64"/>
  <c r="F43" i="64" s="1"/>
  <c r="E154" i="64"/>
  <c r="E43" i="64" s="1"/>
  <c r="D154" i="64"/>
  <c r="D43" i="64" s="1"/>
  <c r="C154" i="64"/>
  <c r="C43" i="64" s="1"/>
  <c r="H116" i="64"/>
  <c r="G116" i="64"/>
  <c r="D116" i="64"/>
  <c r="C115" i="64"/>
  <c r="C116" i="64" s="1"/>
  <c r="H107" i="64"/>
  <c r="G107" i="64"/>
  <c r="F107" i="64"/>
  <c r="E107" i="64"/>
  <c r="D107" i="64"/>
  <c r="C107" i="64"/>
  <c r="H106" i="64"/>
  <c r="G106" i="64"/>
  <c r="F106" i="64"/>
  <c r="E106" i="64"/>
  <c r="D106" i="64"/>
  <c r="C106" i="64"/>
  <c r="H100" i="64"/>
  <c r="G100" i="64"/>
  <c r="F100" i="64"/>
  <c r="E100" i="64"/>
  <c r="D100" i="64"/>
  <c r="C100" i="64"/>
  <c r="H88" i="64"/>
  <c r="G88" i="64"/>
  <c r="F88" i="64"/>
  <c r="E88" i="64"/>
  <c r="D88" i="64"/>
  <c r="C88" i="64"/>
  <c r="H87" i="64"/>
  <c r="G87" i="64"/>
  <c r="F87" i="64"/>
  <c r="E87" i="64"/>
  <c r="D87" i="64"/>
  <c r="C87" i="64"/>
  <c r="H76" i="64"/>
  <c r="G76" i="64"/>
  <c r="F76" i="64"/>
  <c r="E76" i="64"/>
  <c r="D76" i="64"/>
  <c r="C76" i="64"/>
  <c r="C50" i="64"/>
  <c r="I43" i="64"/>
  <c r="G43" i="64"/>
  <c r="I40" i="64"/>
  <c r="I56" i="64" s="1"/>
  <c r="H40" i="64"/>
  <c r="H56" i="64" s="1"/>
  <c r="G40" i="64"/>
  <c r="F40" i="64"/>
  <c r="F56" i="64" s="1"/>
  <c r="E40" i="64"/>
  <c r="E56" i="64" s="1"/>
  <c r="D40" i="64"/>
  <c r="C40" i="64"/>
  <c r="I35" i="64"/>
  <c r="H35" i="64"/>
  <c r="G35" i="64"/>
  <c r="F35" i="64"/>
  <c r="E35" i="64"/>
  <c r="D35" i="64"/>
  <c r="C35" i="64"/>
  <c r="G15" i="64"/>
  <c r="G18" i="64" s="1"/>
  <c r="D15" i="64"/>
  <c r="D18" i="64" s="1"/>
  <c r="D21" i="64" s="1"/>
  <c r="I13" i="64"/>
  <c r="H13" i="64"/>
  <c r="G13" i="64"/>
  <c r="F13" i="64"/>
  <c r="E13" i="64"/>
  <c r="D13" i="64"/>
  <c r="C13" i="64"/>
  <c r="I12" i="64"/>
  <c r="H12" i="64"/>
  <c r="G12" i="64"/>
  <c r="F12" i="64"/>
  <c r="E12" i="64"/>
  <c r="D12" i="64"/>
  <c r="C12" i="64"/>
  <c r="I10" i="64"/>
  <c r="H10" i="64"/>
  <c r="G10" i="64"/>
  <c r="F10" i="64"/>
  <c r="E10" i="64"/>
  <c r="D10" i="64"/>
  <c r="C10" i="64"/>
  <c r="I9" i="64"/>
  <c r="H9" i="64"/>
  <c r="G9" i="64"/>
  <c r="F9" i="64"/>
  <c r="E9" i="64"/>
  <c r="D9" i="64"/>
  <c r="C9" i="64"/>
  <c r="I8" i="64"/>
  <c r="H8" i="64"/>
  <c r="G8" i="64"/>
  <c r="F8" i="64"/>
  <c r="E8" i="64"/>
  <c r="D8" i="64"/>
  <c r="C8" i="64"/>
  <c r="I7" i="64"/>
  <c r="H7" i="64"/>
  <c r="G7" i="64"/>
  <c r="F7" i="64"/>
  <c r="E7" i="64"/>
  <c r="D7" i="64"/>
  <c r="C7" i="64"/>
  <c r="H147" i="63"/>
  <c r="H46" i="63" s="1"/>
  <c r="G147" i="63"/>
  <c r="G46" i="63" s="1"/>
  <c r="F147" i="63"/>
  <c r="F46" i="63" s="1"/>
  <c r="E147" i="63"/>
  <c r="E46" i="63" s="1"/>
  <c r="D147" i="63"/>
  <c r="D46" i="63" s="1"/>
  <c r="C147" i="63"/>
  <c r="C46" i="63" s="1"/>
  <c r="C123" i="63"/>
  <c r="C129" i="63" s="1"/>
  <c r="I111" i="63"/>
  <c r="H110" i="63"/>
  <c r="H111" i="63" s="1"/>
  <c r="G110" i="63"/>
  <c r="G111" i="63" s="1"/>
  <c r="F110" i="63"/>
  <c r="F111" i="63" s="1"/>
  <c r="E110" i="63"/>
  <c r="E111" i="63" s="1"/>
  <c r="D110" i="63"/>
  <c r="D111" i="63" s="1"/>
  <c r="C110" i="63"/>
  <c r="C111" i="63" s="1"/>
  <c r="H103" i="63"/>
  <c r="G103" i="63"/>
  <c r="F103" i="63"/>
  <c r="E103" i="63"/>
  <c r="D103" i="63"/>
  <c r="C103" i="63"/>
  <c r="H102" i="63"/>
  <c r="G102" i="63"/>
  <c r="F102" i="63"/>
  <c r="E102" i="63"/>
  <c r="D102" i="63"/>
  <c r="C102" i="63"/>
  <c r="H96" i="63"/>
  <c r="G96" i="63"/>
  <c r="F96" i="63"/>
  <c r="E96" i="63"/>
  <c r="D96" i="63"/>
  <c r="C96" i="63"/>
  <c r="H84" i="63"/>
  <c r="G84" i="63"/>
  <c r="F84" i="63"/>
  <c r="E84" i="63"/>
  <c r="D84" i="63"/>
  <c r="C84" i="63"/>
  <c r="H83" i="63"/>
  <c r="G83" i="63"/>
  <c r="F83" i="63"/>
  <c r="E83" i="63"/>
  <c r="D83" i="63"/>
  <c r="C83" i="63"/>
  <c r="H72" i="63"/>
  <c r="G72" i="63"/>
  <c r="F72" i="63"/>
  <c r="E72" i="63"/>
  <c r="D72" i="63"/>
  <c r="C72" i="63"/>
  <c r="I48" i="63"/>
  <c r="H48" i="63"/>
  <c r="G48" i="63"/>
  <c r="F48" i="63"/>
  <c r="E48" i="63"/>
  <c r="D48" i="63"/>
  <c r="C48" i="63"/>
  <c r="I47" i="63"/>
  <c r="I55" i="63" s="1"/>
  <c r="H47" i="63"/>
  <c r="H55" i="63" s="1"/>
  <c r="G47" i="63"/>
  <c r="F47" i="63"/>
  <c r="F55" i="63" s="1"/>
  <c r="E47" i="63"/>
  <c r="E55" i="63" s="1"/>
  <c r="D47" i="63"/>
  <c r="D55" i="63" s="1"/>
  <c r="C47" i="63"/>
  <c r="C55" i="63" s="1"/>
  <c r="I46" i="63"/>
  <c r="I41" i="63"/>
  <c r="H41" i="63"/>
  <c r="G41" i="63"/>
  <c r="F41" i="63"/>
  <c r="E41" i="63"/>
  <c r="D41" i="63"/>
  <c r="C41" i="63"/>
  <c r="I36" i="63"/>
  <c r="H36" i="63"/>
  <c r="G36" i="63"/>
  <c r="F36" i="63"/>
  <c r="E36" i="63"/>
  <c r="D36" i="63"/>
  <c r="C36" i="63"/>
  <c r="G21" i="63"/>
  <c r="I15" i="63"/>
  <c r="I18" i="63" s="1"/>
  <c r="I19" i="63" s="1"/>
  <c r="I13" i="63"/>
  <c r="H13" i="63"/>
  <c r="G13" i="63"/>
  <c r="F13" i="63"/>
  <c r="E13" i="63"/>
  <c r="D13" i="63"/>
  <c r="C13" i="63"/>
  <c r="I12" i="63"/>
  <c r="H12" i="63"/>
  <c r="G12" i="63"/>
  <c r="F12" i="63"/>
  <c r="E12" i="63"/>
  <c r="D12" i="63"/>
  <c r="C12" i="63"/>
  <c r="I10" i="63"/>
  <c r="H10" i="63"/>
  <c r="G10" i="63"/>
  <c r="F10" i="63"/>
  <c r="E10" i="63"/>
  <c r="D10" i="63"/>
  <c r="C10" i="63"/>
  <c r="I9" i="63"/>
  <c r="H9" i="63"/>
  <c r="G9" i="63"/>
  <c r="F9" i="63"/>
  <c r="E9" i="63"/>
  <c r="D9" i="63"/>
  <c r="C9" i="63"/>
  <c r="I8" i="63"/>
  <c r="H8" i="63"/>
  <c r="G8" i="63"/>
  <c r="F8" i="63"/>
  <c r="E8" i="63"/>
  <c r="D8" i="63"/>
  <c r="C8" i="63"/>
  <c r="I7" i="63"/>
  <c r="H7" i="63"/>
  <c r="G7" i="63"/>
  <c r="F7" i="63"/>
  <c r="E7" i="63"/>
  <c r="D7" i="63"/>
  <c r="C7" i="63"/>
  <c r="I161" i="18"/>
  <c r="J161" i="18"/>
  <c r="K161" i="18"/>
  <c r="L161" i="18"/>
  <c r="M161" i="18"/>
  <c r="M43" i="18" s="1"/>
  <c r="N161" i="18"/>
  <c r="N43" i="18" s="1"/>
  <c r="I129" i="18"/>
  <c r="I136" i="18" s="1"/>
  <c r="I143" i="18" s="1"/>
  <c r="I115" i="18"/>
  <c r="I114" i="18"/>
  <c r="K114" i="18"/>
  <c r="L114" i="18"/>
  <c r="M114" i="18"/>
  <c r="N114" i="18"/>
  <c r="N91" i="18"/>
  <c r="I91" i="18"/>
  <c r="J91" i="18"/>
  <c r="K91" i="18"/>
  <c r="L91" i="18"/>
  <c r="M91" i="18"/>
  <c r="N145" i="18"/>
  <c r="N129" i="18"/>
  <c r="N122" i="18"/>
  <c r="N15" i="18" s="1"/>
  <c r="N18" i="18" s="1"/>
  <c r="N104" i="18"/>
  <c r="N92" i="18"/>
  <c r="N78" i="18"/>
  <c r="N45" i="18"/>
  <c r="N44" i="18"/>
  <c r="N59" i="18" s="1"/>
  <c r="N40" i="18"/>
  <c r="N57" i="18" s="1"/>
  <c r="N38" i="18"/>
  <c r="N35" i="18"/>
  <c r="N13" i="18"/>
  <c r="N12" i="18"/>
  <c r="N10" i="18"/>
  <c r="N9" i="18"/>
  <c r="N8" i="18"/>
  <c r="N7" i="18"/>
  <c r="M145" i="18"/>
  <c r="M129" i="18"/>
  <c r="M122" i="18"/>
  <c r="M15" i="18" s="1"/>
  <c r="M18" i="18" s="1"/>
  <c r="M104" i="18"/>
  <c r="M92" i="18"/>
  <c r="M78" i="18"/>
  <c r="M45" i="18"/>
  <c r="M44" i="18"/>
  <c r="M59" i="18" s="1"/>
  <c r="M40" i="18"/>
  <c r="M57" i="18" s="1"/>
  <c r="M38" i="18"/>
  <c r="M35" i="18"/>
  <c r="M13" i="18"/>
  <c r="M12" i="18"/>
  <c r="M10" i="18"/>
  <c r="M9" i="18"/>
  <c r="M8" i="18"/>
  <c r="M7" i="18"/>
  <c r="L145" i="18"/>
  <c r="L129" i="18"/>
  <c r="L122" i="18"/>
  <c r="L15" i="18" s="1"/>
  <c r="L18" i="18" s="1"/>
  <c r="L104" i="18"/>
  <c r="L92" i="18"/>
  <c r="L78" i="18"/>
  <c r="L45" i="18"/>
  <c r="L44" i="18"/>
  <c r="L59" i="18" s="1"/>
  <c r="L43" i="18"/>
  <c r="L40" i="18"/>
  <c r="L57" i="18" s="1"/>
  <c r="L38" i="18"/>
  <c r="L35" i="18"/>
  <c r="L13" i="18"/>
  <c r="L12" i="18"/>
  <c r="L10" i="18"/>
  <c r="L9" i="18"/>
  <c r="L8" i="18"/>
  <c r="L7" i="18"/>
  <c r="K43" i="18"/>
  <c r="K145" i="18"/>
  <c r="K129" i="18"/>
  <c r="K122" i="18"/>
  <c r="K104" i="18"/>
  <c r="K92" i="18"/>
  <c r="K78" i="18"/>
  <c r="K45" i="18"/>
  <c r="K44" i="18"/>
  <c r="K59" i="18" s="1"/>
  <c r="K40" i="18"/>
  <c r="K57" i="18" s="1"/>
  <c r="K38" i="18"/>
  <c r="K35" i="18"/>
  <c r="K15" i="18"/>
  <c r="K18" i="18" s="1"/>
  <c r="K13" i="18"/>
  <c r="K12" i="18"/>
  <c r="K10" i="18"/>
  <c r="K9" i="18"/>
  <c r="K8" i="18"/>
  <c r="K7" i="18"/>
  <c r="J43" i="18"/>
  <c r="J122" i="18"/>
  <c r="J15" i="18" s="1"/>
  <c r="J18" i="18" s="1"/>
  <c r="J104" i="18"/>
  <c r="J92" i="18"/>
  <c r="J78" i="18"/>
  <c r="J45" i="18"/>
  <c r="J44" i="18"/>
  <c r="J59" i="18" s="1"/>
  <c r="J40" i="18"/>
  <c r="J57" i="18" s="1"/>
  <c r="J38" i="18"/>
  <c r="J35" i="18"/>
  <c r="J13" i="18"/>
  <c r="J12" i="18"/>
  <c r="J10" i="18"/>
  <c r="J9" i="18"/>
  <c r="J8" i="18"/>
  <c r="J7" i="18"/>
  <c r="D7" i="17"/>
  <c r="E7" i="17"/>
  <c r="F7" i="17"/>
  <c r="G7" i="17"/>
  <c r="H7" i="17"/>
  <c r="I7" i="17"/>
  <c r="J7" i="17"/>
  <c r="K7" i="17"/>
  <c r="L7" i="17"/>
  <c r="M7" i="17"/>
  <c r="N7" i="17"/>
  <c r="D8" i="17"/>
  <c r="E8" i="17"/>
  <c r="F8" i="17"/>
  <c r="G8" i="17"/>
  <c r="H8" i="17"/>
  <c r="I8" i="17"/>
  <c r="J8" i="17"/>
  <c r="K8" i="17"/>
  <c r="L8" i="17"/>
  <c r="M8" i="17"/>
  <c r="N8" i="17"/>
  <c r="D10" i="17"/>
  <c r="E10" i="17"/>
  <c r="E11" i="17" s="1"/>
  <c r="F10" i="17"/>
  <c r="G10" i="17"/>
  <c r="H10" i="17"/>
  <c r="I10" i="17"/>
  <c r="J10" i="17"/>
  <c r="K10" i="17"/>
  <c r="L10" i="17"/>
  <c r="M10" i="17"/>
  <c r="N10" i="17"/>
  <c r="D12" i="17"/>
  <c r="E12" i="17"/>
  <c r="F12" i="17"/>
  <c r="G12" i="17"/>
  <c r="H12" i="17"/>
  <c r="I12" i="17"/>
  <c r="J12" i="17"/>
  <c r="K12" i="17"/>
  <c r="L12" i="17"/>
  <c r="M12" i="17"/>
  <c r="N12" i="17"/>
  <c r="D13" i="17"/>
  <c r="E13" i="17"/>
  <c r="F13" i="17"/>
  <c r="G13" i="17"/>
  <c r="H13" i="17"/>
  <c r="I13" i="17"/>
  <c r="J13" i="17"/>
  <c r="K13" i="17"/>
  <c r="L13" i="17"/>
  <c r="M13" i="17"/>
  <c r="N13" i="17"/>
  <c r="K14" i="17"/>
  <c r="C157" i="17"/>
  <c r="C45" i="17" s="1"/>
  <c r="D157" i="17"/>
  <c r="D45" i="17" s="1"/>
  <c r="E157" i="17"/>
  <c r="E45" i="17" s="1"/>
  <c r="F157" i="17"/>
  <c r="F45" i="17" s="1"/>
  <c r="G157" i="17"/>
  <c r="G45" i="17" s="1"/>
  <c r="I157" i="17"/>
  <c r="I45" i="17" s="1"/>
  <c r="H157" i="17"/>
  <c r="H45" i="17" s="1"/>
  <c r="I112" i="17"/>
  <c r="I111" i="17"/>
  <c r="J111" i="17"/>
  <c r="L111" i="17"/>
  <c r="M111" i="17"/>
  <c r="N111" i="17"/>
  <c r="I102" i="17"/>
  <c r="J102" i="17"/>
  <c r="L102" i="17"/>
  <c r="M102" i="17"/>
  <c r="N102" i="17"/>
  <c r="I89" i="17"/>
  <c r="L89" i="17"/>
  <c r="M89" i="17"/>
  <c r="N89" i="17"/>
  <c r="I78" i="17"/>
  <c r="J78" i="17"/>
  <c r="L78" i="17"/>
  <c r="M78" i="17"/>
  <c r="N78" i="17"/>
  <c r="N157" i="17"/>
  <c r="N128" i="17"/>
  <c r="N134" i="17" s="1"/>
  <c r="N119" i="17"/>
  <c r="N15" i="17" s="1"/>
  <c r="N18" i="17" s="1"/>
  <c r="N90" i="17"/>
  <c r="N47" i="17"/>
  <c r="N46" i="17"/>
  <c r="N60" i="17" s="1"/>
  <c r="N40" i="17"/>
  <c r="N41" i="17" s="1"/>
  <c r="N58" i="17" s="1"/>
  <c r="N38" i="17"/>
  <c r="N36" i="17"/>
  <c r="N35" i="17"/>
  <c r="M157" i="17"/>
  <c r="M128" i="17"/>
  <c r="M134" i="17" s="1"/>
  <c r="M119" i="17"/>
  <c r="M15" i="17" s="1"/>
  <c r="M90" i="17"/>
  <c r="M47" i="17"/>
  <c r="M46" i="17"/>
  <c r="M60" i="17" s="1"/>
  <c r="M40" i="17"/>
  <c r="M41" i="17" s="1"/>
  <c r="M58" i="17" s="1"/>
  <c r="M38" i="17"/>
  <c r="M36" i="17"/>
  <c r="M35" i="17"/>
  <c r="L157" i="17"/>
  <c r="L128" i="17"/>
  <c r="L134" i="17" s="1"/>
  <c r="L119" i="17"/>
  <c r="L15" i="17" s="1"/>
  <c r="L18" i="17" s="1"/>
  <c r="L90" i="17"/>
  <c r="L47" i="17"/>
  <c r="L46" i="17"/>
  <c r="L60" i="17" s="1"/>
  <c r="L40" i="17"/>
  <c r="L41" i="17" s="1"/>
  <c r="L58" i="17" s="1"/>
  <c r="L38" i="17"/>
  <c r="L36" i="17"/>
  <c r="L35" i="17"/>
  <c r="L30" i="17"/>
  <c r="K15" i="17"/>
  <c r="K47" i="17"/>
  <c r="K46" i="17"/>
  <c r="K60" i="17" s="1"/>
  <c r="K40" i="17"/>
  <c r="K41" i="17" s="1"/>
  <c r="K58" i="17" s="1"/>
  <c r="K38" i="17"/>
  <c r="K35" i="17"/>
  <c r="K31" i="17"/>
  <c r="K30" i="17"/>
  <c r="K32" i="17"/>
  <c r="J128" i="17"/>
  <c r="J131" i="17" s="1"/>
  <c r="J119" i="17"/>
  <c r="J90" i="17"/>
  <c r="J47" i="17"/>
  <c r="J40" i="17"/>
  <c r="J41" i="17" s="1"/>
  <c r="J58" i="17" s="1"/>
  <c r="J35" i="17"/>
  <c r="L76" i="37"/>
  <c r="M76" i="37"/>
  <c r="N76" i="37"/>
  <c r="O76" i="37"/>
  <c r="L87" i="37"/>
  <c r="M87" i="37"/>
  <c r="N87" i="37"/>
  <c r="O87" i="37"/>
  <c r="L106" i="37"/>
  <c r="M106" i="37"/>
  <c r="N106" i="37"/>
  <c r="O106" i="37"/>
  <c r="O43" i="37"/>
  <c r="O40" i="37"/>
  <c r="O38" i="37"/>
  <c r="O36" i="37"/>
  <c r="O35" i="37"/>
  <c r="O15" i="37"/>
  <c r="O18" i="37" s="1"/>
  <c r="O13" i="37"/>
  <c r="O12" i="37"/>
  <c r="O10" i="37"/>
  <c r="O9" i="37"/>
  <c r="O8" i="37"/>
  <c r="O7" i="37"/>
  <c r="N45" i="37"/>
  <c r="N43" i="37"/>
  <c r="N40" i="37"/>
  <c r="N38" i="37"/>
  <c r="N36" i="37"/>
  <c r="N35" i="37"/>
  <c r="N15" i="37"/>
  <c r="N18" i="37" s="1"/>
  <c r="N13" i="37"/>
  <c r="N12" i="37"/>
  <c r="N10" i="37"/>
  <c r="N9" i="37"/>
  <c r="N8" i="37"/>
  <c r="N7" i="37"/>
  <c r="L45" i="37"/>
  <c r="L43" i="37"/>
  <c r="L40" i="37"/>
  <c r="L38" i="37"/>
  <c r="L36" i="37"/>
  <c r="L35" i="37"/>
  <c r="L15" i="37"/>
  <c r="L18" i="37" s="1"/>
  <c r="L13" i="37"/>
  <c r="L12" i="37"/>
  <c r="L14" i="37" s="1"/>
  <c r="L10" i="37"/>
  <c r="L9" i="37"/>
  <c r="L8" i="37"/>
  <c r="L7" i="37"/>
  <c r="M43" i="37"/>
  <c r="M40" i="37"/>
  <c r="M38" i="37"/>
  <c r="M36" i="37"/>
  <c r="M35" i="37"/>
  <c r="M15" i="37"/>
  <c r="M18" i="37" s="1"/>
  <c r="M13" i="37"/>
  <c r="M12" i="37"/>
  <c r="M10" i="37"/>
  <c r="M9" i="37"/>
  <c r="M8" i="37"/>
  <c r="M7" i="37"/>
  <c r="K45" i="37"/>
  <c r="K43" i="37"/>
  <c r="K40" i="37"/>
  <c r="K56" i="37" s="1"/>
  <c r="K38" i="37"/>
  <c r="K36" i="37"/>
  <c r="K18" i="37"/>
  <c r="J43" i="37"/>
  <c r="J40" i="37"/>
  <c r="J38" i="37"/>
  <c r="J41" i="37" s="1"/>
  <c r="J60" i="37" s="1"/>
  <c r="J36" i="37"/>
  <c r="J35" i="37"/>
  <c r="J18" i="37"/>
  <c r="I45" i="9"/>
  <c r="I43" i="9" s="1"/>
  <c r="I57" i="9" s="1"/>
  <c r="I110" i="9"/>
  <c r="I108" i="9"/>
  <c r="I114" i="9" s="1"/>
  <c r="I35" i="9" s="1"/>
  <c r="E14" i="88" s="1"/>
  <c r="I101" i="9"/>
  <c r="I94" i="9"/>
  <c r="I81" i="9"/>
  <c r="I80" i="9"/>
  <c r="J80" i="9"/>
  <c r="K80" i="9"/>
  <c r="L80" i="9"/>
  <c r="M80" i="9"/>
  <c r="I73" i="9"/>
  <c r="J73" i="9"/>
  <c r="K73" i="9"/>
  <c r="L73" i="9"/>
  <c r="M73" i="9"/>
  <c r="N44" i="9"/>
  <c r="N42" i="9"/>
  <c r="N39" i="9"/>
  <c r="N55" i="9" s="1"/>
  <c r="N37" i="9"/>
  <c r="N35" i="9"/>
  <c r="N34" i="9"/>
  <c r="N15" i="9"/>
  <c r="N18" i="9" s="1"/>
  <c r="N13" i="9"/>
  <c r="N12" i="9"/>
  <c r="N10" i="9"/>
  <c r="N8" i="9"/>
  <c r="N7" i="9"/>
  <c r="M44" i="9"/>
  <c r="M42" i="9"/>
  <c r="M39" i="9"/>
  <c r="M55" i="9" s="1"/>
  <c r="M37" i="9"/>
  <c r="M35" i="9"/>
  <c r="M34" i="9"/>
  <c r="M15" i="9"/>
  <c r="M18" i="9" s="1"/>
  <c r="M13" i="9"/>
  <c r="M12" i="9"/>
  <c r="M10" i="9"/>
  <c r="M8" i="9"/>
  <c r="M7" i="9"/>
  <c r="L44" i="9"/>
  <c r="L42" i="9"/>
  <c r="L39" i="9"/>
  <c r="L55" i="9" s="1"/>
  <c r="L37" i="9"/>
  <c r="L35" i="9"/>
  <c r="L34" i="9"/>
  <c r="L15" i="9"/>
  <c r="L18" i="9" s="1"/>
  <c r="L13" i="9"/>
  <c r="L12" i="9"/>
  <c r="L10" i="9"/>
  <c r="L8" i="9"/>
  <c r="L7" i="9"/>
  <c r="K42" i="9"/>
  <c r="K39" i="9"/>
  <c r="K55" i="9" s="1"/>
  <c r="K37" i="9"/>
  <c r="K34" i="9"/>
  <c r="K15" i="9"/>
  <c r="K18" i="9" s="1"/>
  <c r="K21" i="9" s="1"/>
  <c r="K13" i="9"/>
  <c r="K12" i="9"/>
  <c r="K14" i="9" s="1"/>
  <c r="K10" i="9"/>
  <c r="K8" i="9"/>
  <c r="K7" i="9"/>
  <c r="E29" i="88"/>
  <c r="J42" i="9"/>
  <c r="J36" i="9"/>
  <c r="F15" i="88" s="1"/>
  <c r="J46" i="8"/>
  <c r="J45" i="8" s="1"/>
  <c r="I93" i="8"/>
  <c r="I87" i="8"/>
  <c r="N87" i="8"/>
  <c r="O87" i="8"/>
  <c r="P87" i="8"/>
  <c r="P106" i="8"/>
  <c r="P109" i="8" s="1"/>
  <c r="P100" i="8"/>
  <c r="P15" i="8" s="1"/>
  <c r="P18" i="8" s="1"/>
  <c r="P92" i="8"/>
  <c r="P80" i="8"/>
  <c r="P79" i="8"/>
  <c r="P72" i="8"/>
  <c r="P44" i="8"/>
  <c r="P58" i="8" s="1"/>
  <c r="P45" i="8"/>
  <c r="P43" i="8"/>
  <c r="P40" i="8"/>
  <c r="P56" i="8" s="1"/>
  <c r="P38" i="8"/>
  <c r="P36" i="8"/>
  <c r="P35" i="8"/>
  <c r="P20" i="8"/>
  <c r="P13" i="8"/>
  <c r="P12" i="8"/>
  <c r="P10" i="8"/>
  <c r="P8" i="8"/>
  <c r="P7" i="8"/>
  <c r="O106" i="8"/>
  <c r="O109" i="8" s="1"/>
  <c r="O100" i="8"/>
  <c r="O15" i="8" s="1"/>
  <c r="O18" i="8" s="1"/>
  <c r="O92" i="8"/>
  <c r="O80" i="8"/>
  <c r="O79" i="8"/>
  <c r="O72" i="8"/>
  <c r="O44" i="8"/>
  <c r="O58" i="8" s="1"/>
  <c r="O45" i="8"/>
  <c r="O43" i="8"/>
  <c r="O40" i="8"/>
  <c r="O56" i="8" s="1"/>
  <c r="O38" i="8"/>
  <c r="O36" i="8"/>
  <c r="O35" i="8"/>
  <c r="O13" i="8"/>
  <c r="O12" i="8"/>
  <c r="O10" i="8"/>
  <c r="O8" i="8"/>
  <c r="O7" i="8"/>
  <c r="N106" i="8"/>
  <c r="N109" i="8" s="1"/>
  <c r="N100" i="8"/>
  <c r="N15" i="8" s="1"/>
  <c r="N18" i="8" s="1"/>
  <c r="N92" i="8"/>
  <c r="N80" i="8"/>
  <c r="N79" i="8"/>
  <c r="N72" i="8"/>
  <c r="N44" i="8"/>
  <c r="N58" i="8" s="1"/>
  <c r="N45" i="8"/>
  <c r="N43" i="8"/>
  <c r="N40" i="8"/>
  <c r="N38" i="8"/>
  <c r="N36" i="8"/>
  <c r="N35" i="8"/>
  <c r="N13" i="8"/>
  <c r="N12" i="8"/>
  <c r="N10" i="8"/>
  <c r="N8" i="8"/>
  <c r="N7" i="8"/>
  <c r="M15" i="8"/>
  <c r="M18" i="8" s="1"/>
  <c r="M44" i="8"/>
  <c r="M58" i="8" s="1"/>
  <c r="M45" i="8"/>
  <c r="M43" i="8"/>
  <c r="M40" i="8"/>
  <c r="M38" i="8"/>
  <c r="M36" i="8"/>
  <c r="M35" i="8"/>
  <c r="M13" i="8"/>
  <c r="M12" i="8"/>
  <c r="M10" i="8"/>
  <c r="M8" i="8"/>
  <c r="M7" i="8"/>
  <c r="M29" i="8" s="1"/>
  <c r="L44" i="8"/>
  <c r="L58" i="8" s="1"/>
  <c r="L45" i="8"/>
  <c r="L43" i="8"/>
  <c r="L40" i="8"/>
  <c r="L56" i="8" s="1"/>
  <c r="L38" i="8"/>
  <c r="L36" i="8"/>
  <c r="L35" i="8"/>
  <c r="L15" i="8"/>
  <c r="L18" i="8" s="1"/>
  <c r="L27" i="8" s="1"/>
  <c r="L13" i="8"/>
  <c r="L12" i="8"/>
  <c r="L10" i="8"/>
  <c r="L8" i="8"/>
  <c r="L7" i="8"/>
  <c r="K15" i="8"/>
  <c r="K27" i="8" s="1"/>
  <c r="K44" i="8"/>
  <c r="K58" i="8" s="1"/>
  <c r="K45" i="8"/>
  <c r="K43" i="8"/>
  <c r="K40" i="8"/>
  <c r="K56" i="8" s="1"/>
  <c r="K38" i="8"/>
  <c r="K36" i="8"/>
  <c r="K35" i="8"/>
  <c r="K13" i="8"/>
  <c r="K12" i="8"/>
  <c r="K10" i="8"/>
  <c r="K8" i="8"/>
  <c r="K7" i="8"/>
  <c r="J106" i="8"/>
  <c r="J109" i="8" s="1"/>
  <c r="J100" i="8"/>
  <c r="J15" i="8" s="1"/>
  <c r="J18" i="8" s="1"/>
  <c r="J25" i="8" s="1"/>
  <c r="J92" i="8"/>
  <c r="J80" i="8"/>
  <c r="J79" i="8"/>
  <c r="J43" i="8"/>
  <c r="J40" i="8"/>
  <c r="J38" i="8"/>
  <c r="J36" i="8"/>
  <c r="J35" i="8"/>
  <c r="J13" i="8"/>
  <c r="J12" i="8"/>
  <c r="J10" i="8"/>
  <c r="J8" i="8"/>
  <c r="J7" i="8"/>
  <c r="C17" i="62"/>
  <c r="D17" i="62"/>
  <c r="E17" i="62"/>
  <c r="F17" i="62"/>
  <c r="G17" i="62"/>
  <c r="H17" i="62"/>
  <c r="Q40" i="1"/>
  <c r="E23" i="61"/>
  <c r="C18" i="61"/>
  <c r="D18" i="61"/>
  <c r="M23" i="62"/>
  <c r="L23" i="62"/>
  <c r="K23" i="62"/>
  <c r="J23" i="62"/>
  <c r="I23" i="62"/>
  <c r="H23" i="62"/>
  <c r="G23" i="62"/>
  <c r="F23" i="62"/>
  <c r="E23" i="62"/>
  <c r="D23" i="62"/>
  <c r="C23" i="62"/>
  <c r="M22" i="62"/>
  <c r="L22" i="62"/>
  <c r="K22" i="62"/>
  <c r="J22" i="62"/>
  <c r="I22" i="62"/>
  <c r="H22" i="62"/>
  <c r="G22" i="62"/>
  <c r="F22" i="62"/>
  <c r="E22" i="62"/>
  <c r="D22" i="62"/>
  <c r="C22" i="62"/>
  <c r="M21" i="62"/>
  <c r="L21" i="62"/>
  <c r="K21" i="62"/>
  <c r="J21" i="62"/>
  <c r="I21" i="62"/>
  <c r="H21" i="62"/>
  <c r="G21" i="62"/>
  <c r="F21" i="62"/>
  <c r="E21" i="62"/>
  <c r="D21" i="62"/>
  <c r="C21" i="62"/>
  <c r="M18" i="62"/>
  <c r="L18" i="62"/>
  <c r="K18" i="62"/>
  <c r="J18" i="62"/>
  <c r="I18" i="62"/>
  <c r="F18" i="62"/>
  <c r="D18" i="62"/>
  <c r="B3" i="62" a="1"/>
  <c r="B3" i="62" s="1"/>
  <c r="F26" i="1" s="1"/>
  <c r="B2" i="62"/>
  <c r="M23" i="61"/>
  <c r="M25" i="61" s="1"/>
  <c r="L23" i="61"/>
  <c r="K23" i="61"/>
  <c r="J23" i="61"/>
  <c r="I23" i="61"/>
  <c r="H23" i="61"/>
  <c r="M22" i="61"/>
  <c r="L22" i="61"/>
  <c r="K22" i="61"/>
  <c r="J22" i="61"/>
  <c r="I22" i="61"/>
  <c r="H22" i="61"/>
  <c r="G22" i="61"/>
  <c r="F22" i="61"/>
  <c r="E22" i="61"/>
  <c r="D22" i="61"/>
  <c r="C22" i="61"/>
  <c r="M21" i="61"/>
  <c r="L21" i="61"/>
  <c r="K21" i="61"/>
  <c r="J21" i="61"/>
  <c r="I21" i="61"/>
  <c r="H21" i="61"/>
  <c r="G21" i="61"/>
  <c r="F21" i="61"/>
  <c r="E21" i="61"/>
  <c r="D21" i="61"/>
  <c r="C21" i="61"/>
  <c r="M18" i="61"/>
  <c r="L18" i="61"/>
  <c r="K18" i="61"/>
  <c r="J18" i="61"/>
  <c r="H18" i="61"/>
  <c r="G18" i="61"/>
  <c r="F18" i="61"/>
  <c r="E18" i="61"/>
  <c r="I18" i="61"/>
  <c r="G23" i="61"/>
  <c r="G25" i="61" s="1"/>
  <c r="F23" i="61"/>
  <c r="D23" i="61"/>
  <c r="C23" i="61"/>
  <c r="F40" i="1"/>
  <c r="B2" i="61"/>
  <c r="M24" i="48"/>
  <c r="M26" i="48" s="1"/>
  <c r="M23" i="48"/>
  <c r="M22" i="48"/>
  <c r="L24" i="48"/>
  <c r="L26" i="48" s="1"/>
  <c r="L23" i="48"/>
  <c r="L22" i="48"/>
  <c r="K24" i="48"/>
  <c r="K26" i="48" s="1"/>
  <c r="K23" i="48"/>
  <c r="K22" i="48"/>
  <c r="J24" i="48"/>
  <c r="J26" i="48" s="1"/>
  <c r="J23" i="48"/>
  <c r="J22" i="48"/>
  <c r="I24" i="48"/>
  <c r="I26" i="48" s="1"/>
  <c r="I23" i="48"/>
  <c r="I22" i="48"/>
  <c r="N36" i="46"/>
  <c r="N35" i="46"/>
  <c r="N34" i="46"/>
  <c r="N30" i="46"/>
  <c r="M36" i="46"/>
  <c r="M35" i="46"/>
  <c r="M34" i="46"/>
  <c r="M30" i="46"/>
  <c r="L36" i="46"/>
  <c r="L35" i="46"/>
  <c r="L34" i="46"/>
  <c r="L30" i="46"/>
  <c r="K36" i="46"/>
  <c r="K35" i="46"/>
  <c r="K34" i="46"/>
  <c r="K30" i="46"/>
  <c r="J35" i="46"/>
  <c r="J34" i="46"/>
  <c r="I90" i="60"/>
  <c r="I79" i="60"/>
  <c r="H79" i="60"/>
  <c r="N148" i="60"/>
  <c r="N46" i="60" s="1"/>
  <c r="N121" i="60"/>
  <c r="N124" i="60" s="1"/>
  <c r="N114" i="60"/>
  <c r="N108" i="60"/>
  <c r="N101" i="60"/>
  <c r="N90" i="60"/>
  <c r="N89" i="60"/>
  <c r="N79" i="60"/>
  <c r="N43" i="60"/>
  <c r="N41" i="60"/>
  <c r="N39" i="60"/>
  <c r="N38" i="60"/>
  <c r="N16" i="60"/>
  <c r="N14" i="60"/>
  <c r="N13" i="60"/>
  <c r="N11" i="60"/>
  <c r="N10" i="60"/>
  <c r="N22" i="60" s="1"/>
  <c r="N9" i="60"/>
  <c r="N7" i="60"/>
  <c r="M148" i="60"/>
  <c r="M46" i="60" s="1"/>
  <c r="M121" i="60"/>
  <c r="M124" i="60" s="1"/>
  <c r="M114" i="60"/>
  <c r="M16" i="60" s="1"/>
  <c r="M108" i="60"/>
  <c r="M101" i="60"/>
  <c r="M90" i="60"/>
  <c r="M89" i="60"/>
  <c r="M79" i="60"/>
  <c r="M43" i="60"/>
  <c r="M41" i="60"/>
  <c r="M39" i="60"/>
  <c r="M38" i="60"/>
  <c r="M14" i="60"/>
  <c r="M13" i="60"/>
  <c r="M11" i="60"/>
  <c r="M10" i="60"/>
  <c r="M22" i="60" s="1"/>
  <c r="M9" i="60"/>
  <c r="M7" i="60"/>
  <c r="L148" i="60"/>
  <c r="L46" i="60" s="1"/>
  <c r="L121" i="60"/>
  <c r="L124" i="60" s="1"/>
  <c r="L114" i="60"/>
  <c r="L108" i="60"/>
  <c r="L101" i="60"/>
  <c r="L90" i="60"/>
  <c r="L89" i="60"/>
  <c r="L79" i="60"/>
  <c r="L43" i="60"/>
  <c r="L41" i="60"/>
  <c r="L39" i="60"/>
  <c r="L38" i="60"/>
  <c r="L16" i="60"/>
  <c r="L14" i="60"/>
  <c r="L13" i="60"/>
  <c r="L11" i="60"/>
  <c r="L10" i="60"/>
  <c r="L22" i="60" s="1"/>
  <c r="L9" i="60"/>
  <c r="L7" i="60"/>
  <c r="K148" i="60"/>
  <c r="K46" i="60" s="1"/>
  <c r="K121" i="60"/>
  <c r="K124" i="60" s="1"/>
  <c r="K114" i="60"/>
  <c r="K16" i="60" s="1"/>
  <c r="K20" i="60" s="1"/>
  <c r="K108" i="60"/>
  <c r="K101" i="60"/>
  <c r="K90" i="60"/>
  <c r="K89" i="60"/>
  <c r="K79" i="60"/>
  <c r="K43" i="60"/>
  <c r="K41" i="60"/>
  <c r="K39" i="60"/>
  <c r="K38" i="60"/>
  <c r="K14" i="60"/>
  <c r="K13" i="60"/>
  <c r="K11" i="60"/>
  <c r="K10" i="60"/>
  <c r="K22" i="60" s="1"/>
  <c r="K9" i="60"/>
  <c r="K7" i="60"/>
  <c r="J46" i="60"/>
  <c r="J16" i="60"/>
  <c r="J20" i="60" s="1"/>
  <c r="J43" i="60"/>
  <c r="J41" i="60"/>
  <c r="J39" i="60"/>
  <c r="J38" i="60"/>
  <c r="J14" i="60"/>
  <c r="J13" i="60"/>
  <c r="J11" i="60"/>
  <c r="J10" i="60"/>
  <c r="J22" i="60" s="1"/>
  <c r="J9" i="60"/>
  <c r="J7" i="60"/>
  <c r="B3" i="60" a="1"/>
  <c r="B3" i="60" s="1"/>
  <c r="B2" i="60"/>
  <c r="I46" i="60"/>
  <c r="H46" i="60"/>
  <c r="G46" i="60"/>
  <c r="E46" i="60"/>
  <c r="D46" i="60"/>
  <c r="C46" i="60"/>
  <c r="I121" i="60"/>
  <c r="I124" i="60" s="1"/>
  <c r="H121" i="60"/>
  <c r="H124" i="60" s="1"/>
  <c r="G121" i="60"/>
  <c r="G124" i="60" s="1"/>
  <c r="F121" i="60"/>
  <c r="F124" i="60" s="1"/>
  <c r="E121" i="60"/>
  <c r="E124" i="60" s="1"/>
  <c r="D121" i="60"/>
  <c r="D124" i="60" s="1"/>
  <c r="C121" i="60"/>
  <c r="C124" i="60" s="1"/>
  <c r="I114" i="60"/>
  <c r="I16" i="60" s="1"/>
  <c r="H114" i="60"/>
  <c r="H16" i="60" s="1"/>
  <c r="G114" i="60"/>
  <c r="G16" i="60" s="1"/>
  <c r="F114" i="60"/>
  <c r="F16" i="60" s="1"/>
  <c r="E114" i="60"/>
  <c r="E16" i="60" s="1"/>
  <c r="D114" i="60"/>
  <c r="D16" i="60" s="1"/>
  <c r="C114" i="60"/>
  <c r="C16" i="60" s="1"/>
  <c r="C20" i="60" s="1"/>
  <c r="C31" i="60" s="1"/>
  <c r="I108" i="60"/>
  <c r="H108" i="60"/>
  <c r="G108" i="60"/>
  <c r="F108" i="60"/>
  <c r="E108" i="60"/>
  <c r="D108" i="60"/>
  <c r="C108" i="60"/>
  <c r="H107" i="60"/>
  <c r="G107" i="60"/>
  <c r="F107" i="60"/>
  <c r="E107" i="60"/>
  <c r="D107" i="60"/>
  <c r="C107" i="60"/>
  <c r="I101" i="60"/>
  <c r="H101" i="60"/>
  <c r="G101" i="60"/>
  <c r="F101" i="60"/>
  <c r="E101" i="60"/>
  <c r="D101" i="60"/>
  <c r="C101" i="60"/>
  <c r="H90" i="60"/>
  <c r="G90" i="60"/>
  <c r="F90" i="60"/>
  <c r="E90" i="60"/>
  <c r="D90" i="60"/>
  <c r="C90" i="60"/>
  <c r="I89" i="60"/>
  <c r="H89" i="60"/>
  <c r="G89" i="60"/>
  <c r="F89" i="60"/>
  <c r="E89" i="60"/>
  <c r="D89" i="60"/>
  <c r="C89" i="60"/>
  <c r="G79" i="60"/>
  <c r="F79" i="60"/>
  <c r="E79" i="60"/>
  <c r="D79" i="60"/>
  <c r="C79" i="60"/>
  <c r="F46" i="60"/>
  <c r="I43" i="60"/>
  <c r="H43" i="60"/>
  <c r="G43" i="60"/>
  <c r="F43" i="60"/>
  <c r="E43" i="60"/>
  <c r="D43" i="60"/>
  <c r="C43" i="60"/>
  <c r="I41" i="60"/>
  <c r="H41" i="60"/>
  <c r="G41" i="60"/>
  <c r="F41" i="60"/>
  <c r="E41" i="60"/>
  <c r="D41" i="60"/>
  <c r="C41" i="60"/>
  <c r="I39" i="60"/>
  <c r="H39" i="60"/>
  <c r="G39" i="60"/>
  <c r="F39" i="60"/>
  <c r="E39" i="60"/>
  <c r="D39" i="60"/>
  <c r="C39" i="60"/>
  <c r="I38" i="60"/>
  <c r="H38" i="60"/>
  <c r="G38" i="60"/>
  <c r="F38" i="60"/>
  <c r="E38" i="60"/>
  <c r="D38" i="60"/>
  <c r="C38" i="60"/>
  <c r="I14" i="60"/>
  <c r="H14" i="60"/>
  <c r="G14" i="60"/>
  <c r="F14" i="60"/>
  <c r="E14" i="60"/>
  <c r="D14" i="60"/>
  <c r="C14" i="60"/>
  <c r="I13" i="60"/>
  <c r="H13" i="60"/>
  <c r="G13" i="60"/>
  <c r="F13" i="60"/>
  <c r="E13" i="60"/>
  <c r="D13" i="60"/>
  <c r="C13" i="60"/>
  <c r="I11" i="60"/>
  <c r="H11" i="60"/>
  <c r="G11" i="60"/>
  <c r="F11" i="60"/>
  <c r="E11" i="60"/>
  <c r="D11" i="60"/>
  <c r="C11" i="60"/>
  <c r="I10" i="60"/>
  <c r="I22" i="60" s="1"/>
  <c r="H10" i="60"/>
  <c r="H22" i="60" s="1"/>
  <c r="G10" i="60"/>
  <c r="G22" i="60" s="1"/>
  <c r="F10" i="60"/>
  <c r="F22" i="60" s="1"/>
  <c r="E10" i="60"/>
  <c r="E22" i="60" s="1"/>
  <c r="D10" i="60"/>
  <c r="D22" i="60" s="1"/>
  <c r="C10" i="60"/>
  <c r="C22" i="60" s="1"/>
  <c r="I9" i="60"/>
  <c r="H9" i="60"/>
  <c r="G9" i="60"/>
  <c r="F9" i="60"/>
  <c r="E9" i="60"/>
  <c r="D9" i="60"/>
  <c r="C9" i="60"/>
  <c r="I7" i="60"/>
  <c r="H7" i="60"/>
  <c r="G7" i="60"/>
  <c r="F7" i="60"/>
  <c r="E7" i="60"/>
  <c r="D7" i="60"/>
  <c r="C7" i="60"/>
  <c r="K36" i="23" l="1"/>
  <c r="K140" i="23"/>
  <c r="K142" i="23" s="1"/>
  <c r="K144" i="23" s="1"/>
  <c r="K38" i="23" s="1"/>
  <c r="L36" i="23"/>
  <c r="L140" i="23"/>
  <c r="L142" i="23" s="1"/>
  <c r="L144" i="23" s="1"/>
  <c r="L38" i="23" s="1"/>
  <c r="K139" i="44"/>
  <c r="J42" i="38"/>
  <c r="J22" i="38" s="1"/>
  <c r="J25" i="38"/>
  <c r="J41" i="38"/>
  <c r="K44" i="13"/>
  <c r="J78" i="13"/>
  <c r="J23" i="13"/>
  <c r="I74" i="13"/>
  <c r="I23" i="13"/>
  <c r="H74" i="13"/>
  <c r="H23" i="13"/>
  <c r="G74" i="13"/>
  <c r="G23" i="13"/>
  <c r="F74" i="13"/>
  <c r="F23" i="13"/>
  <c r="E74" i="13"/>
  <c r="E23" i="13"/>
  <c r="D74" i="13"/>
  <c r="D23" i="13"/>
  <c r="J58" i="15"/>
  <c r="J20" i="8"/>
  <c r="J56" i="8"/>
  <c r="J134" i="17"/>
  <c r="J141" i="17" s="1"/>
  <c r="J144" i="17" s="1"/>
  <c r="J38" i="17" s="1"/>
  <c r="J36" i="17"/>
  <c r="I20" i="16"/>
  <c r="J28" i="58"/>
  <c r="J54" i="58"/>
  <c r="J58" i="58" s="1"/>
  <c r="K54" i="58"/>
  <c r="K58" i="58" s="1"/>
  <c r="L54" i="58"/>
  <c r="L58" i="58" s="1"/>
  <c r="M54" i="58"/>
  <c r="M58" i="58" s="1"/>
  <c r="N54" i="58"/>
  <c r="N58" i="58" s="1"/>
  <c r="G56" i="64"/>
  <c r="C57" i="64" s="1"/>
  <c r="M51" i="1" s="1"/>
  <c r="C56" i="64"/>
  <c r="C51" i="64"/>
  <c r="M35" i="58"/>
  <c r="M37" i="58"/>
  <c r="C75" i="13"/>
  <c r="K20" i="37"/>
  <c r="M37" i="37"/>
  <c r="M20" i="37"/>
  <c r="L41" i="37"/>
  <c r="L60" i="37" s="1"/>
  <c r="L20" i="37"/>
  <c r="N20" i="37"/>
  <c r="O20" i="37"/>
  <c r="K11" i="49"/>
  <c r="K37" i="49"/>
  <c r="L44" i="13"/>
  <c r="L74" i="13"/>
  <c r="I44" i="13"/>
  <c r="H44" i="13"/>
  <c r="G44" i="13"/>
  <c r="F44" i="13"/>
  <c r="E44" i="13"/>
  <c r="D44" i="13"/>
  <c r="J20" i="37"/>
  <c r="J11" i="49"/>
  <c r="K34" i="41"/>
  <c r="L31" i="41"/>
  <c r="J36" i="23"/>
  <c r="J140" i="23"/>
  <c r="J142" i="23" s="1"/>
  <c r="J144" i="23" s="1"/>
  <c r="J38" i="23" s="1"/>
  <c r="J11" i="23"/>
  <c r="J37" i="23"/>
  <c r="K14" i="23"/>
  <c r="K20" i="23"/>
  <c r="L20" i="23"/>
  <c r="L56" i="23"/>
  <c r="M20" i="23"/>
  <c r="M56" i="23"/>
  <c r="M37" i="23"/>
  <c r="N20" i="23"/>
  <c r="N56" i="23"/>
  <c r="F54" i="1"/>
  <c r="C62" i="67"/>
  <c r="C20" i="67"/>
  <c r="C56" i="67"/>
  <c r="J38" i="44"/>
  <c r="J140" i="44"/>
  <c r="J40" i="44" s="1"/>
  <c r="J56" i="44" s="1"/>
  <c r="L11" i="44"/>
  <c r="N11" i="44"/>
  <c r="F22" i="1"/>
  <c r="C65" i="60"/>
  <c r="C35" i="60"/>
  <c r="C34" i="60"/>
  <c r="C33" i="60"/>
  <c r="D35" i="60"/>
  <c r="D34" i="60"/>
  <c r="D33" i="60"/>
  <c r="E35" i="60"/>
  <c r="E34" i="60"/>
  <c r="E33" i="60"/>
  <c r="F35" i="60"/>
  <c r="F34" i="60"/>
  <c r="F33" i="60"/>
  <c r="G35" i="60"/>
  <c r="G34" i="60"/>
  <c r="G33" i="60"/>
  <c r="H35" i="60"/>
  <c r="H34" i="60"/>
  <c r="H33" i="60"/>
  <c r="I35" i="60"/>
  <c r="I34" i="60"/>
  <c r="I33" i="60"/>
  <c r="K35" i="60"/>
  <c r="K34" i="60"/>
  <c r="K33" i="60"/>
  <c r="L35" i="60"/>
  <c r="L34" i="60"/>
  <c r="L33" i="60"/>
  <c r="M35" i="60"/>
  <c r="M34" i="60"/>
  <c r="M33" i="60"/>
  <c r="N35" i="60"/>
  <c r="N34" i="60"/>
  <c r="N33" i="60"/>
  <c r="J35" i="60"/>
  <c r="J34" i="60"/>
  <c r="J33" i="60"/>
  <c r="K11" i="64"/>
  <c r="J20" i="64"/>
  <c r="I15" i="64"/>
  <c r="I18" i="64" s="1"/>
  <c r="I116" i="64"/>
  <c r="J130" i="64"/>
  <c r="J137" i="64" s="1"/>
  <c r="J33" i="38"/>
  <c r="J32" i="38"/>
  <c r="J34" i="38"/>
  <c r="I44" i="9"/>
  <c r="L37" i="8"/>
  <c r="N37" i="8"/>
  <c r="L38" i="46"/>
  <c r="N38" i="46"/>
  <c r="J15" i="17"/>
  <c r="J18" i="17" s="1"/>
  <c r="J121" i="17"/>
  <c r="I14" i="17"/>
  <c r="M11" i="17"/>
  <c r="L11" i="17"/>
  <c r="G11" i="17"/>
  <c r="E30" i="87"/>
  <c r="F16" i="87"/>
  <c r="F21" i="88"/>
  <c r="F21" i="87"/>
  <c r="K37" i="15"/>
  <c r="L37" i="15"/>
  <c r="M37" i="15"/>
  <c r="N39" i="15"/>
  <c r="J21" i="9"/>
  <c r="J40" i="9"/>
  <c r="J24" i="9" s="1"/>
  <c r="K40" i="9"/>
  <c r="L21" i="9"/>
  <c r="L40" i="9"/>
  <c r="M21" i="9"/>
  <c r="M40" i="9"/>
  <c r="N21" i="9"/>
  <c r="N40" i="9"/>
  <c r="N23" i="9" s="1"/>
  <c r="N25" i="9" s="1"/>
  <c r="N26" i="9" s="1"/>
  <c r="K38" i="46"/>
  <c r="J30" i="16"/>
  <c r="J14" i="15"/>
  <c r="J30" i="17"/>
  <c r="J31" i="17"/>
  <c r="H18" i="62"/>
  <c r="C28" i="62"/>
  <c r="G18" i="62"/>
  <c r="E18" i="62"/>
  <c r="C18" i="62"/>
  <c r="D25" i="61"/>
  <c r="L25" i="61"/>
  <c r="H25" i="61"/>
  <c r="I25" i="61"/>
  <c r="J25" i="61"/>
  <c r="E25" i="61"/>
  <c r="F25" i="61"/>
  <c r="C26" i="61" s="1"/>
  <c r="K40" i="1" s="1"/>
  <c r="C24" i="61"/>
  <c r="H18" i="1" s="1"/>
  <c r="K25" i="61"/>
  <c r="C19" i="61"/>
  <c r="M40" i="1" s="1"/>
  <c r="M38" i="46"/>
  <c r="N28" i="13"/>
  <c r="N29" i="13" s="1"/>
  <c r="N24" i="13"/>
  <c r="I40" i="13"/>
  <c r="L28" i="13"/>
  <c r="L29" i="13" s="1"/>
  <c r="L24" i="13"/>
  <c r="M28" i="13"/>
  <c r="M29" i="13" s="1"/>
  <c r="M24" i="13"/>
  <c r="K28" i="13"/>
  <c r="N33" i="13"/>
  <c r="K25" i="13"/>
  <c r="E24" i="60"/>
  <c r="F24" i="60"/>
  <c r="K24" i="60"/>
  <c r="M15" i="60"/>
  <c r="G24" i="60"/>
  <c r="N24" i="60"/>
  <c r="M24" i="60"/>
  <c r="L24" i="60"/>
  <c r="D24" i="60"/>
  <c r="M30" i="25"/>
  <c r="N21" i="25"/>
  <c r="K30" i="8"/>
  <c r="N20" i="8"/>
  <c r="N56" i="8"/>
  <c r="M20" i="8"/>
  <c r="M56" i="8"/>
  <c r="N14" i="8"/>
  <c r="J44" i="8"/>
  <c r="K59" i="9"/>
  <c r="L59" i="9"/>
  <c r="M59" i="9"/>
  <c r="N59" i="9"/>
  <c r="C55" i="81"/>
  <c r="K58" i="1" s="1"/>
  <c r="I26" i="81"/>
  <c r="H26" i="81"/>
  <c r="H53" i="80"/>
  <c r="F53" i="80"/>
  <c r="C21" i="80"/>
  <c r="D47" i="80"/>
  <c r="D55" i="80" s="1"/>
  <c r="D53" i="80"/>
  <c r="N21" i="80"/>
  <c r="M21" i="80"/>
  <c r="L21" i="80"/>
  <c r="K21" i="80"/>
  <c r="J21" i="80"/>
  <c r="C129" i="71"/>
  <c r="C131" i="71" s="1"/>
  <c r="C133" i="71" s="1"/>
  <c r="C40" i="71" s="1"/>
  <c r="C38" i="71"/>
  <c r="M45" i="71"/>
  <c r="M58" i="71" s="1"/>
  <c r="F112" i="71"/>
  <c r="D16" i="71"/>
  <c r="D19" i="71" s="1"/>
  <c r="D20" i="71" s="1"/>
  <c r="L45" i="71"/>
  <c r="L58" i="71" s="1"/>
  <c r="E16" i="71"/>
  <c r="E19" i="71" s="1"/>
  <c r="E20" i="71" s="1"/>
  <c r="G16" i="71"/>
  <c r="G19" i="71" s="1"/>
  <c r="G20" i="71" s="1"/>
  <c r="E22" i="71"/>
  <c r="E54" i="71"/>
  <c r="F22" i="71"/>
  <c r="F54" i="71"/>
  <c r="G22" i="71"/>
  <c r="G54" i="71"/>
  <c r="C55" i="71" s="1"/>
  <c r="N45" i="71"/>
  <c r="N58" i="71" s="1"/>
  <c r="C10" i="69"/>
  <c r="D10" i="69"/>
  <c r="I10" i="69"/>
  <c r="J10" i="69"/>
  <c r="K10" i="69"/>
  <c r="F54" i="69"/>
  <c r="L10" i="69"/>
  <c r="M10" i="69"/>
  <c r="L45" i="69"/>
  <c r="G54" i="69"/>
  <c r="E54" i="69"/>
  <c r="G48" i="69"/>
  <c r="H54" i="69"/>
  <c r="L20" i="67"/>
  <c r="J20" i="67"/>
  <c r="G31" i="67"/>
  <c r="K115" i="67"/>
  <c r="E56" i="67"/>
  <c r="C37" i="67"/>
  <c r="J36" i="67"/>
  <c r="J37" i="67" s="1"/>
  <c r="D56" i="67"/>
  <c r="L137" i="67"/>
  <c r="L38" i="67" s="1"/>
  <c r="C58" i="67"/>
  <c r="I56" i="67"/>
  <c r="E58" i="67"/>
  <c r="I137" i="67"/>
  <c r="I38" i="67" s="1"/>
  <c r="H56" i="67"/>
  <c r="C57" i="67" s="1"/>
  <c r="G58" i="67"/>
  <c r="O54" i="1" s="1"/>
  <c r="E3" i="67"/>
  <c r="D3" i="67"/>
  <c r="N38" i="67"/>
  <c r="N41" i="67" s="1"/>
  <c r="N60" i="67" s="1"/>
  <c r="H137" i="67"/>
  <c r="H38" i="67" s="1"/>
  <c r="G56" i="67"/>
  <c r="M38" i="67"/>
  <c r="F137" i="67"/>
  <c r="F38" i="67" s="1"/>
  <c r="F39" i="67" s="1"/>
  <c r="F56" i="67"/>
  <c r="E31" i="66"/>
  <c r="M37" i="66"/>
  <c r="J15" i="66"/>
  <c r="J18" i="66" s="1"/>
  <c r="I45" i="66"/>
  <c r="C37" i="66"/>
  <c r="G50" i="66"/>
  <c r="L20" i="66"/>
  <c r="M20" i="66"/>
  <c r="I108" i="66"/>
  <c r="N20" i="66"/>
  <c r="F37" i="66"/>
  <c r="I37" i="66"/>
  <c r="J36" i="66"/>
  <c r="J37" i="66" s="1"/>
  <c r="F50" i="66"/>
  <c r="J11" i="66"/>
  <c r="J32" i="66" s="1"/>
  <c r="E50" i="66"/>
  <c r="K11" i="66"/>
  <c r="D50" i="66"/>
  <c r="G31" i="66"/>
  <c r="L11" i="66"/>
  <c r="L37" i="66"/>
  <c r="C50" i="66"/>
  <c r="M11" i="66"/>
  <c r="N11" i="66"/>
  <c r="N32" i="66" s="1"/>
  <c r="N37" i="66"/>
  <c r="C51" i="66"/>
  <c r="C11" i="66"/>
  <c r="J20" i="66"/>
  <c r="K20" i="66"/>
  <c r="N41" i="66"/>
  <c r="F44" i="66"/>
  <c r="F52" i="66" s="1"/>
  <c r="F45" i="66"/>
  <c r="G44" i="66"/>
  <c r="G45" i="66"/>
  <c r="H44" i="66"/>
  <c r="H52" i="66" s="1"/>
  <c r="H45" i="66"/>
  <c r="I50" i="66"/>
  <c r="N126" i="65"/>
  <c r="N129" i="65" s="1"/>
  <c r="N131" i="65" s="1"/>
  <c r="N38" i="65" s="1"/>
  <c r="N36" i="65"/>
  <c r="L31" i="65"/>
  <c r="M11" i="65"/>
  <c r="L15" i="65"/>
  <c r="L18" i="65" s="1"/>
  <c r="N15" i="65"/>
  <c r="N18" i="65" s="1"/>
  <c r="K11" i="65"/>
  <c r="C51" i="65"/>
  <c r="M20" i="65"/>
  <c r="D3" i="65"/>
  <c r="Q52" i="1" s="1"/>
  <c r="S52" i="1" s="1"/>
  <c r="D11" i="65"/>
  <c r="K31" i="65"/>
  <c r="M31" i="65"/>
  <c r="K109" i="65"/>
  <c r="G52" i="65"/>
  <c r="C53" i="65" s="1"/>
  <c r="E3" i="65"/>
  <c r="L11" i="65"/>
  <c r="L20" i="65"/>
  <c r="L50" i="65"/>
  <c r="F11" i="65"/>
  <c r="K20" i="65"/>
  <c r="F50" i="65"/>
  <c r="L116" i="64"/>
  <c r="J15" i="64"/>
  <c r="J18" i="64" s="1"/>
  <c r="J21" i="64" s="1"/>
  <c r="C15" i="64"/>
  <c r="C18" i="64" s="1"/>
  <c r="F14" i="64"/>
  <c r="L20" i="64"/>
  <c r="F137" i="64"/>
  <c r="F36" i="64"/>
  <c r="I20" i="64"/>
  <c r="E20" i="64"/>
  <c r="Q51" i="1"/>
  <c r="S51" i="1" s="1"/>
  <c r="E3" i="64"/>
  <c r="Y51" i="1"/>
  <c r="L111" i="63"/>
  <c r="K32" i="63"/>
  <c r="L32" i="63"/>
  <c r="J38" i="63"/>
  <c r="N111" i="63"/>
  <c r="D3" i="63"/>
  <c r="D31" i="63"/>
  <c r="Q50" i="1"/>
  <c r="S50" i="1" s="1"/>
  <c r="G55" i="63"/>
  <c r="C56" i="63" s="1"/>
  <c r="E3" i="63"/>
  <c r="J31" i="59"/>
  <c r="J11" i="59"/>
  <c r="K11" i="59"/>
  <c r="J36" i="59"/>
  <c r="J37" i="59" s="1"/>
  <c r="J125" i="59"/>
  <c r="J127" i="59" s="1"/>
  <c r="J129" i="59" s="1"/>
  <c r="J38" i="59" s="1"/>
  <c r="J39" i="59" s="1"/>
  <c r="K31" i="59"/>
  <c r="L11" i="59"/>
  <c r="K30" i="59"/>
  <c r="N31" i="59"/>
  <c r="M11" i="59"/>
  <c r="M30" i="59"/>
  <c r="M36" i="59"/>
  <c r="M37" i="59" s="1"/>
  <c r="M125" i="59"/>
  <c r="M127" i="59" s="1"/>
  <c r="M129" i="59" s="1"/>
  <c r="M38" i="59" s="1"/>
  <c r="M39" i="59" s="1"/>
  <c r="L36" i="59"/>
  <c r="L37" i="59" s="1"/>
  <c r="L125" i="59"/>
  <c r="L127" i="59" s="1"/>
  <c r="L129" i="59" s="1"/>
  <c r="L38" i="59" s="1"/>
  <c r="L39" i="59" s="1"/>
  <c r="K20" i="59"/>
  <c r="K50" i="59"/>
  <c r="M31" i="59"/>
  <c r="L20" i="59"/>
  <c r="L50" i="59"/>
  <c r="J30" i="59"/>
  <c r="N108" i="59"/>
  <c r="N125" i="59"/>
  <c r="N127" i="59" s="1"/>
  <c r="N129" i="59" s="1"/>
  <c r="N38" i="59" s="1"/>
  <c r="N39" i="59" s="1"/>
  <c r="N37" i="59"/>
  <c r="M20" i="59"/>
  <c r="M50" i="59"/>
  <c r="N30" i="59"/>
  <c r="K125" i="59"/>
  <c r="K127" i="59" s="1"/>
  <c r="K129" i="59" s="1"/>
  <c r="K38" i="59" s="1"/>
  <c r="K39" i="59" s="1"/>
  <c r="K37" i="59"/>
  <c r="J20" i="59"/>
  <c r="J50" i="59"/>
  <c r="N20" i="59"/>
  <c r="N50" i="59"/>
  <c r="N54" i="59" s="1"/>
  <c r="L30" i="59"/>
  <c r="J41" i="53"/>
  <c r="N41" i="53"/>
  <c r="N14" i="53"/>
  <c r="J31" i="53"/>
  <c r="K20" i="53"/>
  <c r="K50" i="53"/>
  <c r="L20" i="53"/>
  <c r="L50" i="53"/>
  <c r="L37" i="53"/>
  <c r="M20" i="53"/>
  <c r="M50" i="53"/>
  <c r="J20" i="53"/>
  <c r="J50" i="53"/>
  <c r="L11" i="53"/>
  <c r="M29" i="53"/>
  <c r="N20" i="53"/>
  <c r="N50" i="53"/>
  <c r="L14" i="53"/>
  <c r="K37" i="58"/>
  <c r="L35" i="58"/>
  <c r="N13" i="58"/>
  <c r="M13" i="58"/>
  <c r="K13" i="58"/>
  <c r="K35" i="58"/>
  <c r="L37" i="58"/>
  <c r="J35" i="58"/>
  <c r="N29" i="58"/>
  <c r="J13" i="58"/>
  <c r="L13" i="58"/>
  <c r="M30" i="58"/>
  <c r="J19" i="58"/>
  <c r="J21" i="58" s="1"/>
  <c r="L19" i="58"/>
  <c r="L21" i="58" s="1"/>
  <c r="N35" i="58"/>
  <c r="N37" i="58"/>
  <c r="J29" i="58"/>
  <c r="L29" i="58"/>
  <c r="K29" i="58"/>
  <c r="J39" i="56"/>
  <c r="N39" i="56"/>
  <c r="N45" i="56"/>
  <c r="M41" i="56"/>
  <c r="M32" i="56"/>
  <c r="L39" i="56"/>
  <c r="N12" i="56"/>
  <c r="K41" i="56"/>
  <c r="L45" i="56"/>
  <c r="L58" i="56" s="1"/>
  <c r="L41" i="56"/>
  <c r="N25" i="56"/>
  <c r="N26" i="56"/>
  <c r="N29" i="56" s="1"/>
  <c r="J45" i="56"/>
  <c r="J41" i="56"/>
  <c r="M22" i="56"/>
  <c r="M54" i="56"/>
  <c r="J15" i="56"/>
  <c r="J34" i="56" s="1"/>
  <c r="L33" i="56"/>
  <c r="M33" i="56"/>
  <c r="K12" i="56"/>
  <c r="M12" i="56"/>
  <c r="K33" i="56"/>
  <c r="J33" i="56"/>
  <c r="N41" i="56"/>
  <c r="J12" i="56"/>
  <c r="L12" i="56"/>
  <c r="L11" i="54"/>
  <c r="M37" i="54"/>
  <c r="L39" i="54"/>
  <c r="L41" i="54"/>
  <c r="N37" i="54"/>
  <c r="K30" i="54"/>
  <c r="J14" i="54"/>
  <c r="J32" i="54" s="1"/>
  <c r="M11" i="54"/>
  <c r="N11" i="54"/>
  <c r="L37" i="54"/>
  <c r="K36" i="54"/>
  <c r="K37" i="54" s="1"/>
  <c r="J41" i="54"/>
  <c r="J23" i="54" s="1"/>
  <c r="J25" i="54" s="1"/>
  <c r="J26" i="54" s="1"/>
  <c r="J39" i="54"/>
  <c r="N23" i="54"/>
  <c r="N25" i="54" s="1"/>
  <c r="N26" i="54" s="1"/>
  <c r="N24" i="54"/>
  <c r="L23" i="54"/>
  <c r="L24" i="54"/>
  <c r="L27" i="54" s="1"/>
  <c r="K41" i="54"/>
  <c r="K54" i="54" s="1"/>
  <c r="K39" i="54"/>
  <c r="K31" i="54"/>
  <c r="L31" i="54"/>
  <c r="J36" i="54"/>
  <c r="J37" i="54" s="1"/>
  <c r="M14" i="54"/>
  <c r="L20" i="54"/>
  <c r="L50" i="54"/>
  <c r="K20" i="54"/>
  <c r="K22" i="54" s="1"/>
  <c r="K50" i="54"/>
  <c r="J31" i="54"/>
  <c r="L30" i="54"/>
  <c r="J20" i="54"/>
  <c r="J50" i="54"/>
  <c r="N39" i="54"/>
  <c r="N20" i="54"/>
  <c r="N50" i="54"/>
  <c r="L126" i="54"/>
  <c r="N31" i="54"/>
  <c r="M31" i="54"/>
  <c r="M20" i="54"/>
  <c r="M50" i="54"/>
  <c r="M41" i="54"/>
  <c r="K37" i="52"/>
  <c r="K11" i="52"/>
  <c r="N37" i="52"/>
  <c r="J30" i="52"/>
  <c r="L11" i="52"/>
  <c r="L31" i="52"/>
  <c r="J39" i="52"/>
  <c r="N31" i="52"/>
  <c r="J126" i="52"/>
  <c r="J36" i="52"/>
  <c r="J37" i="52" s="1"/>
  <c r="M39" i="52"/>
  <c r="M41" i="52"/>
  <c r="M24" i="52" s="1"/>
  <c r="M27" i="52" s="1"/>
  <c r="N39" i="52"/>
  <c r="N41" i="52"/>
  <c r="N24" i="52" s="1"/>
  <c r="L36" i="52"/>
  <c r="L37" i="52" s="1"/>
  <c r="L126" i="52"/>
  <c r="K20" i="52"/>
  <c r="K50" i="52"/>
  <c r="M36" i="52"/>
  <c r="M37" i="52" s="1"/>
  <c r="J14" i="52"/>
  <c r="K41" i="52"/>
  <c r="K24" i="52" s="1"/>
  <c r="N11" i="52"/>
  <c r="L29" i="52"/>
  <c r="M20" i="52"/>
  <c r="M50" i="52"/>
  <c r="K31" i="52"/>
  <c r="M11" i="52"/>
  <c r="K126" i="52"/>
  <c r="M31" i="52"/>
  <c r="J20" i="52"/>
  <c r="J50" i="52"/>
  <c r="L20" i="52"/>
  <c r="L50" i="52"/>
  <c r="M14" i="52"/>
  <c r="L41" i="52"/>
  <c r="L24" i="52" s="1"/>
  <c r="L27" i="52" s="1"/>
  <c r="N20" i="52"/>
  <c r="N50" i="52"/>
  <c r="M29" i="52"/>
  <c r="K33" i="51"/>
  <c r="L12" i="51"/>
  <c r="L39" i="51"/>
  <c r="K39" i="51"/>
  <c r="K12" i="51"/>
  <c r="M33" i="51"/>
  <c r="I123" i="51"/>
  <c r="I129" i="51" s="1"/>
  <c r="I131" i="51" s="1"/>
  <c r="K41" i="51"/>
  <c r="N33" i="51"/>
  <c r="M39" i="51"/>
  <c r="K22" i="51"/>
  <c r="K54" i="51"/>
  <c r="N45" i="51"/>
  <c r="N41" i="51"/>
  <c r="L22" i="51"/>
  <c r="L54" i="51"/>
  <c r="J22" i="51"/>
  <c r="J54" i="51"/>
  <c r="N39" i="51"/>
  <c r="L33" i="51"/>
  <c r="J12" i="51"/>
  <c r="J33" i="51"/>
  <c r="M12" i="51"/>
  <c r="M31" i="51"/>
  <c r="N22" i="51"/>
  <c r="N54" i="51"/>
  <c r="N12" i="51"/>
  <c r="K32" i="51"/>
  <c r="M22" i="51"/>
  <c r="M54" i="51"/>
  <c r="K37" i="50"/>
  <c r="M30" i="50"/>
  <c r="M15" i="50"/>
  <c r="M18" i="50" s="1"/>
  <c r="N11" i="50"/>
  <c r="K39" i="50"/>
  <c r="N30" i="50"/>
  <c r="M39" i="50"/>
  <c r="M41" i="50"/>
  <c r="M23" i="50" s="1"/>
  <c r="M25" i="50" s="1"/>
  <c r="M26" i="50" s="1"/>
  <c r="N15" i="50"/>
  <c r="N18" i="50" s="1"/>
  <c r="L15" i="50"/>
  <c r="L18" i="50" s="1"/>
  <c r="L21" i="50" s="1"/>
  <c r="L22" i="50" s="1"/>
  <c r="J31" i="50"/>
  <c r="N41" i="50"/>
  <c r="N23" i="50" s="1"/>
  <c r="N25" i="50" s="1"/>
  <c r="N26" i="50" s="1"/>
  <c r="N39" i="50"/>
  <c r="L39" i="50"/>
  <c r="J39" i="50"/>
  <c r="L20" i="50"/>
  <c r="L50" i="50"/>
  <c r="N37" i="50"/>
  <c r="L31" i="50"/>
  <c r="J20" i="50"/>
  <c r="J50" i="50"/>
  <c r="M24" i="50"/>
  <c r="N20" i="50"/>
  <c r="N50" i="50"/>
  <c r="L30" i="50"/>
  <c r="J15" i="50"/>
  <c r="J18" i="50" s="1"/>
  <c r="K20" i="50"/>
  <c r="K50" i="50"/>
  <c r="M37" i="50"/>
  <c r="N31" i="50"/>
  <c r="K31" i="50"/>
  <c r="M31" i="50"/>
  <c r="J37" i="50"/>
  <c r="M20" i="50"/>
  <c r="M50" i="50"/>
  <c r="K14" i="49"/>
  <c r="K31" i="49"/>
  <c r="M15" i="49"/>
  <c r="M18" i="49" s="1"/>
  <c r="L15" i="49"/>
  <c r="L18" i="49" s="1"/>
  <c r="L20" i="49"/>
  <c r="M20" i="49"/>
  <c r="N11" i="49"/>
  <c r="K29" i="49"/>
  <c r="N20" i="49"/>
  <c r="L11" i="49"/>
  <c r="M11" i="49"/>
  <c r="N37" i="49"/>
  <c r="J31" i="49"/>
  <c r="N31" i="49"/>
  <c r="L31" i="49"/>
  <c r="J15" i="49"/>
  <c r="N15" i="49"/>
  <c r="N18" i="49" s="1"/>
  <c r="J37" i="49"/>
  <c r="L29" i="49"/>
  <c r="K32" i="49"/>
  <c r="K15" i="49"/>
  <c r="K18" i="49" s="1"/>
  <c r="K21" i="49" s="1"/>
  <c r="L37" i="49"/>
  <c r="M31" i="49"/>
  <c r="K20" i="49"/>
  <c r="L15" i="25"/>
  <c r="J52" i="25"/>
  <c r="M15" i="25"/>
  <c r="J30" i="25"/>
  <c r="L30" i="25"/>
  <c r="N31" i="25"/>
  <c r="K21" i="25"/>
  <c r="K32" i="25"/>
  <c r="L40" i="25"/>
  <c r="N31" i="26"/>
  <c r="N14" i="26"/>
  <c r="J14" i="26"/>
  <c r="N37" i="26"/>
  <c r="M31" i="26"/>
  <c r="K41" i="26"/>
  <c r="M14" i="26"/>
  <c r="K14" i="26"/>
  <c r="J41" i="26"/>
  <c r="L14" i="26"/>
  <c r="N20" i="26"/>
  <c r="N50" i="26"/>
  <c r="J20" i="26"/>
  <c r="J50" i="26"/>
  <c r="J31" i="26"/>
  <c r="K20" i="26"/>
  <c r="K50" i="26"/>
  <c r="L37" i="26"/>
  <c r="K31" i="26"/>
  <c r="L20" i="26"/>
  <c r="L50" i="26"/>
  <c r="M37" i="26"/>
  <c r="L31" i="26"/>
  <c r="M20" i="26"/>
  <c r="M50" i="26"/>
  <c r="N41" i="26"/>
  <c r="N34" i="41"/>
  <c r="K39" i="41"/>
  <c r="L32" i="41"/>
  <c r="L39" i="41"/>
  <c r="N17" i="41"/>
  <c r="N20" i="41" s="1"/>
  <c r="J34" i="41"/>
  <c r="N39" i="41"/>
  <c r="M17" i="41"/>
  <c r="M20" i="41" s="1"/>
  <c r="N22" i="41"/>
  <c r="K32" i="41"/>
  <c r="L34" i="41"/>
  <c r="M22" i="41"/>
  <c r="L22" i="41"/>
  <c r="J32" i="41"/>
  <c r="J22" i="41"/>
  <c r="J39" i="38"/>
  <c r="K33" i="38"/>
  <c r="K39" i="38"/>
  <c r="K43" i="38"/>
  <c r="J17" i="38"/>
  <c r="N15" i="13"/>
  <c r="L12" i="13"/>
  <c r="H42" i="13"/>
  <c r="N23" i="13"/>
  <c r="N25" i="13" s="1"/>
  <c r="M23" i="13"/>
  <c r="L23" i="13"/>
  <c r="L25" i="13" s="1"/>
  <c r="L42" i="13"/>
  <c r="N40" i="13"/>
  <c r="L46" i="13"/>
  <c r="L78" i="13" s="1"/>
  <c r="K40" i="13"/>
  <c r="K34" i="13"/>
  <c r="K42" i="13"/>
  <c r="J40" i="13"/>
  <c r="J19" i="13"/>
  <c r="J20" i="13" s="1"/>
  <c r="J24" i="13" s="1"/>
  <c r="I42" i="13"/>
  <c r="M34" i="13"/>
  <c r="G42" i="13"/>
  <c r="K46" i="13"/>
  <c r="K78" i="13" s="1"/>
  <c r="N46" i="13"/>
  <c r="N78" i="13" s="1"/>
  <c r="M46" i="13"/>
  <c r="M78" i="13" s="1"/>
  <c r="N34" i="13"/>
  <c r="J33" i="13"/>
  <c r="M15" i="13"/>
  <c r="J42" i="13"/>
  <c r="M40" i="13"/>
  <c r="J32" i="40"/>
  <c r="J20" i="40"/>
  <c r="J30" i="40"/>
  <c r="K39" i="40"/>
  <c r="M37" i="40"/>
  <c r="N14" i="40"/>
  <c r="N32" i="40" s="1"/>
  <c r="K31" i="40"/>
  <c r="L31" i="40"/>
  <c r="J31" i="40"/>
  <c r="J37" i="40"/>
  <c r="M14" i="40"/>
  <c r="M32" i="40" s="1"/>
  <c r="K32" i="40"/>
  <c r="L39" i="40"/>
  <c r="L41" i="40"/>
  <c r="M39" i="40"/>
  <c r="M41" i="40"/>
  <c r="K41" i="40"/>
  <c r="L14" i="40"/>
  <c r="L32" i="40" s="1"/>
  <c r="M30" i="40"/>
  <c r="N39" i="40"/>
  <c r="K29" i="40"/>
  <c r="L29" i="40"/>
  <c r="M31" i="40"/>
  <c r="L37" i="40"/>
  <c r="N50" i="40"/>
  <c r="K30" i="40"/>
  <c r="N30" i="40"/>
  <c r="M50" i="40"/>
  <c r="K37" i="40"/>
  <c r="L50" i="40"/>
  <c r="K50" i="40"/>
  <c r="J15" i="23"/>
  <c r="J18" i="23" s="1"/>
  <c r="J20" i="23"/>
  <c r="N31" i="23"/>
  <c r="K11" i="23"/>
  <c r="K30" i="23"/>
  <c r="N29" i="23"/>
  <c r="L29" i="23"/>
  <c r="N14" i="23"/>
  <c r="M14" i="23"/>
  <c r="L11" i="23"/>
  <c r="M15" i="23"/>
  <c r="M18" i="23" s="1"/>
  <c r="L14" i="23"/>
  <c r="L15" i="23"/>
  <c r="L18" i="23" s="1"/>
  <c r="K32" i="23"/>
  <c r="K15" i="23"/>
  <c r="K37" i="23"/>
  <c r="L37" i="23"/>
  <c r="N15" i="23"/>
  <c r="N18" i="23" s="1"/>
  <c r="J14" i="23"/>
  <c r="J32" i="23" s="1"/>
  <c r="L30" i="23"/>
  <c r="J29" i="23"/>
  <c r="L31" i="23"/>
  <c r="M30" i="23"/>
  <c r="N30" i="23"/>
  <c r="M31" i="23"/>
  <c r="M29" i="23"/>
  <c r="N37" i="23"/>
  <c r="L14" i="11"/>
  <c r="N14" i="11"/>
  <c r="N20" i="11"/>
  <c r="L39" i="11"/>
  <c r="J14" i="11"/>
  <c r="M14" i="11"/>
  <c r="I20" i="11"/>
  <c r="N30" i="11"/>
  <c r="N39" i="11"/>
  <c r="J20" i="11"/>
  <c r="K20" i="11"/>
  <c r="M20" i="11"/>
  <c r="I14" i="11"/>
  <c r="J39" i="11"/>
  <c r="L41" i="12"/>
  <c r="L31" i="12"/>
  <c r="J20" i="12"/>
  <c r="K37" i="12"/>
  <c r="K41" i="12"/>
  <c r="K60" i="12" s="1"/>
  <c r="L20" i="12"/>
  <c r="L37" i="12"/>
  <c r="L60" i="12"/>
  <c r="M20" i="12"/>
  <c r="N20" i="12"/>
  <c r="K14" i="12"/>
  <c r="M41" i="12"/>
  <c r="M60" i="12" s="1"/>
  <c r="K31" i="12"/>
  <c r="J14" i="12"/>
  <c r="N14" i="12"/>
  <c r="M37" i="12"/>
  <c r="M31" i="12"/>
  <c r="J37" i="12"/>
  <c r="L14" i="12"/>
  <c r="N37" i="12"/>
  <c r="J41" i="12"/>
  <c r="J60" i="12" s="1"/>
  <c r="N41" i="12"/>
  <c r="N60" i="12" s="1"/>
  <c r="J31" i="12"/>
  <c r="N31" i="12"/>
  <c r="M14" i="12"/>
  <c r="K39" i="16"/>
  <c r="I14" i="16"/>
  <c r="M14" i="16"/>
  <c r="N14" i="16"/>
  <c r="L39" i="16"/>
  <c r="J14" i="16"/>
  <c r="K14" i="16"/>
  <c r="J39" i="16"/>
  <c r="L14" i="16"/>
  <c r="M39" i="16"/>
  <c r="N39" i="16"/>
  <c r="J20" i="16"/>
  <c r="K20" i="16"/>
  <c r="N20" i="16"/>
  <c r="K14" i="15"/>
  <c r="L14" i="15"/>
  <c r="J41" i="15"/>
  <c r="L20" i="15"/>
  <c r="K41" i="15"/>
  <c r="J31" i="15"/>
  <c r="F9" i="87" s="1"/>
  <c r="D29" i="87"/>
  <c r="J37" i="15"/>
  <c r="F15" i="87" s="1"/>
  <c r="N31" i="15"/>
  <c r="K20" i="15"/>
  <c r="L31" i="15"/>
  <c r="M41" i="15"/>
  <c r="M20" i="15"/>
  <c r="J20" i="15"/>
  <c r="N37" i="15"/>
  <c r="J39" i="15"/>
  <c r="L41" i="15"/>
  <c r="N41" i="15"/>
  <c r="J45" i="15"/>
  <c r="D3" i="15" s="1"/>
  <c r="Q5" i="1" s="1"/>
  <c r="M31" i="15"/>
  <c r="M14" i="22"/>
  <c r="J141" i="22"/>
  <c r="J40" i="22" s="1"/>
  <c r="M38" i="22"/>
  <c r="M39" i="22"/>
  <c r="M43" i="22" s="1"/>
  <c r="M62" i="22" s="1"/>
  <c r="K14" i="22"/>
  <c r="K38" i="22"/>
  <c r="M32" i="22"/>
  <c r="K21" i="22"/>
  <c r="J43" i="22"/>
  <c r="N21" i="22"/>
  <c r="L38" i="22"/>
  <c r="N39" i="22"/>
  <c r="N43" i="22" s="1"/>
  <c r="N62" i="22" s="1"/>
  <c r="J38" i="22"/>
  <c r="L39" i="22"/>
  <c r="L43" i="22" s="1"/>
  <c r="L62" i="22" s="1"/>
  <c r="N32" i="22"/>
  <c r="K43" i="22"/>
  <c r="K62" i="22" s="1"/>
  <c r="L32" i="22"/>
  <c r="K32" i="22"/>
  <c r="J32" i="22"/>
  <c r="N14" i="22"/>
  <c r="L14" i="22"/>
  <c r="N38" i="22"/>
  <c r="L37" i="14"/>
  <c r="N11" i="14"/>
  <c r="J31" i="14"/>
  <c r="J41" i="14"/>
  <c r="J60" i="14" s="1"/>
  <c r="L11" i="14"/>
  <c r="L32" i="14" s="1"/>
  <c r="K29" i="14"/>
  <c r="M20" i="14"/>
  <c r="M11" i="14"/>
  <c r="N31" i="14"/>
  <c r="K37" i="14"/>
  <c r="M37" i="14"/>
  <c r="N41" i="14"/>
  <c r="N60" i="14" s="1"/>
  <c r="J20" i="14"/>
  <c r="M41" i="14"/>
  <c r="J39" i="14"/>
  <c r="K41" i="14"/>
  <c r="L29" i="14"/>
  <c r="L41" i="14"/>
  <c r="L60" i="14" s="1"/>
  <c r="J29" i="14"/>
  <c r="N29" i="14"/>
  <c r="K11" i="14"/>
  <c r="L31" i="14"/>
  <c r="M29" i="14"/>
  <c r="K32" i="14"/>
  <c r="J14" i="14"/>
  <c r="K20" i="14"/>
  <c r="L20" i="14"/>
  <c r="N37" i="14"/>
  <c r="L11" i="43"/>
  <c r="N37" i="43"/>
  <c r="N31" i="43"/>
  <c r="M20" i="43"/>
  <c r="M50" i="43"/>
  <c r="J20" i="43"/>
  <c r="J50" i="43"/>
  <c r="J31" i="43"/>
  <c r="K20" i="43"/>
  <c r="K50" i="43"/>
  <c r="N20" i="43"/>
  <c r="N50" i="43"/>
  <c r="J37" i="43"/>
  <c r="M11" i="43"/>
  <c r="L37" i="43"/>
  <c r="M31" i="43"/>
  <c r="J11" i="43"/>
  <c r="K31" i="43"/>
  <c r="L20" i="43"/>
  <c r="L50" i="43"/>
  <c r="L31" i="43"/>
  <c r="N11" i="42"/>
  <c r="L29" i="42"/>
  <c r="J31" i="42"/>
  <c r="K29" i="42"/>
  <c r="K30" i="42"/>
  <c r="M31" i="42"/>
  <c r="L11" i="42"/>
  <c r="K31" i="42"/>
  <c r="M37" i="42"/>
  <c r="N32" i="42"/>
  <c r="J11" i="42"/>
  <c r="K37" i="42"/>
  <c r="J30" i="42"/>
  <c r="K20" i="42"/>
  <c r="K50" i="42"/>
  <c r="M20" i="42"/>
  <c r="M50" i="42"/>
  <c r="K11" i="42"/>
  <c r="K32" i="42" s="1"/>
  <c r="M11" i="42"/>
  <c r="N20" i="42"/>
  <c r="N50" i="42"/>
  <c r="M30" i="42"/>
  <c r="J20" i="42"/>
  <c r="J50" i="42"/>
  <c r="L20" i="42"/>
  <c r="L50" i="42"/>
  <c r="N31" i="42"/>
  <c r="L31" i="42"/>
  <c r="M29" i="42"/>
  <c r="J11" i="44"/>
  <c r="J31" i="44"/>
  <c r="J20" i="44"/>
  <c r="L15" i="44"/>
  <c r="L18" i="44" s="1"/>
  <c r="M29" i="44"/>
  <c r="K15" i="44"/>
  <c r="K18" i="44" s="1"/>
  <c r="K31" i="44"/>
  <c r="M37" i="44"/>
  <c r="K37" i="44"/>
  <c r="N37" i="44"/>
  <c r="M15" i="44"/>
  <c r="M18" i="44" s="1"/>
  <c r="L31" i="44"/>
  <c r="M20" i="44"/>
  <c r="J37" i="44"/>
  <c r="K29" i="44"/>
  <c r="L14" i="44"/>
  <c r="L32" i="44" s="1"/>
  <c r="J15" i="44"/>
  <c r="J18" i="44" s="1"/>
  <c r="J21" i="44" s="1"/>
  <c r="J22" i="44" s="1"/>
  <c r="K14" i="44"/>
  <c r="K32" i="44" s="1"/>
  <c r="L20" i="44"/>
  <c r="N31" i="44"/>
  <c r="L30" i="44"/>
  <c r="K30" i="44"/>
  <c r="L37" i="44"/>
  <c r="N20" i="44"/>
  <c r="N39" i="18"/>
  <c r="L31" i="18"/>
  <c r="M20" i="18"/>
  <c r="K41" i="18"/>
  <c r="J14" i="18"/>
  <c r="J20" i="18"/>
  <c r="L14" i="18"/>
  <c r="K20" i="18"/>
  <c r="N14" i="18"/>
  <c r="K14" i="18"/>
  <c r="L20" i="18"/>
  <c r="N20" i="18"/>
  <c r="M14" i="18"/>
  <c r="K31" i="18"/>
  <c r="J31" i="18"/>
  <c r="N41" i="18"/>
  <c r="N24" i="18" s="1"/>
  <c r="N27" i="18" s="1"/>
  <c r="N136" i="18"/>
  <c r="N36" i="18" s="1"/>
  <c r="N37" i="18" s="1"/>
  <c r="J41" i="18"/>
  <c r="M41" i="18"/>
  <c r="M23" i="18" s="1"/>
  <c r="M25" i="18" s="1"/>
  <c r="M26" i="18" s="1"/>
  <c r="N31" i="18"/>
  <c r="M136" i="18"/>
  <c r="M36" i="18" s="1"/>
  <c r="M37" i="18" s="1"/>
  <c r="L136" i="18"/>
  <c r="L36" i="18" s="1"/>
  <c r="L37" i="18" s="1"/>
  <c r="M31" i="18"/>
  <c r="K136" i="18"/>
  <c r="K36" i="18" s="1"/>
  <c r="K37" i="18" s="1"/>
  <c r="L41" i="18"/>
  <c r="J36" i="18"/>
  <c r="J37" i="18" s="1"/>
  <c r="N30" i="17"/>
  <c r="J32" i="17"/>
  <c r="D14" i="17"/>
  <c r="D11" i="17"/>
  <c r="J14" i="17"/>
  <c r="M32" i="17"/>
  <c r="N14" i="17"/>
  <c r="M14" i="17"/>
  <c r="I11" i="17"/>
  <c r="M30" i="17"/>
  <c r="F11" i="17"/>
  <c r="N37" i="17"/>
  <c r="L31" i="17"/>
  <c r="M39" i="17"/>
  <c r="J37" i="17"/>
  <c r="H14" i="17"/>
  <c r="G14" i="17"/>
  <c r="L32" i="17"/>
  <c r="M31" i="17"/>
  <c r="L14" i="17"/>
  <c r="K11" i="17"/>
  <c r="M18" i="17"/>
  <c r="M19" i="17" s="1"/>
  <c r="M22" i="17" s="1"/>
  <c r="N31" i="17"/>
  <c r="J11" i="17"/>
  <c r="H11" i="17"/>
  <c r="N43" i="17"/>
  <c r="N62" i="17" s="1"/>
  <c r="K18" i="17"/>
  <c r="F14" i="17"/>
  <c r="E14" i="17"/>
  <c r="N39" i="37"/>
  <c r="M31" i="37"/>
  <c r="K14" i="37"/>
  <c r="N31" i="37"/>
  <c r="L37" i="37"/>
  <c r="O14" i="37"/>
  <c r="O37" i="37"/>
  <c r="K32" i="37"/>
  <c r="O41" i="37"/>
  <c r="O60" i="37" s="1"/>
  <c r="N37" i="37"/>
  <c r="J37" i="37"/>
  <c r="K37" i="37"/>
  <c r="N11" i="37"/>
  <c r="M41" i="37"/>
  <c r="M60" i="37" s="1"/>
  <c r="N14" i="37"/>
  <c r="N32" i="37" s="1"/>
  <c r="O31" i="37"/>
  <c r="L31" i="37"/>
  <c r="J31" i="37"/>
  <c r="M14" i="37"/>
  <c r="N41" i="37"/>
  <c r="N60" i="37" s="1"/>
  <c r="K41" i="37"/>
  <c r="K60" i="37" s="1"/>
  <c r="K39" i="37"/>
  <c r="K31" i="37"/>
  <c r="L30" i="9"/>
  <c r="M30" i="9"/>
  <c r="N30" i="9"/>
  <c r="K31" i="9"/>
  <c r="J30" i="9"/>
  <c r="F8" i="88" s="1"/>
  <c r="J38" i="9"/>
  <c r="K36" i="9"/>
  <c r="L36" i="9"/>
  <c r="M36" i="9"/>
  <c r="N36" i="9"/>
  <c r="K38" i="9"/>
  <c r="L38" i="9"/>
  <c r="M38" i="9"/>
  <c r="N38" i="9"/>
  <c r="J31" i="9"/>
  <c r="F9" i="88" s="1"/>
  <c r="K30" i="9"/>
  <c r="J32" i="9"/>
  <c r="F10" i="88" s="1"/>
  <c r="K11" i="9"/>
  <c r="K32" i="9" s="1"/>
  <c r="L31" i="9"/>
  <c r="M31" i="9"/>
  <c r="N31" i="9"/>
  <c r="L11" i="9"/>
  <c r="M11" i="9"/>
  <c r="N11" i="9"/>
  <c r="L14" i="9"/>
  <c r="M14" i="9"/>
  <c r="N14" i="9"/>
  <c r="N27" i="9"/>
  <c r="O31" i="8"/>
  <c r="P37" i="8"/>
  <c r="L29" i="8"/>
  <c r="P41" i="8"/>
  <c r="P60" i="8" s="1"/>
  <c r="O20" i="8"/>
  <c r="L20" i="8"/>
  <c r="M41" i="8"/>
  <c r="O30" i="8"/>
  <c r="L41" i="8"/>
  <c r="L60" i="8" s="1"/>
  <c r="P29" i="8"/>
  <c r="J14" i="8"/>
  <c r="M14" i="8"/>
  <c r="N29" i="8"/>
  <c r="K20" i="8"/>
  <c r="J30" i="8"/>
  <c r="K37" i="8"/>
  <c r="O37" i="8"/>
  <c r="K41" i="8"/>
  <c r="K60" i="8" s="1"/>
  <c r="J37" i="8"/>
  <c r="O41" i="8"/>
  <c r="O60" i="8" s="1"/>
  <c r="J41" i="8"/>
  <c r="J60" i="8" s="1"/>
  <c r="K29" i="8"/>
  <c r="L30" i="8"/>
  <c r="O29" i="8"/>
  <c r="J29" i="8"/>
  <c r="N41" i="8"/>
  <c r="N60" i="8" s="1"/>
  <c r="P14" i="8"/>
  <c r="M37" i="8"/>
  <c r="H25" i="62"/>
  <c r="C19" i="62"/>
  <c r="M26" i="1" s="1"/>
  <c r="E3" i="62"/>
  <c r="D3" i="62"/>
  <c r="I25" i="62"/>
  <c r="J25" i="62"/>
  <c r="K25" i="62"/>
  <c r="L25" i="62"/>
  <c r="M25" i="62"/>
  <c r="D25" i="62"/>
  <c r="E25" i="62"/>
  <c r="F25" i="62"/>
  <c r="C24" i="62"/>
  <c r="H31" i="1" s="1"/>
  <c r="G25" i="62"/>
  <c r="O22" i="1"/>
  <c r="E3" i="60"/>
  <c r="D3" i="60"/>
  <c r="I21" i="80"/>
  <c r="H21" i="80"/>
  <c r="G21" i="80"/>
  <c r="F21" i="80"/>
  <c r="E21" i="80"/>
  <c r="D39" i="80"/>
  <c r="D40" i="80" s="1"/>
  <c r="C39" i="80"/>
  <c r="C40" i="80" s="1"/>
  <c r="K14" i="80"/>
  <c r="G39" i="80"/>
  <c r="L32" i="80"/>
  <c r="I38" i="80"/>
  <c r="I39" i="80"/>
  <c r="I40" i="80" s="1"/>
  <c r="D48" i="80"/>
  <c r="H12" i="80"/>
  <c r="H32" i="80" s="1"/>
  <c r="C14" i="80"/>
  <c r="F38" i="80"/>
  <c r="H47" i="80"/>
  <c r="H55" i="80" s="1"/>
  <c r="H48" i="80"/>
  <c r="F39" i="80"/>
  <c r="F40" i="80" s="1"/>
  <c r="E39" i="80"/>
  <c r="E40" i="80" s="1"/>
  <c r="K15" i="80"/>
  <c r="K18" i="80" s="1"/>
  <c r="K19" i="80" s="1"/>
  <c r="N15" i="80"/>
  <c r="N18" i="80" s="1"/>
  <c r="N19" i="80" s="1"/>
  <c r="J11" i="80"/>
  <c r="L14" i="80"/>
  <c r="K11" i="80"/>
  <c r="M14" i="80"/>
  <c r="N14" i="80"/>
  <c r="N32" i="80"/>
  <c r="M11" i="80"/>
  <c r="G12" i="80"/>
  <c r="N11" i="80"/>
  <c r="L15" i="80"/>
  <c r="L18" i="80" s="1"/>
  <c r="L19" i="80" s="1"/>
  <c r="G38" i="80"/>
  <c r="J32" i="80"/>
  <c r="K32" i="80"/>
  <c r="J14" i="80"/>
  <c r="M32" i="80"/>
  <c r="L11" i="80"/>
  <c r="J15" i="80"/>
  <c r="J18" i="80" s="1"/>
  <c r="J19" i="80" s="1"/>
  <c r="H39" i="80"/>
  <c r="H40" i="80" s="1"/>
  <c r="H38" i="80"/>
  <c r="C38" i="80"/>
  <c r="D38" i="80"/>
  <c r="E38" i="80"/>
  <c r="F14" i="80"/>
  <c r="E14" i="80"/>
  <c r="D14" i="80"/>
  <c r="E15" i="80"/>
  <c r="E18" i="80" s="1"/>
  <c r="E19" i="80" s="1"/>
  <c r="D10" i="80"/>
  <c r="D11" i="80" s="1"/>
  <c r="E10" i="80"/>
  <c r="F32" i="80"/>
  <c r="C10" i="80"/>
  <c r="D31" i="80"/>
  <c r="G10" i="80"/>
  <c r="H11" i="80"/>
  <c r="G7" i="80"/>
  <c r="I32" i="80"/>
  <c r="I15" i="80"/>
  <c r="I18" i="80" s="1"/>
  <c r="I19" i="80" s="1"/>
  <c r="C15" i="80"/>
  <c r="C18" i="80" s="1"/>
  <c r="C19" i="80" s="1"/>
  <c r="F11" i="80"/>
  <c r="L129" i="80"/>
  <c r="L131" i="80" s="1"/>
  <c r="L133" i="80" s="1"/>
  <c r="L39" i="80" s="1"/>
  <c r="L37" i="80"/>
  <c r="L38" i="80" s="1"/>
  <c r="M22" i="80"/>
  <c r="M23" i="80" s="1"/>
  <c r="M37" i="80"/>
  <c r="M38" i="80" s="1"/>
  <c r="M129" i="80"/>
  <c r="M131" i="80" s="1"/>
  <c r="M133" i="80" s="1"/>
  <c r="M39" i="80" s="1"/>
  <c r="G40" i="80"/>
  <c r="N37" i="80"/>
  <c r="N38" i="80" s="1"/>
  <c r="N129" i="80"/>
  <c r="N131" i="80" s="1"/>
  <c r="N133" i="80" s="1"/>
  <c r="N39" i="80" s="1"/>
  <c r="F15" i="80"/>
  <c r="F18" i="80" s="1"/>
  <c r="F19" i="80" s="1"/>
  <c r="J129" i="80"/>
  <c r="J131" i="80" s="1"/>
  <c r="J133" i="80" s="1"/>
  <c r="J39" i="80" s="1"/>
  <c r="J37" i="80"/>
  <c r="J38" i="80" s="1"/>
  <c r="K129" i="80"/>
  <c r="K131" i="80" s="1"/>
  <c r="K133" i="80" s="1"/>
  <c r="K39" i="80" s="1"/>
  <c r="K37" i="80"/>
  <c r="K38" i="80" s="1"/>
  <c r="M112" i="80"/>
  <c r="E7" i="80"/>
  <c r="D32" i="80"/>
  <c r="F30" i="80"/>
  <c r="F31" i="80"/>
  <c r="G13" i="80"/>
  <c r="I10" i="80"/>
  <c r="I11" i="80" s="1"/>
  <c r="I13" i="80"/>
  <c r="I14" i="80" s="1"/>
  <c r="I30" i="80"/>
  <c r="I31" i="80"/>
  <c r="D30" i="80"/>
  <c r="J30" i="80"/>
  <c r="J31" i="80"/>
  <c r="K30" i="80"/>
  <c r="K31" i="80"/>
  <c r="C55" i="80"/>
  <c r="L30" i="80"/>
  <c r="L31" i="80"/>
  <c r="M30" i="80"/>
  <c r="M31" i="80"/>
  <c r="N30" i="80"/>
  <c r="N31" i="80"/>
  <c r="C7" i="80"/>
  <c r="H54" i="76"/>
  <c r="F40" i="76"/>
  <c r="G40" i="76"/>
  <c r="D39" i="76"/>
  <c r="E39" i="76"/>
  <c r="F39" i="76"/>
  <c r="G39" i="76"/>
  <c r="H39" i="76"/>
  <c r="I39" i="76"/>
  <c r="D10" i="76"/>
  <c r="D12" i="76"/>
  <c r="E10" i="76"/>
  <c r="E12" i="76"/>
  <c r="E34" i="76" s="1"/>
  <c r="F10" i="76"/>
  <c r="F12" i="76"/>
  <c r="G10" i="76"/>
  <c r="G12" i="76"/>
  <c r="G34" i="76" s="1"/>
  <c r="H10" i="76"/>
  <c r="H12" i="76"/>
  <c r="H34" i="76" s="1"/>
  <c r="I10" i="76"/>
  <c r="I12" i="76"/>
  <c r="I34" i="76" s="1"/>
  <c r="E23" i="76"/>
  <c r="E24" i="76" s="1"/>
  <c r="M26" i="76"/>
  <c r="M25" i="76"/>
  <c r="M27" i="76" s="1"/>
  <c r="M28" i="76" s="1"/>
  <c r="M22" i="76"/>
  <c r="M54" i="76"/>
  <c r="M56" i="76" s="1"/>
  <c r="J45" i="76"/>
  <c r="J41" i="76"/>
  <c r="F34" i="76"/>
  <c r="F23" i="76"/>
  <c r="F24" i="76" s="1"/>
  <c r="N26" i="76"/>
  <c r="N25" i="76"/>
  <c r="N27" i="76" s="1"/>
  <c r="N28" i="76" s="1"/>
  <c r="N54" i="76"/>
  <c r="N56" i="76" s="1"/>
  <c r="N22" i="76"/>
  <c r="G23" i="76"/>
  <c r="C54" i="76"/>
  <c r="C22" i="76"/>
  <c r="H23" i="76"/>
  <c r="H24" i="76" s="1"/>
  <c r="D54" i="76"/>
  <c r="D22" i="76"/>
  <c r="I23" i="76"/>
  <c r="C45" i="76"/>
  <c r="C41" i="76"/>
  <c r="J34" i="76"/>
  <c r="J23" i="76"/>
  <c r="D45" i="76"/>
  <c r="D41" i="76"/>
  <c r="K34" i="76"/>
  <c r="K23" i="76"/>
  <c r="G24" i="76"/>
  <c r="L34" i="76"/>
  <c r="L23" i="76"/>
  <c r="E45" i="76"/>
  <c r="E41" i="76"/>
  <c r="M34" i="76"/>
  <c r="M29" i="76"/>
  <c r="M23" i="76"/>
  <c r="I22" i="76"/>
  <c r="I54" i="76"/>
  <c r="F45" i="76"/>
  <c r="F41" i="76"/>
  <c r="N29" i="76"/>
  <c r="N23" i="76"/>
  <c r="J22" i="76"/>
  <c r="J54" i="76"/>
  <c r="F54" i="76"/>
  <c r="G45" i="76"/>
  <c r="G41" i="76"/>
  <c r="C34" i="76"/>
  <c r="C23" i="76"/>
  <c r="K26" i="76"/>
  <c r="K29" i="76" s="1"/>
  <c r="K25" i="76"/>
  <c r="K27" i="76" s="1"/>
  <c r="K28" i="76" s="1"/>
  <c r="K22" i="76"/>
  <c r="K24" i="76" s="1"/>
  <c r="K54" i="76"/>
  <c r="K56" i="76" s="1"/>
  <c r="E54" i="76"/>
  <c r="H45" i="76"/>
  <c r="H41" i="76"/>
  <c r="D34" i="76"/>
  <c r="D23" i="76"/>
  <c r="L26" i="76"/>
  <c r="L29" i="76" s="1"/>
  <c r="L25" i="76"/>
  <c r="L27" i="76" s="1"/>
  <c r="L28" i="76" s="1"/>
  <c r="L22" i="76"/>
  <c r="L24" i="76" s="1"/>
  <c r="L54" i="76"/>
  <c r="L56" i="76" s="1"/>
  <c r="G54" i="76"/>
  <c r="I45" i="76"/>
  <c r="I41" i="76"/>
  <c r="N15" i="76"/>
  <c r="N34" i="76" s="1"/>
  <c r="N31" i="76"/>
  <c r="N32" i="76"/>
  <c r="N41" i="76"/>
  <c r="C31" i="76"/>
  <c r="C32" i="76"/>
  <c r="D31" i="76"/>
  <c r="D32" i="76"/>
  <c r="E31" i="76"/>
  <c r="E32" i="76"/>
  <c r="F31" i="76"/>
  <c r="F32" i="76"/>
  <c r="E48" i="76"/>
  <c r="E49" i="76"/>
  <c r="G31" i="76"/>
  <c r="G32" i="76"/>
  <c r="H31" i="76"/>
  <c r="H32" i="76"/>
  <c r="G48" i="76"/>
  <c r="G55" i="76" s="1"/>
  <c r="G49" i="76"/>
  <c r="I31" i="76"/>
  <c r="I32" i="76"/>
  <c r="H49" i="76"/>
  <c r="J31" i="76"/>
  <c r="J32" i="76"/>
  <c r="K31" i="76"/>
  <c r="K32" i="76"/>
  <c r="K41" i="76"/>
  <c r="L31" i="76"/>
  <c r="L32" i="76"/>
  <c r="L41" i="76"/>
  <c r="M31" i="76"/>
  <c r="M32" i="76"/>
  <c r="M41" i="76"/>
  <c r="C10" i="71"/>
  <c r="C12" i="71"/>
  <c r="C34" i="71" s="1"/>
  <c r="J39" i="71"/>
  <c r="N32" i="71"/>
  <c r="K39" i="71"/>
  <c r="N12" i="71"/>
  <c r="J10" i="71"/>
  <c r="J12" i="71"/>
  <c r="L39" i="71"/>
  <c r="K10" i="71"/>
  <c r="K12" i="71"/>
  <c r="K34" i="71" s="1"/>
  <c r="M39" i="71"/>
  <c r="L10" i="71"/>
  <c r="L12" i="71"/>
  <c r="L34" i="71" s="1"/>
  <c r="N41" i="71"/>
  <c r="N39" i="71"/>
  <c r="M10" i="71"/>
  <c r="M12" i="71"/>
  <c r="C39" i="71"/>
  <c r="K45" i="71"/>
  <c r="K26" i="71" s="1"/>
  <c r="K29" i="71" s="1"/>
  <c r="I16" i="71"/>
  <c r="I19" i="71" s="1"/>
  <c r="I20" i="71" s="1"/>
  <c r="I23" i="71" s="1"/>
  <c r="D39" i="71"/>
  <c r="E39" i="71"/>
  <c r="F39" i="71"/>
  <c r="G39" i="71"/>
  <c r="H39" i="71"/>
  <c r="I39" i="71"/>
  <c r="D10" i="71"/>
  <c r="D12" i="71"/>
  <c r="D34" i="71" s="1"/>
  <c r="E12" i="71"/>
  <c r="E34" i="71" s="1"/>
  <c r="F10" i="71"/>
  <c r="F12" i="71"/>
  <c r="F33" i="71"/>
  <c r="G10" i="71"/>
  <c r="G12" i="71"/>
  <c r="G34" i="71" s="1"/>
  <c r="H10" i="71"/>
  <c r="H12" i="71"/>
  <c r="H34" i="71" s="1"/>
  <c r="I10" i="71"/>
  <c r="I12" i="71"/>
  <c r="I34" i="71" s="1"/>
  <c r="E10" i="71"/>
  <c r="H23" i="71"/>
  <c r="J23" i="71"/>
  <c r="G23" i="71"/>
  <c r="G24" i="71" s="1"/>
  <c r="J34" i="71"/>
  <c r="K23" i="71"/>
  <c r="C41" i="71"/>
  <c r="L23" i="71"/>
  <c r="H22" i="71"/>
  <c r="D45" i="71"/>
  <c r="D41" i="71"/>
  <c r="C22" i="71"/>
  <c r="J45" i="71"/>
  <c r="J58" i="71" s="1"/>
  <c r="J41" i="71"/>
  <c r="M23" i="71"/>
  <c r="I22" i="71"/>
  <c r="M34" i="71"/>
  <c r="N23" i="71"/>
  <c r="J22" i="71"/>
  <c r="E45" i="71"/>
  <c r="E41" i="71"/>
  <c r="K22" i="71"/>
  <c r="F45" i="71"/>
  <c r="F41" i="71"/>
  <c r="D23" i="71"/>
  <c r="L26" i="71"/>
  <c r="L29" i="71" s="1"/>
  <c r="L25" i="71"/>
  <c r="L27" i="71" s="1"/>
  <c r="L28" i="71" s="1"/>
  <c r="L22" i="71"/>
  <c r="L24" i="71" s="1"/>
  <c r="G45" i="71"/>
  <c r="G41" i="71"/>
  <c r="E23" i="71"/>
  <c r="E24" i="71" s="1"/>
  <c r="M26" i="71"/>
  <c r="M29" i="71" s="1"/>
  <c r="M25" i="71"/>
  <c r="M27" i="71" s="1"/>
  <c r="M28" i="71" s="1"/>
  <c r="M22" i="71"/>
  <c r="H45" i="71"/>
  <c r="H41" i="71"/>
  <c r="D22" i="71"/>
  <c r="F23" i="71"/>
  <c r="F24" i="71" s="1"/>
  <c r="N26" i="71"/>
  <c r="N29" i="71" s="1"/>
  <c r="N25" i="71"/>
  <c r="N27" i="71" s="1"/>
  <c r="N28" i="71" s="1"/>
  <c r="N22" i="71"/>
  <c r="I41" i="71"/>
  <c r="N33" i="71"/>
  <c r="C16" i="71"/>
  <c r="C19" i="71" s="1"/>
  <c r="C20" i="71" s="1"/>
  <c r="C31" i="71"/>
  <c r="C32" i="71"/>
  <c r="D31" i="71"/>
  <c r="D32" i="71"/>
  <c r="E31" i="71"/>
  <c r="E32" i="71"/>
  <c r="F15" i="71"/>
  <c r="F31" i="71"/>
  <c r="F32" i="71"/>
  <c r="G31" i="71"/>
  <c r="G32" i="71"/>
  <c r="H31" i="71"/>
  <c r="H32" i="71"/>
  <c r="G48" i="71"/>
  <c r="G49" i="71"/>
  <c r="D3" i="71" s="1"/>
  <c r="Q56" i="1" s="1"/>
  <c r="S56" i="1" s="1"/>
  <c r="N15" i="71"/>
  <c r="N34" i="71" s="1"/>
  <c r="N31" i="71"/>
  <c r="I31" i="71"/>
  <c r="I32" i="71"/>
  <c r="J31" i="71"/>
  <c r="J32" i="71"/>
  <c r="K31" i="71"/>
  <c r="K32" i="71"/>
  <c r="K41" i="71"/>
  <c r="L31" i="71"/>
  <c r="L32" i="71"/>
  <c r="L41" i="71"/>
  <c r="M31" i="71"/>
  <c r="M32" i="71"/>
  <c r="M41" i="71"/>
  <c r="G49" i="69"/>
  <c r="D3" i="69" s="1"/>
  <c r="Q55" i="1" s="1"/>
  <c r="M45" i="69"/>
  <c r="M26" i="69" s="1"/>
  <c r="M29" i="69" s="1"/>
  <c r="N45" i="69"/>
  <c r="N26" i="69" s="1"/>
  <c r="N29" i="69" s="1"/>
  <c r="J39" i="69"/>
  <c r="K39" i="69"/>
  <c r="J12" i="69"/>
  <c r="J34" i="69" s="1"/>
  <c r="L39" i="69"/>
  <c r="N33" i="69"/>
  <c r="K12" i="69"/>
  <c r="K34" i="69" s="1"/>
  <c r="L12" i="69"/>
  <c r="L34" i="69" s="1"/>
  <c r="M39" i="69"/>
  <c r="M12" i="69"/>
  <c r="M34" i="69" s="1"/>
  <c r="N39" i="69"/>
  <c r="N12" i="69"/>
  <c r="N34" i="69" s="1"/>
  <c r="C16" i="69"/>
  <c r="C19" i="69" s="1"/>
  <c r="C20" i="69" s="1"/>
  <c r="C23" i="69" s="1"/>
  <c r="D16" i="69"/>
  <c r="D19" i="69" s="1"/>
  <c r="D20" i="69" s="1"/>
  <c r="D23" i="69" s="1"/>
  <c r="E16" i="69"/>
  <c r="E19" i="69" s="1"/>
  <c r="E20" i="69" s="1"/>
  <c r="E23" i="69" s="1"/>
  <c r="G39" i="69"/>
  <c r="D129" i="69"/>
  <c r="D131" i="69" s="1"/>
  <c r="D133" i="69" s="1"/>
  <c r="D40" i="69" s="1"/>
  <c r="D38" i="69"/>
  <c r="D39" i="69" s="1"/>
  <c r="I131" i="69"/>
  <c r="I133" i="69" s="1"/>
  <c r="I40" i="69" s="1"/>
  <c r="I41" i="69" s="1"/>
  <c r="I38" i="69"/>
  <c r="I39" i="69" s="1"/>
  <c r="F16" i="69"/>
  <c r="F19" i="69" s="1"/>
  <c r="F20" i="69" s="1"/>
  <c r="F23" i="69" s="1"/>
  <c r="G16" i="69"/>
  <c r="G19" i="69" s="1"/>
  <c r="G20" i="69" s="1"/>
  <c r="G23" i="69" s="1"/>
  <c r="H16" i="69"/>
  <c r="H19" i="69" s="1"/>
  <c r="H20" i="69" s="1"/>
  <c r="H23" i="69" s="1"/>
  <c r="I16" i="69"/>
  <c r="I19" i="69" s="1"/>
  <c r="I20" i="69" s="1"/>
  <c r="I23" i="69" s="1"/>
  <c r="C12" i="69"/>
  <c r="C34" i="69" s="1"/>
  <c r="D12" i="69"/>
  <c r="D34" i="69" s="1"/>
  <c r="E10" i="69"/>
  <c r="E12" i="69"/>
  <c r="E34" i="69" s="1"/>
  <c r="F10" i="69"/>
  <c r="F12" i="69"/>
  <c r="F34" i="69" s="1"/>
  <c r="G10" i="69"/>
  <c r="G12" i="69"/>
  <c r="G34" i="69" s="1"/>
  <c r="H10" i="69"/>
  <c r="H12" i="69"/>
  <c r="I12" i="69"/>
  <c r="H33" i="69"/>
  <c r="I33" i="69"/>
  <c r="N23" i="69"/>
  <c r="D22" i="69"/>
  <c r="C38" i="69"/>
  <c r="C39" i="69" s="1"/>
  <c r="C129" i="69"/>
  <c r="C131" i="69" s="1"/>
  <c r="C133" i="69" s="1"/>
  <c r="C40" i="69" s="1"/>
  <c r="J45" i="69"/>
  <c r="J41" i="69"/>
  <c r="E22" i="69"/>
  <c r="K45" i="69"/>
  <c r="K41" i="69"/>
  <c r="F22" i="69"/>
  <c r="E38" i="69"/>
  <c r="E39" i="69" s="1"/>
  <c r="E129" i="69"/>
  <c r="E131" i="69" s="1"/>
  <c r="E133" i="69" s="1"/>
  <c r="E40" i="69" s="1"/>
  <c r="G22" i="69"/>
  <c r="F38" i="69"/>
  <c r="F39" i="69" s="1"/>
  <c r="F131" i="69"/>
  <c r="F133" i="69" s="1"/>
  <c r="F40" i="69" s="1"/>
  <c r="H22" i="69"/>
  <c r="I22" i="69"/>
  <c r="J22" i="69"/>
  <c r="K22" i="69"/>
  <c r="J23" i="69"/>
  <c r="L26" i="69"/>
  <c r="L25" i="69"/>
  <c r="L27" i="69" s="1"/>
  <c r="L28" i="69" s="1"/>
  <c r="L58" i="69"/>
  <c r="L22" i="69"/>
  <c r="K23" i="69"/>
  <c r="M22" i="69"/>
  <c r="H41" i="69"/>
  <c r="L29" i="69"/>
  <c r="L23" i="69"/>
  <c r="N25" i="69"/>
  <c r="N27" i="69" s="1"/>
  <c r="N28" i="69" s="1"/>
  <c r="N58" i="69"/>
  <c r="N22" i="69"/>
  <c r="M23" i="69"/>
  <c r="C22" i="69"/>
  <c r="H15" i="69"/>
  <c r="H31" i="69"/>
  <c r="H32" i="69"/>
  <c r="H38" i="69"/>
  <c r="H39" i="69" s="1"/>
  <c r="I15" i="69"/>
  <c r="I34" i="69" s="1"/>
  <c r="I31" i="69"/>
  <c r="I32" i="69"/>
  <c r="J31" i="69"/>
  <c r="J32" i="69"/>
  <c r="K31" i="69"/>
  <c r="K32" i="69"/>
  <c r="L31" i="69"/>
  <c r="L32" i="69"/>
  <c r="L41" i="69"/>
  <c r="M31" i="69"/>
  <c r="M32" i="69"/>
  <c r="M41" i="69"/>
  <c r="N31" i="69"/>
  <c r="N32" i="69"/>
  <c r="N41" i="69"/>
  <c r="C31" i="69"/>
  <c r="C32" i="69"/>
  <c r="G131" i="69"/>
  <c r="G133" i="69" s="1"/>
  <c r="G40" i="69" s="1"/>
  <c r="D31" i="69"/>
  <c r="D32" i="69"/>
  <c r="E31" i="69"/>
  <c r="E32" i="69"/>
  <c r="F31" i="69"/>
  <c r="F32" i="69"/>
  <c r="G31" i="69"/>
  <c r="G32" i="69"/>
  <c r="D20" i="67"/>
  <c r="D36" i="67"/>
  <c r="D37" i="67" s="1"/>
  <c r="E36" i="67"/>
  <c r="E37" i="67" s="1"/>
  <c r="E15" i="67"/>
  <c r="E18" i="67" s="1"/>
  <c r="G38" i="67"/>
  <c r="D38" i="67"/>
  <c r="D39" i="67" s="1"/>
  <c r="E38" i="67"/>
  <c r="E39" i="67" s="1"/>
  <c r="J38" i="67"/>
  <c r="J41" i="67" s="1"/>
  <c r="J60" i="67" s="1"/>
  <c r="K132" i="67"/>
  <c r="K134" i="67" s="1"/>
  <c r="K36" i="67"/>
  <c r="K37" i="67" s="1"/>
  <c r="C11" i="67"/>
  <c r="C32" i="67" s="1"/>
  <c r="D11" i="67"/>
  <c r="D32" i="67" s="1"/>
  <c r="Q54" i="1"/>
  <c r="E14" i="67"/>
  <c r="K20" i="67"/>
  <c r="J11" i="67"/>
  <c r="J32" i="67" s="1"/>
  <c r="M15" i="67"/>
  <c r="M18" i="67" s="1"/>
  <c r="M21" i="67" s="1"/>
  <c r="M20" i="67"/>
  <c r="E11" i="67"/>
  <c r="K11" i="67"/>
  <c r="K32" i="67" s="1"/>
  <c r="N20" i="67"/>
  <c r="L11" i="67"/>
  <c r="L32" i="67" s="1"/>
  <c r="M11" i="67"/>
  <c r="M32" i="67" s="1"/>
  <c r="N11" i="67"/>
  <c r="N32" i="67" s="1"/>
  <c r="E20" i="67"/>
  <c r="I37" i="67"/>
  <c r="F36" i="67"/>
  <c r="F37" i="67" s="1"/>
  <c r="G36" i="67"/>
  <c r="G37" i="67" s="1"/>
  <c r="F15" i="67"/>
  <c r="F18" i="67" s="1"/>
  <c r="F21" i="67" s="1"/>
  <c r="F22" i="67" s="1"/>
  <c r="G15" i="67"/>
  <c r="G18" i="67" s="1"/>
  <c r="G21" i="67" s="1"/>
  <c r="G22" i="67" s="1"/>
  <c r="F11" i="67"/>
  <c r="F32" i="67" s="1"/>
  <c r="G11" i="67"/>
  <c r="G32" i="67" s="1"/>
  <c r="L36" i="67"/>
  <c r="L37" i="67" s="1"/>
  <c r="M36" i="67"/>
  <c r="M37" i="67" s="1"/>
  <c r="N36" i="67"/>
  <c r="N37" i="67" s="1"/>
  <c r="H36" i="67"/>
  <c r="H37" i="67" s="1"/>
  <c r="I31" i="67"/>
  <c r="H11" i="67"/>
  <c r="H32" i="67" s="1"/>
  <c r="I11" i="67"/>
  <c r="I32" i="67" s="1"/>
  <c r="K21" i="67"/>
  <c r="K22" i="67" s="1"/>
  <c r="L21" i="67"/>
  <c r="L22" i="67" s="1"/>
  <c r="N21" i="67"/>
  <c r="C21" i="67"/>
  <c r="C22" i="67" s="1"/>
  <c r="D21" i="67"/>
  <c r="J21" i="67"/>
  <c r="J22" i="67" s="1"/>
  <c r="E21" i="67"/>
  <c r="N24" i="67"/>
  <c r="N27" i="67" s="1"/>
  <c r="N23" i="67"/>
  <c r="N25" i="67" s="1"/>
  <c r="N26" i="67" s="1"/>
  <c r="E41" i="67"/>
  <c r="H21" i="67"/>
  <c r="H22" i="67" s="1"/>
  <c r="G41" i="67"/>
  <c r="G39" i="67"/>
  <c r="I21" i="67"/>
  <c r="I22" i="67" s="1"/>
  <c r="F29" i="67"/>
  <c r="F30" i="67"/>
  <c r="G29" i="67"/>
  <c r="G30" i="67"/>
  <c r="D30" i="67"/>
  <c r="E31" i="67"/>
  <c r="H29" i="67"/>
  <c r="H30" i="67"/>
  <c r="D31" i="67"/>
  <c r="E29" i="67"/>
  <c r="I29" i="67"/>
  <c r="I30" i="67"/>
  <c r="J29" i="67"/>
  <c r="J30" i="67"/>
  <c r="K29" i="67"/>
  <c r="K30" i="67"/>
  <c r="L29" i="67"/>
  <c r="L30" i="67"/>
  <c r="M29" i="67"/>
  <c r="M30" i="67"/>
  <c r="N29" i="67"/>
  <c r="N30" i="67"/>
  <c r="N39" i="67"/>
  <c r="C29" i="67"/>
  <c r="C30" i="67"/>
  <c r="T51" i="1"/>
  <c r="D11" i="66"/>
  <c r="E11" i="66"/>
  <c r="E32" i="66" s="1"/>
  <c r="F20" i="66"/>
  <c r="F15" i="66"/>
  <c r="F18" i="66" s="1"/>
  <c r="F21" i="66" s="1"/>
  <c r="G15" i="66"/>
  <c r="G18" i="66" s="1"/>
  <c r="G21" i="66" s="1"/>
  <c r="G22" i="66" s="1"/>
  <c r="F11" i="66"/>
  <c r="F32" i="66" s="1"/>
  <c r="G11" i="66"/>
  <c r="G32" i="66" s="1"/>
  <c r="I20" i="66"/>
  <c r="J41" i="66"/>
  <c r="J54" i="66" s="1"/>
  <c r="M41" i="66"/>
  <c r="H15" i="66"/>
  <c r="H18" i="66" s="1"/>
  <c r="H21" i="66" s="1"/>
  <c r="H22" i="66" s="1"/>
  <c r="H11" i="66"/>
  <c r="H32" i="66" s="1"/>
  <c r="I11" i="66"/>
  <c r="I32" i="66" s="1"/>
  <c r="L32" i="66"/>
  <c r="N21" i="66"/>
  <c r="N22" i="66" s="1"/>
  <c r="I41" i="66"/>
  <c r="I39" i="66"/>
  <c r="M32" i="66"/>
  <c r="K41" i="66"/>
  <c r="K39" i="66"/>
  <c r="C32" i="66"/>
  <c r="C21" i="66"/>
  <c r="C22" i="66" s="1"/>
  <c r="L41" i="66"/>
  <c r="L39" i="66"/>
  <c r="D32" i="66"/>
  <c r="D127" i="66"/>
  <c r="D129" i="66" s="1"/>
  <c r="D38" i="66" s="1"/>
  <c r="D36" i="66"/>
  <c r="D37" i="66" s="1"/>
  <c r="I21" i="66"/>
  <c r="G127" i="66"/>
  <c r="G129" i="66" s="1"/>
  <c r="G38" i="66" s="1"/>
  <c r="G36" i="66"/>
  <c r="G37" i="66" s="1"/>
  <c r="J21" i="66"/>
  <c r="J22" i="66" s="1"/>
  <c r="H127" i="66"/>
  <c r="H129" i="66" s="1"/>
  <c r="H38" i="66" s="1"/>
  <c r="H36" i="66"/>
  <c r="H37" i="66" s="1"/>
  <c r="K21" i="66"/>
  <c r="K22" i="66" s="1"/>
  <c r="L21" i="66"/>
  <c r="L22" i="66" s="1"/>
  <c r="M54" i="66"/>
  <c r="M24" i="66"/>
  <c r="M27" i="66" s="1"/>
  <c r="M23" i="66"/>
  <c r="M25" i="66" s="1"/>
  <c r="M26" i="66" s="1"/>
  <c r="E39" i="66"/>
  <c r="K32" i="66"/>
  <c r="M21" i="66"/>
  <c r="M22" i="66" s="1"/>
  <c r="N54" i="66"/>
  <c r="N24" i="66"/>
  <c r="N27" i="66" s="1"/>
  <c r="N23" i="66"/>
  <c r="N25" i="66" s="1"/>
  <c r="N26" i="66" s="1"/>
  <c r="F39" i="66"/>
  <c r="E15" i="66"/>
  <c r="E18" i="66" s="1"/>
  <c r="E29" i="66"/>
  <c r="E30" i="66"/>
  <c r="E36" i="66"/>
  <c r="E37" i="66" s="1"/>
  <c r="F29" i="66"/>
  <c r="F30" i="66"/>
  <c r="D21" i="66"/>
  <c r="D22" i="66" s="1"/>
  <c r="D29" i="66"/>
  <c r="G29" i="66"/>
  <c r="G30" i="66"/>
  <c r="H29" i="66"/>
  <c r="H30" i="66"/>
  <c r="I29" i="66"/>
  <c r="I30" i="66"/>
  <c r="D31" i="66"/>
  <c r="J29" i="66"/>
  <c r="J30" i="66"/>
  <c r="J39" i="66"/>
  <c r="C108" i="66"/>
  <c r="C125" i="66"/>
  <c r="C127" i="66" s="1"/>
  <c r="C129" i="66" s="1"/>
  <c r="C38" i="66" s="1"/>
  <c r="K29" i="66"/>
  <c r="K30" i="66"/>
  <c r="L29" i="66"/>
  <c r="L30" i="66"/>
  <c r="M29" i="66"/>
  <c r="M30" i="66"/>
  <c r="M39" i="66"/>
  <c r="N29" i="66"/>
  <c r="N30" i="66"/>
  <c r="N39" i="66"/>
  <c r="C29" i="66"/>
  <c r="C30" i="66"/>
  <c r="D14" i="65"/>
  <c r="D32" i="65" s="1"/>
  <c r="K126" i="65"/>
  <c r="K129" i="65" s="1"/>
  <c r="K131" i="65" s="1"/>
  <c r="K38" i="65" s="1"/>
  <c r="K39" i="65" s="1"/>
  <c r="K36" i="65"/>
  <c r="J126" i="65"/>
  <c r="J129" i="65" s="1"/>
  <c r="J131" i="65" s="1"/>
  <c r="J38" i="65" s="1"/>
  <c r="J39" i="65" s="1"/>
  <c r="J36" i="65"/>
  <c r="M126" i="65"/>
  <c r="M129" i="65" s="1"/>
  <c r="M131" i="65" s="1"/>
  <c r="M38" i="65" s="1"/>
  <c r="M39" i="65" s="1"/>
  <c r="M36" i="65"/>
  <c r="L126" i="65"/>
  <c r="L129" i="65" s="1"/>
  <c r="L131" i="65" s="1"/>
  <c r="L38" i="65" s="1"/>
  <c r="L39" i="65" s="1"/>
  <c r="L36" i="65"/>
  <c r="L37" i="65" s="1"/>
  <c r="J109" i="65"/>
  <c r="E11" i="65"/>
  <c r="J11" i="65"/>
  <c r="N39" i="65"/>
  <c r="D30" i="65"/>
  <c r="M14" i="65"/>
  <c r="N11" i="65"/>
  <c r="C14" i="65"/>
  <c r="C32" i="65" s="1"/>
  <c r="G126" i="65"/>
  <c r="G129" i="65" s="1"/>
  <c r="G131" i="65" s="1"/>
  <c r="G38" i="65" s="1"/>
  <c r="G39" i="65" s="1"/>
  <c r="G36" i="65"/>
  <c r="G37" i="65" s="1"/>
  <c r="G14" i="65"/>
  <c r="G29" i="65"/>
  <c r="I36" i="65"/>
  <c r="I41" i="65"/>
  <c r="I54" i="65" s="1"/>
  <c r="C126" i="65"/>
  <c r="C129" i="65" s="1"/>
  <c r="C131" i="65" s="1"/>
  <c r="C38" i="65" s="1"/>
  <c r="C39" i="65" s="1"/>
  <c r="C36" i="65"/>
  <c r="C37" i="65" s="1"/>
  <c r="E14" i="65"/>
  <c r="I20" i="65"/>
  <c r="F31" i="65"/>
  <c r="J31" i="65"/>
  <c r="K30" i="65"/>
  <c r="C31" i="65"/>
  <c r="H29" i="65"/>
  <c r="D15" i="65"/>
  <c r="D18" i="65" s="1"/>
  <c r="D21" i="65" s="1"/>
  <c r="L30" i="65"/>
  <c r="N14" i="65"/>
  <c r="J20" i="65"/>
  <c r="J22" i="65" s="1"/>
  <c r="D31" i="65"/>
  <c r="I14" i="65"/>
  <c r="E15" i="65"/>
  <c r="E18" i="65" s="1"/>
  <c r="E21" i="65" s="1"/>
  <c r="C109" i="65"/>
  <c r="M30" i="65"/>
  <c r="J14" i="65"/>
  <c r="E31" i="65"/>
  <c r="H11" i="65"/>
  <c r="F15" i="65"/>
  <c r="F18" i="65" s="1"/>
  <c r="F21" i="65" s="1"/>
  <c r="F22" i="65" s="1"/>
  <c r="N30" i="65"/>
  <c r="K14" i="65"/>
  <c r="K32" i="65" s="1"/>
  <c r="L14" i="65"/>
  <c r="L32" i="65" s="1"/>
  <c r="J37" i="65"/>
  <c r="J29" i="65"/>
  <c r="K37" i="65"/>
  <c r="K29" i="65"/>
  <c r="D20" i="65"/>
  <c r="L29" i="65"/>
  <c r="M37" i="65"/>
  <c r="N37" i="65"/>
  <c r="I37" i="65"/>
  <c r="H15" i="65"/>
  <c r="H18" i="65" s="1"/>
  <c r="H21" i="65" s="1"/>
  <c r="H30" i="65"/>
  <c r="I31" i="65"/>
  <c r="I11" i="65"/>
  <c r="N14" i="64"/>
  <c r="M20" i="64"/>
  <c r="N36" i="64"/>
  <c r="N37" i="64" s="1"/>
  <c r="N139" i="64"/>
  <c r="N141" i="64" s="1"/>
  <c r="N38" i="64" s="1"/>
  <c r="N39" i="64" s="1"/>
  <c r="M36" i="64"/>
  <c r="M37" i="64" s="1"/>
  <c r="M139" i="64"/>
  <c r="M141" i="64" s="1"/>
  <c r="M38" i="64" s="1"/>
  <c r="M41" i="64" s="1"/>
  <c r="M60" i="64" s="1"/>
  <c r="L36" i="64"/>
  <c r="L37" i="64" s="1"/>
  <c r="L139" i="64"/>
  <c r="L141" i="64" s="1"/>
  <c r="L38" i="64" s="1"/>
  <c r="L39" i="64" s="1"/>
  <c r="K36" i="64"/>
  <c r="K37" i="64" s="1"/>
  <c r="K139" i="64"/>
  <c r="K141" i="64" s="1"/>
  <c r="K38" i="64" s="1"/>
  <c r="K39" i="64" s="1"/>
  <c r="J36" i="64"/>
  <c r="J37" i="64" s="1"/>
  <c r="J139" i="64"/>
  <c r="J141" i="64" s="1"/>
  <c r="J38" i="64" s="1"/>
  <c r="J39" i="64" s="1"/>
  <c r="I14" i="64"/>
  <c r="D20" i="64"/>
  <c r="D22" i="64" s="1"/>
  <c r="J22" i="64"/>
  <c r="C14" i="64"/>
  <c r="I36" i="64"/>
  <c r="I37" i="64" s="1"/>
  <c r="I139" i="64"/>
  <c r="I141" i="64" s="1"/>
  <c r="I38" i="64" s="1"/>
  <c r="I41" i="64" s="1"/>
  <c r="K30" i="64"/>
  <c r="D14" i="64"/>
  <c r="L30" i="64"/>
  <c r="K14" i="64"/>
  <c r="K32" i="64" s="1"/>
  <c r="J11" i="64"/>
  <c r="G14" i="64"/>
  <c r="E11" i="64"/>
  <c r="C139" i="64"/>
  <c r="C141" i="64" s="1"/>
  <c r="C38" i="64" s="1"/>
  <c r="C36" i="64"/>
  <c r="C37" i="64" s="1"/>
  <c r="M30" i="64"/>
  <c r="J14" i="64"/>
  <c r="K20" i="64"/>
  <c r="N30" i="64"/>
  <c r="L11" i="64"/>
  <c r="C31" i="64"/>
  <c r="F11" i="64"/>
  <c r="F32" i="64" s="1"/>
  <c r="M11" i="64"/>
  <c r="M14" i="64"/>
  <c r="K29" i="64"/>
  <c r="D31" i="64"/>
  <c r="G11" i="64"/>
  <c r="C20" i="64"/>
  <c r="N11" i="64"/>
  <c r="L29" i="64"/>
  <c r="E31" i="64"/>
  <c r="K31" i="64"/>
  <c r="F31" i="64"/>
  <c r="M31" i="64"/>
  <c r="G29" i="64"/>
  <c r="G31" i="64"/>
  <c r="E14" i="64"/>
  <c r="E32" i="64" s="1"/>
  <c r="J31" i="64"/>
  <c r="L31" i="64"/>
  <c r="L14" i="64"/>
  <c r="H15" i="64"/>
  <c r="H18" i="64" s="1"/>
  <c r="H21" i="64" s="1"/>
  <c r="H14" i="64"/>
  <c r="H29" i="64"/>
  <c r="H31" i="64"/>
  <c r="I30" i="64"/>
  <c r="H11" i="64"/>
  <c r="I11" i="64"/>
  <c r="I29" i="64"/>
  <c r="I31" i="64"/>
  <c r="E15" i="63"/>
  <c r="E18" i="63" s="1"/>
  <c r="E19" i="63" s="1"/>
  <c r="D15" i="63"/>
  <c r="D18" i="63" s="1"/>
  <c r="D22" i="63" s="1"/>
  <c r="D23" i="63" s="1"/>
  <c r="D21" i="63"/>
  <c r="C15" i="63"/>
  <c r="C18" i="63" s="1"/>
  <c r="C19" i="63" s="1"/>
  <c r="C42" i="63"/>
  <c r="C53" i="63" s="1"/>
  <c r="E42" i="63"/>
  <c r="E53" i="63" s="1"/>
  <c r="D42" i="63"/>
  <c r="D53" i="63" s="1"/>
  <c r="F42" i="63"/>
  <c r="F53" i="63" s="1"/>
  <c r="G42" i="63"/>
  <c r="G53" i="63" s="1"/>
  <c r="H42" i="63"/>
  <c r="H53" i="63" s="1"/>
  <c r="I42" i="63"/>
  <c r="I53" i="63" s="1"/>
  <c r="J42" i="63"/>
  <c r="J53" i="63" s="1"/>
  <c r="K42" i="63"/>
  <c r="K53" i="63" s="1"/>
  <c r="L42" i="63"/>
  <c r="L53" i="63" s="1"/>
  <c r="M42" i="63"/>
  <c r="M53" i="63" s="1"/>
  <c r="N42" i="63"/>
  <c r="N53" i="63" s="1"/>
  <c r="E32" i="63"/>
  <c r="M11" i="63"/>
  <c r="C132" i="63"/>
  <c r="C134" i="63" s="1"/>
  <c r="C39" i="63" s="1"/>
  <c r="G14" i="63"/>
  <c r="D11" i="63"/>
  <c r="C21" i="63"/>
  <c r="J32" i="63"/>
  <c r="J11" i="63"/>
  <c r="K11" i="63"/>
  <c r="D14" i="63"/>
  <c r="N11" i="63"/>
  <c r="M31" i="63"/>
  <c r="N30" i="63"/>
  <c r="H15" i="63"/>
  <c r="H18" i="63" s="1"/>
  <c r="M37" i="63"/>
  <c r="M38" i="63" s="1"/>
  <c r="M129" i="63"/>
  <c r="L37" i="63"/>
  <c r="L38" i="63" s="1"/>
  <c r="L129" i="63"/>
  <c r="K37" i="63"/>
  <c r="K38" i="63" s="1"/>
  <c r="K129" i="63"/>
  <c r="N37" i="63"/>
  <c r="N38" i="63" s="1"/>
  <c r="N129" i="63"/>
  <c r="F32" i="63"/>
  <c r="C37" i="63"/>
  <c r="C38" i="63" s="1"/>
  <c r="G30" i="63"/>
  <c r="C14" i="63"/>
  <c r="E21" i="63"/>
  <c r="J14" i="63"/>
  <c r="I21" i="63"/>
  <c r="J129" i="63"/>
  <c r="F14" i="63"/>
  <c r="N14" i="63"/>
  <c r="N31" i="63"/>
  <c r="F15" i="63"/>
  <c r="F18" i="63" s="1"/>
  <c r="K31" i="63"/>
  <c r="M32" i="63"/>
  <c r="E11" i="63"/>
  <c r="C32" i="63"/>
  <c r="F11" i="63"/>
  <c r="J31" i="63"/>
  <c r="L11" i="63"/>
  <c r="N32" i="63"/>
  <c r="D32" i="63"/>
  <c r="E14" i="63"/>
  <c r="L31" i="63"/>
  <c r="I37" i="63"/>
  <c r="I38" i="63" s="1"/>
  <c r="I134" i="63"/>
  <c r="I39" i="63" s="1"/>
  <c r="I44" i="63" s="1"/>
  <c r="H14" i="63"/>
  <c r="I14" i="63"/>
  <c r="I33" i="63" s="1"/>
  <c r="H30" i="63"/>
  <c r="I11" i="63"/>
  <c r="H11" i="63"/>
  <c r="I32" i="63"/>
  <c r="M111" i="63"/>
  <c r="N22" i="63"/>
  <c r="N23" i="63" s="1"/>
  <c r="M22" i="63"/>
  <c r="M23" i="63" s="1"/>
  <c r="M14" i="63"/>
  <c r="L22" i="63"/>
  <c r="L23" i="63" s="1"/>
  <c r="L30" i="63"/>
  <c r="L14" i="63"/>
  <c r="K22" i="63"/>
  <c r="K23" i="63" s="1"/>
  <c r="K30" i="63"/>
  <c r="K14" i="63"/>
  <c r="J22" i="63"/>
  <c r="J23" i="63" s="1"/>
  <c r="N41" i="59"/>
  <c r="J41" i="59"/>
  <c r="J23" i="59" s="1"/>
  <c r="J25" i="59" s="1"/>
  <c r="J26" i="59" s="1"/>
  <c r="K15" i="59"/>
  <c r="M41" i="59"/>
  <c r="M54" i="59" s="1"/>
  <c r="L41" i="59"/>
  <c r="N21" i="59"/>
  <c r="N29" i="59"/>
  <c r="N14" i="59"/>
  <c r="N32" i="59" s="1"/>
  <c r="M21" i="59"/>
  <c r="M22" i="59" s="1"/>
  <c r="M29" i="59"/>
  <c r="M14" i="59"/>
  <c r="L21" i="59"/>
  <c r="L22" i="59" s="1"/>
  <c r="L29" i="59"/>
  <c r="L14" i="59"/>
  <c r="L32" i="59" s="1"/>
  <c r="L54" i="59"/>
  <c r="K29" i="59"/>
  <c r="K14" i="59"/>
  <c r="K32" i="59" s="1"/>
  <c r="J21" i="59"/>
  <c r="J22" i="59" s="1"/>
  <c r="J24" i="59"/>
  <c r="J27" i="59" s="1"/>
  <c r="J29" i="59"/>
  <c r="J14" i="59"/>
  <c r="J32" i="59" s="1"/>
  <c r="N11" i="53"/>
  <c r="N32" i="53" s="1"/>
  <c r="L41" i="53"/>
  <c r="N37" i="53"/>
  <c r="K41" i="53"/>
  <c r="M37" i="53"/>
  <c r="K37" i="53"/>
  <c r="L32" i="53"/>
  <c r="J11" i="53"/>
  <c r="M31" i="53"/>
  <c r="J14" i="53"/>
  <c r="J32" i="53" s="1"/>
  <c r="M11" i="53"/>
  <c r="M30" i="53"/>
  <c r="K31" i="53"/>
  <c r="N31" i="53"/>
  <c r="K11" i="53"/>
  <c r="K30" i="53"/>
  <c r="L31" i="53"/>
  <c r="L21" i="64"/>
  <c r="L22" i="64" s="1"/>
  <c r="M21" i="64"/>
  <c r="M22" i="64" s="1"/>
  <c r="N21" i="64"/>
  <c r="K21" i="64"/>
  <c r="N20" i="64"/>
  <c r="J29" i="64"/>
  <c r="N31" i="64"/>
  <c r="M29" i="64"/>
  <c r="N29" i="64"/>
  <c r="J30" i="64"/>
  <c r="M21" i="65"/>
  <c r="M22" i="65" s="1"/>
  <c r="N21" i="65"/>
  <c r="M32" i="65"/>
  <c r="K21" i="65"/>
  <c r="L21" i="65"/>
  <c r="L22" i="65" s="1"/>
  <c r="N20" i="65"/>
  <c r="N31" i="65"/>
  <c r="M29" i="65"/>
  <c r="N29" i="65"/>
  <c r="J30" i="65"/>
  <c r="N41" i="65"/>
  <c r="N21" i="24"/>
  <c r="N23" i="24"/>
  <c r="N25" i="24" s="1"/>
  <c r="N26" i="24" s="1"/>
  <c r="N24" i="24"/>
  <c r="N27" i="24" s="1"/>
  <c r="N22" i="24"/>
  <c r="N39" i="24"/>
  <c r="N29" i="24"/>
  <c r="N14" i="24"/>
  <c r="N32" i="24" s="1"/>
  <c r="N50" i="24"/>
  <c r="N52" i="24" s="1"/>
  <c r="M21" i="24"/>
  <c r="M23" i="24"/>
  <c r="M25" i="24" s="1"/>
  <c r="M26" i="24" s="1"/>
  <c r="M24" i="24"/>
  <c r="M27" i="24" s="1"/>
  <c r="M22" i="24"/>
  <c r="M39" i="24"/>
  <c r="M29" i="24"/>
  <c r="M14" i="24"/>
  <c r="M32" i="24" s="1"/>
  <c r="M50" i="24"/>
  <c r="M52" i="24" s="1"/>
  <c r="L21" i="24"/>
  <c r="L23" i="24"/>
  <c r="L25" i="24" s="1"/>
  <c r="L26" i="24" s="1"/>
  <c r="L24" i="24"/>
  <c r="L27" i="24" s="1"/>
  <c r="L22" i="24"/>
  <c r="L39" i="24"/>
  <c r="L29" i="24"/>
  <c r="L50" i="24"/>
  <c r="L52" i="24" s="1"/>
  <c r="K21" i="24"/>
  <c r="K23" i="24"/>
  <c r="K25" i="24" s="1"/>
  <c r="K26" i="24" s="1"/>
  <c r="K24" i="24"/>
  <c r="K27" i="24" s="1"/>
  <c r="K22" i="24"/>
  <c r="K39" i="24"/>
  <c r="K29" i="24"/>
  <c r="K14" i="24"/>
  <c r="K32" i="24" s="1"/>
  <c r="K50" i="24"/>
  <c r="K52" i="24" s="1"/>
  <c r="J21" i="24"/>
  <c r="J23" i="24"/>
  <c r="J25" i="24" s="1"/>
  <c r="J26" i="24" s="1"/>
  <c r="J24" i="24"/>
  <c r="J27" i="24" s="1"/>
  <c r="J22" i="24"/>
  <c r="J39" i="24"/>
  <c r="J29" i="24"/>
  <c r="J14" i="24"/>
  <c r="J32" i="24" s="1"/>
  <c r="J50" i="24"/>
  <c r="J52" i="24" s="1"/>
  <c r="N21" i="53"/>
  <c r="N22" i="53" s="1"/>
  <c r="N24" i="53"/>
  <c r="N27" i="53" s="1"/>
  <c r="N23" i="53"/>
  <c r="N25" i="53" s="1"/>
  <c r="N26" i="53" s="1"/>
  <c r="N39" i="53"/>
  <c r="N29" i="53"/>
  <c r="N30" i="53"/>
  <c r="N54" i="53"/>
  <c r="M21" i="53"/>
  <c r="M24" i="53"/>
  <c r="M27" i="53" s="1"/>
  <c r="M23" i="53"/>
  <c r="M25" i="53" s="1"/>
  <c r="M26" i="53" s="1"/>
  <c r="M39" i="53"/>
  <c r="M14" i="53"/>
  <c r="M32" i="53" s="1"/>
  <c r="M54" i="53"/>
  <c r="L21" i="53"/>
  <c r="L22" i="53" s="1"/>
  <c r="L24" i="53"/>
  <c r="L27" i="53" s="1"/>
  <c r="L23" i="53"/>
  <c r="L25" i="53" s="1"/>
  <c r="L26" i="53" s="1"/>
  <c r="L39" i="53"/>
  <c r="L29" i="53"/>
  <c r="L30" i="53"/>
  <c r="L54" i="53"/>
  <c r="K21" i="53"/>
  <c r="K22" i="53" s="1"/>
  <c r="K24" i="53"/>
  <c r="K27" i="53" s="1"/>
  <c r="K23" i="53"/>
  <c r="K25" i="53" s="1"/>
  <c r="K26" i="53" s="1"/>
  <c r="K39" i="53"/>
  <c r="K29" i="53"/>
  <c r="K14" i="53"/>
  <c r="K54" i="53"/>
  <c r="J21" i="53"/>
  <c r="J24" i="53"/>
  <c r="J27" i="53" s="1"/>
  <c r="J23" i="53"/>
  <c r="J25" i="53" s="1"/>
  <c r="J26" i="53" s="1"/>
  <c r="J39" i="53"/>
  <c r="J29" i="53"/>
  <c r="J30" i="53"/>
  <c r="J54" i="53"/>
  <c r="N30" i="58"/>
  <c r="N19" i="58"/>
  <c r="N21" i="58" s="1"/>
  <c r="N24" i="58"/>
  <c r="N25" i="58" s="1"/>
  <c r="N28" i="58"/>
  <c r="N10" i="58"/>
  <c r="N31" i="58" s="1"/>
  <c r="M19" i="58"/>
  <c r="M21" i="58" s="1"/>
  <c r="M24" i="58"/>
  <c r="M25" i="58" s="1"/>
  <c r="M28" i="58"/>
  <c r="M10" i="58"/>
  <c r="M31" i="58" s="1"/>
  <c r="L30" i="58"/>
  <c r="L24" i="58"/>
  <c r="L25" i="58" s="1"/>
  <c r="L42" i="58"/>
  <c r="L56" i="58" s="1"/>
  <c r="L28" i="58"/>
  <c r="L10" i="58"/>
  <c r="K26" i="58"/>
  <c r="K24" i="58"/>
  <c r="K25" i="58" s="1"/>
  <c r="K30" i="58"/>
  <c r="K19" i="58"/>
  <c r="K21" i="58" s="1"/>
  <c r="K28" i="58"/>
  <c r="K10" i="58"/>
  <c r="K31" i="58" s="1"/>
  <c r="J24" i="58"/>
  <c r="J25" i="58" s="1"/>
  <c r="J10" i="58"/>
  <c r="N27" i="56"/>
  <c r="N28" i="56" s="1"/>
  <c r="N22" i="56"/>
  <c r="N23" i="56"/>
  <c r="N15" i="56"/>
  <c r="N34" i="56" s="1"/>
  <c r="N31" i="56"/>
  <c r="N32" i="56"/>
  <c r="N58" i="56"/>
  <c r="M23" i="56"/>
  <c r="M24" i="56" s="1"/>
  <c r="M45" i="56"/>
  <c r="M15" i="56"/>
  <c r="M34" i="56" s="1"/>
  <c r="M31" i="56"/>
  <c r="L22" i="56"/>
  <c r="L23" i="56"/>
  <c r="L15" i="56"/>
  <c r="L34" i="56" s="1"/>
  <c r="L31" i="56"/>
  <c r="L32" i="56"/>
  <c r="K23" i="56"/>
  <c r="K22" i="56"/>
  <c r="K45" i="56"/>
  <c r="K15" i="56"/>
  <c r="K31" i="56"/>
  <c r="K32" i="56"/>
  <c r="J22" i="56"/>
  <c r="J58" i="56"/>
  <c r="J23" i="56"/>
  <c r="J31" i="56"/>
  <c r="J32" i="56"/>
  <c r="L21" i="25"/>
  <c r="K15" i="25"/>
  <c r="M10" i="25"/>
  <c r="K37" i="25"/>
  <c r="K38" i="25" s="1"/>
  <c r="N15" i="25"/>
  <c r="J37" i="25"/>
  <c r="J38" i="25" s="1"/>
  <c r="J21" i="25"/>
  <c r="J31" i="25"/>
  <c r="K30" i="25"/>
  <c r="M21" i="25"/>
  <c r="M37" i="25"/>
  <c r="M38" i="25" s="1"/>
  <c r="J32" i="25"/>
  <c r="M31" i="25"/>
  <c r="L37" i="25"/>
  <c r="L38" i="25" s="1"/>
  <c r="M32" i="25"/>
  <c r="N30" i="25"/>
  <c r="N122" i="25"/>
  <c r="N37" i="25" s="1"/>
  <c r="N38" i="25" s="1"/>
  <c r="F36" i="65"/>
  <c r="F37" i="65" s="1"/>
  <c r="F126" i="65"/>
  <c r="I21" i="65"/>
  <c r="I22" i="65" s="1"/>
  <c r="H36" i="65"/>
  <c r="H37" i="65" s="1"/>
  <c r="H126" i="65"/>
  <c r="H129" i="65" s="1"/>
  <c r="H131" i="65" s="1"/>
  <c r="H38" i="65" s="1"/>
  <c r="C21" i="65"/>
  <c r="D36" i="65"/>
  <c r="D37" i="65" s="1"/>
  <c r="D126" i="65"/>
  <c r="D129" i="65" s="1"/>
  <c r="D131" i="65" s="1"/>
  <c r="D38" i="65" s="1"/>
  <c r="E36" i="65"/>
  <c r="E37" i="65" s="1"/>
  <c r="E126" i="65"/>
  <c r="E129" i="65" s="1"/>
  <c r="E131" i="65" s="1"/>
  <c r="E38" i="65" s="1"/>
  <c r="G15" i="65"/>
  <c r="G18" i="65" s="1"/>
  <c r="E20" i="65"/>
  <c r="I29" i="65"/>
  <c r="G31" i="65"/>
  <c r="C30" i="65"/>
  <c r="H31" i="65"/>
  <c r="H20" i="65"/>
  <c r="H22" i="65" s="1"/>
  <c r="E30" i="65"/>
  <c r="F14" i="65"/>
  <c r="F32" i="65" s="1"/>
  <c r="F30" i="65"/>
  <c r="G30" i="65"/>
  <c r="H14" i="65"/>
  <c r="C29" i="65"/>
  <c r="D29" i="65"/>
  <c r="I30" i="65"/>
  <c r="G11" i="65"/>
  <c r="E29" i="65"/>
  <c r="I39" i="65"/>
  <c r="F29" i="65"/>
  <c r="C20" i="65"/>
  <c r="L25" i="54"/>
  <c r="L26" i="54" s="1"/>
  <c r="N21" i="54"/>
  <c r="N22" i="54" s="1"/>
  <c r="N27" i="54"/>
  <c r="N29" i="54"/>
  <c r="N14" i="54"/>
  <c r="N32" i="54" s="1"/>
  <c r="N54" i="54"/>
  <c r="M32" i="54"/>
  <c r="M21" i="54"/>
  <c r="M22" i="54" s="1"/>
  <c r="M29" i="54"/>
  <c r="L21" i="54"/>
  <c r="L29" i="54"/>
  <c r="L14" i="54"/>
  <c r="L32" i="54" s="1"/>
  <c r="L54" i="54"/>
  <c r="K29" i="54"/>
  <c r="K14" i="54"/>
  <c r="K32" i="54" s="1"/>
  <c r="J21" i="54"/>
  <c r="J30" i="54"/>
  <c r="K27" i="52"/>
  <c r="K22" i="52"/>
  <c r="N21" i="52"/>
  <c r="N27" i="52"/>
  <c r="N29" i="52"/>
  <c r="N14" i="52"/>
  <c r="N32" i="52" s="1"/>
  <c r="N30" i="52"/>
  <c r="N54" i="52"/>
  <c r="N23" i="52"/>
  <c r="N25" i="52" s="1"/>
  <c r="N26" i="52" s="1"/>
  <c r="M21" i="52"/>
  <c r="L21" i="52"/>
  <c r="L14" i="52"/>
  <c r="L32" i="52" s="1"/>
  <c r="L30" i="52"/>
  <c r="L45" i="52"/>
  <c r="L54" i="52"/>
  <c r="K29" i="52"/>
  <c r="K14" i="52"/>
  <c r="K32" i="52" s="1"/>
  <c r="K30" i="52"/>
  <c r="K23" i="52"/>
  <c r="K25" i="52" s="1"/>
  <c r="K26" i="52" s="1"/>
  <c r="J21" i="52"/>
  <c r="J32" i="52"/>
  <c r="J41" i="52"/>
  <c r="J29" i="52"/>
  <c r="J44" i="52"/>
  <c r="J52" i="52" s="1"/>
  <c r="J39" i="51"/>
  <c r="M45" i="51"/>
  <c r="M41" i="51"/>
  <c r="L45" i="51"/>
  <c r="L58" i="51" s="1"/>
  <c r="L41" i="51"/>
  <c r="J45" i="51"/>
  <c r="J41" i="51"/>
  <c r="N23" i="51"/>
  <c r="N24" i="51" s="1"/>
  <c r="N15" i="51"/>
  <c r="N34" i="51" s="1"/>
  <c r="N31" i="51"/>
  <c r="N32" i="51"/>
  <c r="N58" i="51"/>
  <c r="M23" i="51"/>
  <c r="M24" i="51" s="1"/>
  <c r="M15" i="51"/>
  <c r="M34" i="51" s="1"/>
  <c r="M32" i="51"/>
  <c r="L23" i="51"/>
  <c r="L24" i="51" s="1"/>
  <c r="L15" i="51"/>
  <c r="L34" i="51" s="1"/>
  <c r="L31" i="51"/>
  <c r="L32" i="51"/>
  <c r="K23" i="51"/>
  <c r="K24" i="51" s="1"/>
  <c r="K45" i="51"/>
  <c r="K15" i="51"/>
  <c r="K34" i="51" s="1"/>
  <c r="K31" i="51"/>
  <c r="J23" i="51"/>
  <c r="J24" i="51" s="1"/>
  <c r="J15" i="51"/>
  <c r="J34" i="51" s="1"/>
  <c r="J31" i="51"/>
  <c r="J32" i="51"/>
  <c r="N21" i="50"/>
  <c r="N29" i="50"/>
  <c r="N14" i="50"/>
  <c r="N32" i="50" s="1"/>
  <c r="M21" i="50"/>
  <c r="M22" i="50" s="1"/>
  <c r="M27" i="50"/>
  <c r="M29" i="50"/>
  <c r="M14" i="50"/>
  <c r="M32" i="50" s="1"/>
  <c r="M54" i="50"/>
  <c r="L29" i="50"/>
  <c r="L14" i="50"/>
  <c r="L32" i="50" s="1"/>
  <c r="K29" i="50"/>
  <c r="K14" i="50"/>
  <c r="K32" i="50" s="1"/>
  <c r="K15" i="50"/>
  <c r="J21" i="50"/>
  <c r="J22" i="50" s="1"/>
  <c r="J29" i="50"/>
  <c r="J14" i="50"/>
  <c r="J32" i="50" s="1"/>
  <c r="N21" i="49"/>
  <c r="N39" i="49"/>
  <c r="N41" i="49"/>
  <c r="N14" i="49"/>
  <c r="N32" i="49" s="1"/>
  <c r="N30" i="49"/>
  <c r="N45" i="49"/>
  <c r="M21" i="49"/>
  <c r="M22" i="49" s="1"/>
  <c r="M39" i="49"/>
  <c r="M41" i="49"/>
  <c r="M29" i="49"/>
  <c r="M14" i="49"/>
  <c r="M32" i="49" s="1"/>
  <c r="M30" i="49"/>
  <c r="L21" i="49"/>
  <c r="L22" i="49" s="1"/>
  <c r="L39" i="49"/>
  <c r="L41" i="49"/>
  <c r="L14" i="49"/>
  <c r="L30" i="49"/>
  <c r="K39" i="49"/>
  <c r="J39" i="49"/>
  <c r="J29" i="49"/>
  <c r="J14" i="49"/>
  <c r="J32" i="49" s="1"/>
  <c r="J30" i="49"/>
  <c r="L42" i="25"/>
  <c r="L25" i="25" s="1"/>
  <c r="L28" i="25" s="1"/>
  <c r="N32" i="25"/>
  <c r="J42" i="25"/>
  <c r="J24" i="25" s="1"/>
  <c r="J26" i="25" s="1"/>
  <c r="J27" i="25" s="1"/>
  <c r="K42" i="25"/>
  <c r="K56" i="25" s="1"/>
  <c r="M42" i="25"/>
  <c r="M56" i="25" s="1"/>
  <c r="N42" i="25"/>
  <c r="J10" i="25"/>
  <c r="K10" i="25"/>
  <c r="M12" i="25"/>
  <c r="M33" i="25" s="1"/>
  <c r="N10" i="25"/>
  <c r="N22" i="25"/>
  <c r="N23" i="25" s="1"/>
  <c r="N40" i="25"/>
  <c r="N12" i="25"/>
  <c r="M22" i="25"/>
  <c r="M40" i="25"/>
  <c r="L31" i="25"/>
  <c r="L32" i="25"/>
  <c r="L22" i="25"/>
  <c r="L10" i="25"/>
  <c r="L12" i="25"/>
  <c r="K22" i="25"/>
  <c r="K23" i="25" s="1"/>
  <c r="K40" i="25"/>
  <c r="K12" i="25"/>
  <c r="K33" i="25" s="1"/>
  <c r="J22" i="25"/>
  <c r="J40" i="25"/>
  <c r="J12" i="25"/>
  <c r="J33" i="25" s="1"/>
  <c r="N21" i="26"/>
  <c r="N22" i="26" s="1"/>
  <c r="N39" i="26"/>
  <c r="N11" i="26"/>
  <c r="N32" i="26" s="1"/>
  <c r="N29" i="26"/>
  <c r="N30" i="26"/>
  <c r="M21" i="26"/>
  <c r="M23" i="26"/>
  <c r="M25" i="26" s="1"/>
  <c r="M26" i="26" s="1"/>
  <c r="M24" i="26"/>
  <c r="M27" i="26" s="1"/>
  <c r="M39" i="26"/>
  <c r="M11" i="26"/>
  <c r="M32" i="26" s="1"/>
  <c r="M29" i="26"/>
  <c r="M30" i="26"/>
  <c r="M54" i="26"/>
  <c r="L21" i="26"/>
  <c r="L22" i="26" s="1"/>
  <c r="L23" i="26"/>
  <c r="L25" i="26" s="1"/>
  <c r="L26" i="26" s="1"/>
  <c r="L24" i="26"/>
  <c r="L27" i="26" s="1"/>
  <c r="L39" i="26"/>
  <c r="L11" i="26"/>
  <c r="L32" i="26" s="1"/>
  <c r="L29" i="26"/>
  <c r="L30" i="26"/>
  <c r="L54" i="26"/>
  <c r="K21" i="26"/>
  <c r="K22" i="26" s="1"/>
  <c r="K24" i="26"/>
  <c r="K27" i="26" s="1"/>
  <c r="K23" i="26"/>
  <c r="K25" i="26" s="1"/>
  <c r="K26" i="26" s="1"/>
  <c r="K39" i="26"/>
  <c r="K11" i="26"/>
  <c r="K32" i="26" s="1"/>
  <c r="K29" i="26"/>
  <c r="K30" i="26"/>
  <c r="K54" i="26"/>
  <c r="J21" i="26"/>
  <c r="J22" i="26" s="1"/>
  <c r="J24" i="26"/>
  <c r="J27" i="26" s="1"/>
  <c r="J23" i="26"/>
  <c r="J25" i="26" s="1"/>
  <c r="J26" i="26" s="1"/>
  <c r="J39" i="26"/>
  <c r="J11" i="26"/>
  <c r="J32" i="26" s="1"/>
  <c r="J29" i="26"/>
  <c r="J30" i="26"/>
  <c r="M34" i="41"/>
  <c r="L17" i="41"/>
  <c r="L20" i="41" s="1"/>
  <c r="L23" i="41" s="1"/>
  <c r="L24" i="41" s="1"/>
  <c r="J43" i="41"/>
  <c r="M31" i="41"/>
  <c r="M32" i="41"/>
  <c r="N31" i="41"/>
  <c r="N32" i="41"/>
  <c r="K17" i="41"/>
  <c r="K20" i="41" s="1"/>
  <c r="K23" i="41" s="1"/>
  <c r="J31" i="41"/>
  <c r="M39" i="41"/>
  <c r="K22" i="41"/>
  <c r="K31" i="41"/>
  <c r="J39" i="41"/>
  <c r="N43" i="41"/>
  <c r="N26" i="41" s="1"/>
  <c r="N29" i="41" s="1"/>
  <c r="N23" i="41"/>
  <c r="N41" i="41"/>
  <c r="M23" i="41"/>
  <c r="M24" i="41" s="1"/>
  <c r="M60" i="41"/>
  <c r="M41" i="41"/>
  <c r="L60" i="41"/>
  <c r="L41" i="41"/>
  <c r="K41" i="41"/>
  <c r="J25" i="41"/>
  <c r="J27" i="41" s="1"/>
  <c r="J23" i="41"/>
  <c r="J24" i="41" s="1"/>
  <c r="J60" i="41"/>
  <c r="J41" i="41"/>
  <c r="K23" i="38"/>
  <c r="K22" i="38"/>
  <c r="K34" i="38"/>
  <c r="K31" i="38"/>
  <c r="K32" i="38"/>
  <c r="K41" i="38"/>
  <c r="J31" i="38"/>
  <c r="F42" i="13"/>
  <c r="N30" i="13"/>
  <c r="E42" i="13"/>
  <c r="M30" i="13"/>
  <c r="D42" i="13"/>
  <c r="L30" i="13"/>
  <c r="K30" i="13"/>
  <c r="N42" i="13"/>
  <c r="J30" i="13"/>
  <c r="M42" i="13"/>
  <c r="J12" i="13"/>
  <c r="K33" i="13"/>
  <c r="J34" i="13"/>
  <c r="L34" i="13"/>
  <c r="K12" i="13"/>
  <c r="L33" i="13"/>
  <c r="N12" i="13"/>
  <c r="N32" i="13"/>
  <c r="M12" i="13"/>
  <c r="M35" i="13" s="1"/>
  <c r="M32" i="13"/>
  <c r="M33" i="13"/>
  <c r="L15" i="13"/>
  <c r="L35" i="13" s="1"/>
  <c r="L32" i="13"/>
  <c r="K15" i="13"/>
  <c r="K32" i="13"/>
  <c r="J15" i="13"/>
  <c r="J32" i="13"/>
  <c r="N21" i="40"/>
  <c r="N22" i="40" s="1"/>
  <c r="N41" i="40"/>
  <c r="N54" i="40" s="1"/>
  <c r="N29" i="40"/>
  <c r="N44" i="40"/>
  <c r="N52" i="40" s="1"/>
  <c r="N31" i="40"/>
  <c r="M21" i="40"/>
  <c r="M22" i="40" s="1"/>
  <c r="M23" i="40"/>
  <c r="M25" i="40" s="1"/>
  <c r="M26" i="40" s="1"/>
  <c r="L21" i="40"/>
  <c r="L22" i="40" s="1"/>
  <c r="L23" i="40"/>
  <c r="L25" i="40" s="1"/>
  <c r="L26" i="40" s="1"/>
  <c r="K21" i="40"/>
  <c r="K22" i="40" s="1"/>
  <c r="K23" i="40"/>
  <c r="K25" i="40" s="1"/>
  <c r="K26" i="40" s="1"/>
  <c r="J21" i="40"/>
  <c r="J22" i="40" s="1"/>
  <c r="J41" i="40"/>
  <c r="J54" i="40" s="1"/>
  <c r="J29" i="40"/>
  <c r="J45" i="40"/>
  <c r="N21" i="23"/>
  <c r="N22" i="23" s="1"/>
  <c r="N41" i="23"/>
  <c r="N39" i="23"/>
  <c r="N11" i="23"/>
  <c r="N32" i="23" s="1"/>
  <c r="M41" i="23"/>
  <c r="M39" i="23"/>
  <c r="M21" i="23"/>
  <c r="M22" i="23" s="1"/>
  <c r="M11" i="23"/>
  <c r="M32" i="23" s="1"/>
  <c r="L41" i="23"/>
  <c r="L39" i="23"/>
  <c r="L21" i="23"/>
  <c r="L22" i="23" s="1"/>
  <c r="K21" i="23"/>
  <c r="K22" i="23" s="1"/>
  <c r="K41" i="23"/>
  <c r="K39" i="23"/>
  <c r="J21" i="23"/>
  <c r="J22" i="23" s="1"/>
  <c r="J41" i="23"/>
  <c r="J39" i="23"/>
  <c r="J27" i="11"/>
  <c r="J25" i="11"/>
  <c r="J26" i="11" s="1"/>
  <c r="J21" i="11"/>
  <c r="L27" i="11"/>
  <c r="L25" i="11"/>
  <c r="L26" i="11" s="1"/>
  <c r="L21" i="11"/>
  <c r="K27" i="11"/>
  <c r="K25" i="11"/>
  <c r="K26" i="11" s="1"/>
  <c r="K21" i="11"/>
  <c r="K22" i="11" s="1"/>
  <c r="M27" i="11"/>
  <c r="M25" i="11"/>
  <c r="M26" i="11" s="1"/>
  <c r="M21" i="11"/>
  <c r="N27" i="11"/>
  <c r="N25" i="11"/>
  <c r="N26" i="11" s="1"/>
  <c r="N21" i="11"/>
  <c r="N22" i="11" s="1"/>
  <c r="J22" i="11"/>
  <c r="L22" i="11"/>
  <c r="I131" i="11"/>
  <c r="I133" i="11" s="1"/>
  <c r="I38" i="11" s="1"/>
  <c r="I36" i="11"/>
  <c r="I37" i="11" s="1"/>
  <c r="I27" i="11"/>
  <c r="I25" i="11"/>
  <c r="I21" i="11"/>
  <c r="I22" i="11" s="1"/>
  <c r="I11" i="11"/>
  <c r="I32" i="11" s="1"/>
  <c r="I29" i="11"/>
  <c r="I31" i="11"/>
  <c r="J11" i="11"/>
  <c r="J29" i="11"/>
  <c r="J31" i="11"/>
  <c r="J37" i="11"/>
  <c r="J41" i="11"/>
  <c r="J60" i="11" s="1"/>
  <c r="K11" i="11"/>
  <c r="K32" i="11" s="1"/>
  <c r="K29" i="11"/>
  <c r="K31" i="11"/>
  <c r="K37" i="11"/>
  <c r="K41" i="11"/>
  <c r="K60" i="11" s="1"/>
  <c r="L11" i="11"/>
  <c r="L32" i="11" s="1"/>
  <c r="L29" i="11"/>
  <c r="L31" i="11"/>
  <c r="L37" i="11"/>
  <c r="L41" i="11"/>
  <c r="L60" i="11" s="1"/>
  <c r="M11" i="11"/>
  <c r="M32" i="11" s="1"/>
  <c r="M29" i="11"/>
  <c r="M31" i="11"/>
  <c r="M37" i="11"/>
  <c r="M41" i="11"/>
  <c r="M60" i="11" s="1"/>
  <c r="N11" i="11"/>
  <c r="N32" i="11" s="1"/>
  <c r="N29" i="11"/>
  <c r="N31" i="11"/>
  <c r="N37" i="11"/>
  <c r="N41" i="11"/>
  <c r="N60" i="11" s="1"/>
  <c r="N21" i="12"/>
  <c r="N22" i="12" s="1"/>
  <c r="N39" i="12"/>
  <c r="N25" i="12"/>
  <c r="N26" i="12" s="1"/>
  <c r="N11" i="12"/>
  <c r="N29" i="12"/>
  <c r="N30" i="12"/>
  <c r="M21" i="12"/>
  <c r="M39" i="12"/>
  <c r="M25" i="12"/>
  <c r="M26" i="12" s="1"/>
  <c r="M11" i="12"/>
  <c r="M32" i="12" s="1"/>
  <c r="M29" i="12"/>
  <c r="M30" i="12"/>
  <c r="L21" i="12"/>
  <c r="L22" i="12" s="1"/>
  <c r="L39" i="12"/>
  <c r="L25" i="12"/>
  <c r="L26" i="12" s="1"/>
  <c r="L11" i="12"/>
  <c r="L32" i="12" s="1"/>
  <c r="L29" i="12"/>
  <c r="L30" i="12"/>
  <c r="K21" i="12"/>
  <c r="K22" i="12" s="1"/>
  <c r="K39" i="12"/>
  <c r="K25" i="12"/>
  <c r="K26" i="12" s="1"/>
  <c r="K11" i="12"/>
  <c r="K32" i="12" s="1"/>
  <c r="K29" i="12"/>
  <c r="K30" i="12"/>
  <c r="J21" i="12"/>
  <c r="J22" i="12" s="1"/>
  <c r="J39" i="12"/>
  <c r="J25" i="12"/>
  <c r="J26" i="12" s="1"/>
  <c r="J11" i="12"/>
  <c r="J32" i="12" s="1"/>
  <c r="J29" i="12"/>
  <c r="J30" i="12"/>
  <c r="I27" i="16"/>
  <c r="I25" i="16"/>
  <c r="I26" i="16" s="1"/>
  <c r="I21" i="16"/>
  <c r="I22" i="16" s="1"/>
  <c r="J27" i="16"/>
  <c r="J25" i="16"/>
  <c r="J26" i="16" s="1"/>
  <c r="J21" i="16"/>
  <c r="K27" i="16"/>
  <c r="K25" i="16"/>
  <c r="K26" i="16" s="1"/>
  <c r="K21" i="16"/>
  <c r="K22" i="16" s="1"/>
  <c r="L27" i="16"/>
  <c r="L25" i="16"/>
  <c r="L26" i="16" s="1"/>
  <c r="L21" i="16"/>
  <c r="L22" i="16" s="1"/>
  <c r="M27" i="16"/>
  <c r="M25" i="16"/>
  <c r="M26" i="16" s="1"/>
  <c r="M21" i="16"/>
  <c r="M22" i="16" s="1"/>
  <c r="N27" i="16"/>
  <c r="N25" i="16"/>
  <c r="N26" i="16" s="1"/>
  <c r="N21" i="16"/>
  <c r="N22" i="16" s="1"/>
  <c r="I135" i="16"/>
  <c r="I137" i="16" s="1"/>
  <c r="I38" i="16" s="1"/>
  <c r="I36" i="16"/>
  <c r="I37" i="16" s="1"/>
  <c r="I11" i="16"/>
  <c r="I32" i="16" s="1"/>
  <c r="I29" i="16"/>
  <c r="I31" i="16"/>
  <c r="J11" i="16"/>
  <c r="J32" i="16" s="1"/>
  <c r="J31" i="16"/>
  <c r="J37" i="16"/>
  <c r="J41" i="16"/>
  <c r="J60" i="16" s="1"/>
  <c r="K11" i="16"/>
  <c r="K32" i="16" s="1"/>
  <c r="K29" i="16"/>
  <c r="K31" i="16"/>
  <c r="K37" i="16"/>
  <c r="K41" i="16"/>
  <c r="K60" i="16" s="1"/>
  <c r="L11" i="16"/>
  <c r="L32" i="16" s="1"/>
  <c r="L29" i="16"/>
  <c r="L31" i="16"/>
  <c r="L37" i="16"/>
  <c r="L41" i="16"/>
  <c r="L60" i="16" s="1"/>
  <c r="M11" i="16"/>
  <c r="M32" i="16" s="1"/>
  <c r="M29" i="16"/>
  <c r="M31" i="16"/>
  <c r="M37" i="16"/>
  <c r="M41" i="16"/>
  <c r="M60" i="16" s="1"/>
  <c r="N11" i="16"/>
  <c r="N32" i="16" s="1"/>
  <c r="N29" i="16"/>
  <c r="N31" i="16"/>
  <c r="N37" i="16"/>
  <c r="N41" i="16"/>
  <c r="N60" i="16" s="1"/>
  <c r="N27" i="15"/>
  <c r="N25" i="15"/>
  <c r="N26" i="15" s="1"/>
  <c r="N21" i="15"/>
  <c r="N22" i="15" s="1"/>
  <c r="N11" i="15"/>
  <c r="N32" i="15" s="1"/>
  <c r="N29" i="15"/>
  <c r="N30" i="15"/>
  <c r="M27" i="15"/>
  <c r="M25" i="15"/>
  <c r="M26" i="15" s="1"/>
  <c r="M21" i="15"/>
  <c r="M22" i="15" s="1"/>
  <c r="M39" i="15"/>
  <c r="M11" i="15"/>
  <c r="M32" i="15" s="1"/>
  <c r="M29" i="15"/>
  <c r="M30" i="15"/>
  <c r="L27" i="15"/>
  <c r="L25" i="15"/>
  <c r="L26" i="15" s="1"/>
  <c r="L21" i="15"/>
  <c r="L22" i="15" s="1"/>
  <c r="L39" i="15"/>
  <c r="L11" i="15"/>
  <c r="L32" i="15" s="1"/>
  <c r="L29" i="15"/>
  <c r="L30" i="15"/>
  <c r="K27" i="15"/>
  <c r="K25" i="15"/>
  <c r="K26" i="15" s="1"/>
  <c r="K21" i="15"/>
  <c r="K22" i="15" s="1"/>
  <c r="K39" i="15"/>
  <c r="K11" i="15"/>
  <c r="K32" i="15" s="1"/>
  <c r="K29" i="15"/>
  <c r="K30" i="15"/>
  <c r="J27" i="15"/>
  <c r="J25" i="15"/>
  <c r="J26" i="15" s="1"/>
  <c r="J21" i="15"/>
  <c r="J22" i="15" s="1"/>
  <c r="J11" i="15"/>
  <c r="J32" i="15" s="1"/>
  <c r="F10" i="87" s="1"/>
  <c r="J29" i="15"/>
  <c r="F7" i="87" s="1"/>
  <c r="J30" i="15"/>
  <c r="F8" i="87" s="1"/>
  <c r="N28" i="22"/>
  <c r="N26" i="22"/>
  <c r="N27" i="22" s="1"/>
  <c r="N22" i="22"/>
  <c r="N11" i="22"/>
  <c r="N33" i="22" s="1"/>
  <c r="N30" i="22"/>
  <c r="N31" i="22"/>
  <c r="M28" i="22"/>
  <c r="M26" i="22"/>
  <c r="M27" i="22" s="1"/>
  <c r="M22" i="22"/>
  <c r="M23" i="22" s="1"/>
  <c r="M41" i="22"/>
  <c r="M11" i="22"/>
  <c r="M33" i="22" s="1"/>
  <c r="M30" i="22"/>
  <c r="M31" i="22"/>
  <c r="L28" i="22"/>
  <c r="L26" i="22"/>
  <c r="L27" i="22" s="1"/>
  <c r="L22" i="22"/>
  <c r="L23" i="22" s="1"/>
  <c r="L41" i="22"/>
  <c r="L11" i="22"/>
  <c r="L33" i="22" s="1"/>
  <c r="L30" i="22"/>
  <c r="L31" i="22"/>
  <c r="K28" i="22"/>
  <c r="K26" i="22"/>
  <c r="K27" i="22" s="1"/>
  <c r="K22" i="22"/>
  <c r="K23" i="22" s="1"/>
  <c r="K41" i="22"/>
  <c r="K11" i="22"/>
  <c r="K33" i="22" s="1"/>
  <c r="K30" i="22"/>
  <c r="K31" i="22"/>
  <c r="J28" i="22"/>
  <c r="J26" i="22"/>
  <c r="J27" i="22" s="1"/>
  <c r="J41" i="22"/>
  <c r="J11" i="22"/>
  <c r="J33" i="22" s="1"/>
  <c r="J30" i="22"/>
  <c r="J31" i="22"/>
  <c r="M60" i="14"/>
  <c r="K60" i="14"/>
  <c r="N27" i="14"/>
  <c r="N25" i="14"/>
  <c r="N26" i="14" s="1"/>
  <c r="N21" i="14"/>
  <c r="N22" i="14" s="1"/>
  <c r="N30" i="14"/>
  <c r="N14" i="14"/>
  <c r="N32" i="14" s="1"/>
  <c r="N39" i="14"/>
  <c r="M27" i="14"/>
  <c r="M25" i="14"/>
  <c r="M26" i="14" s="1"/>
  <c r="M21" i="14"/>
  <c r="M22" i="14" s="1"/>
  <c r="M30" i="14"/>
  <c r="M31" i="14"/>
  <c r="M14" i="14"/>
  <c r="M32" i="14" s="1"/>
  <c r="M39" i="14"/>
  <c r="L27" i="14"/>
  <c r="L25" i="14"/>
  <c r="L26" i="14" s="1"/>
  <c r="L21" i="14"/>
  <c r="L22" i="14" s="1"/>
  <c r="L30" i="14"/>
  <c r="L39" i="14"/>
  <c r="K25" i="14"/>
  <c r="K26" i="14" s="1"/>
  <c r="K21" i="14"/>
  <c r="K30" i="14"/>
  <c r="K31" i="14"/>
  <c r="K39" i="14"/>
  <c r="J30" i="14"/>
  <c r="J45" i="14"/>
  <c r="J37" i="14"/>
  <c r="J11" i="14"/>
  <c r="J32" i="14" s="1"/>
  <c r="N21" i="43"/>
  <c r="N22" i="43" s="1"/>
  <c r="N39" i="43"/>
  <c r="N41" i="43"/>
  <c r="N29" i="43"/>
  <c r="M21" i="43"/>
  <c r="M22" i="43" s="1"/>
  <c r="M39" i="43"/>
  <c r="M41" i="43"/>
  <c r="M29" i="43"/>
  <c r="M14" i="43"/>
  <c r="M32" i="43" s="1"/>
  <c r="M30" i="43"/>
  <c r="L22" i="43"/>
  <c r="L39" i="43"/>
  <c r="L41" i="43"/>
  <c r="L29" i="43"/>
  <c r="L14" i="43"/>
  <c r="L32" i="43" s="1"/>
  <c r="K21" i="43"/>
  <c r="K22" i="43" s="1"/>
  <c r="K39" i="43"/>
  <c r="K41" i="43"/>
  <c r="K29" i="43"/>
  <c r="K14" i="43"/>
  <c r="K32" i="43" s="1"/>
  <c r="J22" i="43"/>
  <c r="J39" i="43"/>
  <c r="J41" i="43"/>
  <c r="J29" i="43"/>
  <c r="J14" i="43"/>
  <c r="J32" i="43" s="1"/>
  <c r="N21" i="42"/>
  <c r="N22" i="42" s="1"/>
  <c r="N39" i="42"/>
  <c r="N41" i="42"/>
  <c r="N29" i="42"/>
  <c r="N30" i="42"/>
  <c r="M21" i="42"/>
  <c r="M22" i="42" s="1"/>
  <c r="M39" i="42"/>
  <c r="M41" i="42"/>
  <c r="M14" i="42"/>
  <c r="M32" i="42" s="1"/>
  <c r="L21" i="42"/>
  <c r="L22" i="42" s="1"/>
  <c r="L39" i="42"/>
  <c r="L41" i="42"/>
  <c r="L30" i="42"/>
  <c r="L14" i="42"/>
  <c r="L32" i="42" s="1"/>
  <c r="K21" i="42"/>
  <c r="K22" i="42" s="1"/>
  <c r="K39" i="42"/>
  <c r="K41" i="42"/>
  <c r="J21" i="42"/>
  <c r="J22" i="42" s="1"/>
  <c r="J39" i="42"/>
  <c r="J41" i="42"/>
  <c r="J29" i="42"/>
  <c r="J14" i="42"/>
  <c r="J32" i="42" s="1"/>
  <c r="N21" i="44"/>
  <c r="N22" i="44" s="1"/>
  <c r="N41" i="44"/>
  <c r="N39" i="44"/>
  <c r="N29" i="44"/>
  <c r="N14" i="44"/>
  <c r="N32" i="44" s="1"/>
  <c r="N30" i="44"/>
  <c r="M21" i="44"/>
  <c r="M22" i="44" s="1"/>
  <c r="M41" i="44"/>
  <c r="M39" i="44"/>
  <c r="M14" i="44"/>
  <c r="M32" i="44" s="1"/>
  <c r="M30" i="44"/>
  <c r="M31" i="44"/>
  <c r="L21" i="44"/>
  <c r="L22" i="44" s="1"/>
  <c r="L41" i="44"/>
  <c r="L39" i="44"/>
  <c r="L29" i="44"/>
  <c r="K21" i="44"/>
  <c r="J41" i="44"/>
  <c r="J39" i="44"/>
  <c r="J14" i="44"/>
  <c r="J32" i="44" s="1"/>
  <c r="J30" i="44"/>
  <c r="J29" i="44"/>
  <c r="E36" i="64"/>
  <c r="E37" i="64" s="1"/>
  <c r="E139" i="64"/>
  <c r="E141" i="64" s="1"/>
  <c r="E38" i="64" s="1"/>
  <c r="C21" i="64"/>
  <c r="F37" i="64"/>
  <c r="F139" i="64"/>
  <c r="F141" i="64" s="1"/>
  <c r="F38" i="64" s="1"/>
  <c r="G36" i="64"/>
  <c r="G37" i="64" s="1"/>
  <c r="G139" i="64"/>
  <c r="G141" i="64" s="1"/>
  <c r="G38" i="64" s="1"/>
  <c r="G21" i="64"/>
  <c r="E21" i="64"/>
  <c r="E22" i="64" s="1"/>
  <c r="H36" i="64"/>
  <c r="H37" i="64" s="1"/>
  <c r="H139" i="64"/>
  <c r="H141" i="64" s="1"/>
  <c r="H38" i="64" s="1"/>
  <c r="F21" i="64"/>
  <c r="C41" i="64"/>
  <c r="C39" i="64"/>
  <c r="I21" i="64"/>
  <c r="I22" i="64" s="1"/>
  <c r="D36" i="64"/>
  <c r="D37" i="64" s="1"/>
  <c r="D139" i="64"/>
  <c r="D141" i="64" s="1"/>
  <c r="D38" i="64" s="1"/>
  <c r="G20" i="64"/>
  <c r="D30" i="64"/>
  <c r="C30" i="64"/>
  <c r="H20" i="64"/>
  <c r="E30" i="64"/>
  <c r="F20" i="64"/>
  <c r="C11" i="64"/>
  <c r="F30" i="64"/>
  <c r="D11" i="64"/>
  <c r="G30" i="64"/>
  <c r="C29" i="64"/>
  <c r="H30" i="64"/>
  <c r="E116" i="64"/>
  <c r="D29" i="64"/>
  <c r="F116" i="64"/>
  <c r="E29" i="64"/>
  <c r="I39" i="64"/>
  <c r="F29" i="64"/>
  <c r="E37" i="63"/>
  <c r="E38" i="63" s="1"/>
  <c r="F37" i="63"/>
  <c r="F38" i="63" s="1"/>
  <c r="E22" i="63"/>
  <c r="E23" i="63" s="1"/>
  <c r="C22" i="63"/>
  <c r="G37" i="63"/>
  <c r="G38" i="63" s="1"/>
  <c r="G134" i="63"/>
  <c r="G39" i="63" s="1"/>
  <c r="H37" i="63"/>
  <c r="H38" i="63" s="1"/>
  <c r="H134" i="63"/>
  <c r="H39" i="63" s="1"/>
  <c r="I22" i="63"/>
  <c r="I23" i="63" s="1"/>
  <c r="D37" i="63"/>
  <c r="D38" i="63" s="1"/>
  <c r="G15" i="63"/>
  <c r="G18" i="63" s="1"/>
  <c r="G19" i="63" s="1"/>
  <c r="I30" i="63"/>
  <c r="G32" i="63"/>
  <c r="F21" i="63"/>
  <c r="C31" i="63"/>
  <c r="H32" i="63"/>
  <c r="H21" i="63"/>
  <c r="E31" i="63"/>
  <c r="C11" i="63"/>
  <c r="F31" i="63"/>
  <c r="G31" i="63"/>
  <c r="C30" i="63"/>
  <c r="H31" i="63"/>
  <c r="D30" i="63"/>
  <c r="I31" i="63"/>
  <c r="G11" i="63"/>
  <c r="E30" i="63"/>
  <c r="F30" i="63"/>
  <c r="N21" i="18"/>
  <c r="N22" i="18" s="1"/>
  <c r="N23" i="18"/>
  <c r="N25" i="18" s="1"/>
  <c r="N26" i="18" s="1"/>
  <c r="N11" i="18"/>
  <c r="N29" i="18"/>
  <c r="N30" i="18"/>
  <c r="M21" i="18"/>
  <c r="M22" i="18" s="1"/>
  <c r="M24" i="18"/>
  <c r="M27" i="18" s="1"/>
  <c r="M39" i="18"/>
  <c r="M11" i="18"/>
  <c r="M32" i="18" s="1"/>
  <c r="M29" i="18"/>
  <c r="M30" i="18"/>
  <c r="L21" i="18"/>
  <c r="L24" i="18"/>
  <c r="L27" i="18" s="1"/>
  <c r="L23" i="18"/>
  <c r="L25" i="18" s="1"/>
  <c r="L26" i="18" s="1"/>
  <c r="L39" i="18"/>
  <c r="L11" i="18"/>
  <c r="L32" i="18" s="1"/>
  <c r="L29" i="18"/>
  <c r="L30" i="18"/>
  <c r="K21" i="18"/>
  <c r="K22" i="18" s="1"/>
  <c r="K24" i="18"/>
  <c r="K27" i="18" s="1"/>
  <c r="K23" i="18"/>
  <c r="K25" i="18" s="1"/>
  <c r="K26" i="18" s="1"/>
  <c r="K39" i="18"/>
  <c r="K11" i="18"/>
  <c r="K29" i="18"/>
  <c r="K30" i="18"/>
  <c r="J21" i="18"/>
  <c r="J22" i="18" s="1"/>
  <c r="J27" i="18"/>
  <c r="J25" i="18"/>
  <c r="J26" i="18" s="1"/>
  <c r="J39" i="18"/>
  <c r="J11" i="18"/>
  <c r="J32" i="18" s="1"/>
  <c r="J29" i="18"/>
  <c r="J30" i="18"/>
  <c r="N11" i="17"/>
  <c r="N33" i="17" s="1"/>
  <c r="N32" i="17"/>
  <c r="K33" i="17"/>
  <c r="M33" i="17"/>
  <c r="L33" i="17"/>
  <c r="K37" i="17"/>
  <c r="J21" i="17"/>
  <c r="M37" i="17"/>
  <c r="M43" i="17"/>
  <c r="L37" i="17"/>
  <c r="L43" i="17"/>
  <c r="L24" i="17" s="1"/>
  <c r="L26" i="17" s="1"/>
  <c r="L27" i="17" s="1"/>
  <c r="J43" i="17"/>
  <c r="J62" i="17" s="1"/>
  <c r="K43" i="17"/>
  <c r="N39" i="17"/>
  <c r="N21" i="17"/>
  <c r="N19" i="17"/>
  <c r="N22" i="17" s="1"/>
  <c r="M21" i="17"/>
  <c r="L21" i="17"/>
  <c r="L19" i="17"/>
  <c r="L22" i="17" s="1"/>
  <c r="L39" i="17"/>
  <c r="K21" i="17"/>
  <c r="K19" i="17"/>
  <c r="K22" i="17" s="1"/>
  <c r="K39" i="17"/>
  <c r="J19" i="17"/>
  <c r="J22" i="17" s="1"/>
  <c r="J39" i="17"/>
  <c r="O21" i="37"/>
  <c r="O24" i="37"/>
  <c r="O27" i="37" s="1"/>
  <c r="O23" i="37"/>
  <c r="O25" i="37" s="1"/>
  <c r="O26" i="37" s="1"/>
  <c r="O22" i="37"/>
  <c r="O39" i="37"/>
  <c r="O11" i="37"/>
  <c r="O32" i="37" s="1"/>
  <c r="O29" i="37"/>
  <c r="O30" i="37"/>
  <c r="O45" i="37"/>
  <c r="N21" i="37"/>
  <c r="N22" i="37" s="1"/>
  <c r="N29" i="37"/>
  <c r="N30" i="37"/>
  <c r="L21" i="37"/>
  <c r="L22" i="37" s="1"/>
  <c r="L24" i="37"/>
  <c r="L27" i="37" s="1"/>
  <c r="L23" i="37"/>
  <c r="L25" i="37" s="1"/>
  <c r="L26" i="37" s="1"/>
  <c r="L39" i="37"/>
  <c r="L11" i="37"/>
  <c r="L32" i="37" s="1"/>
  <c r="L29" i="37"/>
  <c r="L30" i="37"/>
  <c r="M21" i="37"/>
  <c r="M22" i="37" s="1"/>
  <c r="M24" i="37"/>
  <c r="M27" i="37" s="1"/>
  <c r="M23" i="37"/>
  <c r="M25" i="37" s="1"/>
  <c r="M26" i="37" s="1"/>
  <c r="M39" i="37"/>
  <c r="M11" i="37"/>
  <c r="M32" i="37" s="1"/>
  <c r="M29" i="37"/>
  <c r="M30" i="37"/>
  <c r="M45" i="37"/>
  <c r="K21" i="37"/>
  <c r="K22" i="37" s="1"/>
  <c r="K29" i="37"/>
  <c r="K30" i="37"/>
  <c r="J21" i="37"/>
  <c r="J22" i="37" s="1"/>
  <c r="J24" i="37"/>
  <c r="J27" i="37" s="1"/>
  <c r="J23" i="37"/>
  <c r="J25" i="37" s="1"/>
  <c r="J26" i="37" s="1"/>
  <c r="J39" i="37"/>
  <c r="J32" i="37"/>
  <c r="J29" i="37"/>
  <c r="J30" i="37"/>
  <c r="N20" i="9"/>
  <c r="N22" i="9" s="1"/>
  <c r="N29" i="9"/>
  <c r="M20" i="9"/>
  <c r="M22" i="9" s="1"/>
  <c r="M29" i="9"/>
  <c r="L20" i="9"/>
  <c r="L22" i="9" s="1"/>
  <c r="L29" i="9"/>
  <c r="K20" i="9"/>
  <c r="K22" i="9" s="1"/>
  <c r="K29" i="9"/>
  <c r="J20" i="9"/>
  <c r="J22" i="9" s="1"/>
  <c r="J29" i="9"/>
  <c r="F7" i="88" s="1"/>
  <c r="P27" i="8"/>
  <c r="P25" i="8"/>
  <c r="P26" i="8" s="1"/>
  <c r="P21" i="8"/>
  <c r="P22" i="8" s="1"/>
  <c r="P31" i="8"/>
  <c r="P30" i="8"/>
  <c r="P39" i="8"/>
  <c r="P11" i="8"/>
  <c r="P32" i="8" s="1"/>
  <c r="O27" i="8"/>
  <c r="O25" i="8"/>
  <c r="O26" i="8" s="1"/>
  <c r="O21" i="8"/>
  <c r="O14" i="8"/>
  <c r="O39" i="8"/>
  <c r="O11" i="8"/>
  <c r="N27" i="8"/>
  <c r="N25" i="8"/>
  <c r="N26" i="8" s="1"/>
  <c r="N21" i="8"/>
  <c r="N22" i="8" s="1"/>
  <c r="N31" i="8"/>
  <c r="N30" i="8"/>
  <c r="N39" i="8"/>
  <c r="N11" i="8"/>
  <c r="M27" i="8"/>
  <c r="M25" i="8"/>
  <c r="M26" i="8" s="1"/>
  <c r="M21" i="8"/>
  <c r="M22" i="8" s="1"/>
  <c r="M31" i="8"/>
  <c r="M30" i="8"/>
  <c r="M39" i="8"/>
  <c r="M11" i="8"/>
  <c r="L31" i="8"/>
  <c r="L14" i="8"/>
  <c r="L21" i="8"/>
  <c r="L22" i="8" s="1"/>
  <c r="L39" i="8"/>
  <c r="L25" i="8"/>
  <c r="L26" i="8" s="1"/>
  <c r="L11" i="8"/>
  <c r="K31" i="8"/>
  <c r="K14" i="8"/>
  <c r="K21" i="8"/>
  <c r="K22" i="8" s="1"/>
  <c r="K39" i="8"/>
  <c r="K25" i="8"/>
  <c r="K26" i="8" s="1"/>
  <c r="K11" i="8"/>
  <c r="J27" i="8"/>
  <c r="J26" i="8"/>
  <c r="J21" i="8"/>
  <c r="J31" i="8"/>
  <c r="J39" i="8"/>
  <c r="J11" i="8"/>
  <c r="Q26" i="1"/>
  <c r="S40" i="1"/>
  <c r="K40" i="60"/>
  <c r="F44" i="60"/>
  <c r="D15" i="60"/>
  <c r="G12" i="60"/>
  <c r="F15" i="60"/>
  <c r="L40" i="60"/>
  <c r="J15" i="60"/>
  <c r="H44" i="60"/>
  <c r="N40" i="60"/>
  <c r="H24" i="60"/>
  <c r="I40" i="60"/>
  <c r="I42" i="60"/>
  <c r="I24" i="60"/>
  <c r="H12" i="60"/>
  <c r="M40" i="60"/>
  <c r="D40" i="60"/>
  <c r="J40" i="60"/>
  <c r="G15" i="60"/>
  <c r="G36" i="60" s="1"/>
  <c r="F42" i="60"/>
  <c r="E15" i="60"/>
  <c r="I12" i="60"/>
  <c r="I15" i="60"/>
  <c r="I36" i="60" s="1"/>
  <c r="M42" i="60"/>
  <c r="J24" i="60"/>
  <c r="K44" i="60"/>
  <c r="L44" i="60"/>
  <c r="M44" i="60"/>
  <c r="N44" i="60"/>
  <c r="J44" i="60"/>
  <c r="K15" i="60"/>
  <c r="N15" i="60"/>
  <c r="L15" i="60"/>
  <c r="N17" i="60"/>
  <c r="N21" i="60" s="1"/>
  <c r="L17" i="60"/>
  <c r="L21" i="60" s="1"/>
  <c r="M17" i="60"/>
  <c r="M21" i="60" s="1"/>
  <c r="N42" i="60"/>
  <c r="N20" i="60"/>
  <c r="N12" i="60"/>
  <c r="M20" i="60"/>
  <c r="M12" i="60"/>
  <c r="L20" i="60"/>
  <c r="L42" i="60"/>
  <c r="L12" i="60"/>
  <c r="K31" i="60"/>
  <c r="K29" i="60"/>
  <c r="K30" i="60" s="1"/>
  <c r="K25" i="60"/>
  <c r="K26" i="60" s="1"/>
  <c r="K17" i="60"/>
  <c r="K21" i="60" s="1"/>
  <c r="K42" i="60"/>
  <c r="K12" i="60"/>
  <c r="J25" i="60"/>
  <c r="J17" i="60"/>
  <c r="J21" i="60" s="1"/>
  <c r="J42" i="60"/>
  <c r="J12" i="60"/>
  <c r="D20" i="60"/>
  <c r="D29" i="60" s="1"/>
  <c r="D17" i="60"/>
  <c r="D21" i="60" s="1"/>
  <c r="C42" i="60"/>
  <c r="I17" i="60"/>
  <c r="I21" i="60" s="1"/>
  <c r="C15" i="60"/>
  <c r="C17" i="60"/>
  <c r="C21" i="60" s="1"/>
  <c r="D42" i="60"/>
  <c r="C40" i="60"/>
  <c r="G40" i="60"/>
  <c r="C24" i="60"/>
  <c r="H15" i="60"/>
  <c r="H36" i="60" s="1"/>
  <c r="E17" i="60"/>
  <c r="E21" i="60" s="1"/>
  <c r="E20" i="60"/>
  <c r="E29" i="60" s="1"/>
  <c r="C25" i="60"/>
  <c r="C29" i="60"/>
  <c r="C30" i="60" s="1"/>
  <c r="E44" i="60"/>
  <c r="F20" i="60"/>
  <c r="F29" i="60" s="1"/>
  <c r="G44" i="60"/>
  <c r="C44" i="60"/>
  <c r="D44" i="60"/>
  <c r="I44" i="60"/>
  <c r="F17" i="60"/>
  <c r="F21" i="60" s="1"/>
  <c r="G17" i="60"/>
  <c r="G21" i="60" s="1"/>
  <c r="H40" i="60"/>
  <c r="H17" i="60"/>
  <c r="H21" i="60" s="1"/>
  <c r="E40" i="60"/>
  <c r="F40" i="60"/>
  <c r="H20" i="60"/>
  <c r="G20" i="60"/>
  <c r="C12" i="60"/>
  <c r="I20" i="60"/>
  <c r="D12" i="60"/>
  <c r="E42" i="60"/>
  <c r="E12" i="60"/>
  <c r="H42" i="60"/>
  <c r="F12" i="60"/>
  <c r="G42" i="60"/>
  <c r="J18" i="49" l="1"/>
  <c r="J21" i="49" s="1"/>
  <c r="J22" i="49" s="1"/>
  <c r="J41" i="49"/>
  <c r="K140" i="44"/>
  <c r="K40" i="44" s="1"/>
  <c r="K38" i="44"/>
  <c r="J32" i="11"/>
  <c r="K29" i="13"/>
  <c r="T22" i="1"/>
  <c r="Y22" i="1"/>
  <c r="J58" i="38"/>
  <c r="K22" i="49"/>
  <c r="I58" i="15"/>
  <c r="C36" i="60"/>
  <c r="L36" i="60"/>
  <c r="N36" i="60"/>
  <c r="K36" i="60"/>
  <c r="E36" i="60"/>
  <c r="F36" i="60"/>
  <c r="D36" i="60"/>
  <c r="M36" i="60"/>
  <c r="J36" i="60"/>
  <c r="C59" i="64"/>
  <c r="O51" i="1" s="1"/>
  <c r="J20" i="38"/>
  <c r="J23" i="38" s="1"/>
  <c r="K25" i="38"/>
  <c r="K26" i="38"/>
  <c r="K29" i="38" s="1"/>
  <c r="J59" i="9"/>
  <c r="E30" i="88"/>
  <c r="E31" i="88"/>
  <c r="F17" i="88"/>
  <c r="F17" i="87"/>
  <c r="E31" i="87"/>
  <c r="M24" i="9"/>
  <c r="M27" i="9" s="1"/>
  <c r="M23" i="9"/>
  <c r="M25" i="9" s="1"/>
  <c r="M26" i="9" s="1"/>
  <c r="L24" i="9"/>
  <c r="L27" i="9" s="1"/>
  <c r="L23" i="9"/>
  <c r="L25" i="9" s="1"/>
  <c r="L26" i="9" s="1"/>
  <c r="K24" i="9"/>
  <c r="K27" i="9" s="1"/>
  <c r="K23" i="9"/>
  <c r="K25" i="9" s="1"/>
  <c r="K26" i="9" s="1"/>
  <c r="J27" i="9"/>
  <c r="J23" i="9"/>
  <c r="J25" i="9" s="1"/>
  <c r="J26" i="9" s="1"/>
  <c r="J23" i="17"/>
  <c r="J24" i="17"/>
  <c r="J26" i="17" s="1"/>
  <c r="J33" i="17"/>
  <c r="J28" i="13"/>
  <c r="J29" i="13" s="1"/>
  <c r="J25" i="13"/>
  <c r="M25" i="13"/>
  <c r="N35" i="13"/>
  <c r="M25" i="25"/>
  <c r="M28" i="25" s="1"/>
  <c r="K24" i="25"/>
  <c r="K26" i="25" s="1"/>
  <c r="K27" i="25" s="1"/>
  <c r="K25" i="25"/>
  <c r="K28" i="25" s="1"/>
  <c r="N33" i="25"/>
  <c r="L33" i="25"/>
  <c r="J22" i="8"/>
  <c r="M60" i="8"/>
  <c r="O22" i="8"/>
  <c r="N32" i="8"/>
  <c r="K33" i="80"/>
  <c r="E3" i="80"/>
  <c r="D3" i="80"/>
  <c r="G14" i="80"/>
  <c r="G32" i="80"/>
  <c r="L33" i="80"/>
  <c r="I45" i="71"/>
  <c r="C46" i="71"/>
  <c r="H19" i="1" s="1"/>
  <c r="C45" i="71"/>
  <c r="K25" i="71"/>
  <c r="K27" i="71" s="1"/>
  <c r="K28" i="71" s="1"/>
  <c r="K58" i="71"/>
  <c r="G56" i="71"/>
  <c r="C57" i="71" s="1"/>
  <c r="E3" i="71"/>
  <c r="M58" i="69"/>
  <c r="M25" i="69"/>
  <c r="M27" i="69" s="1"/>
  <c r="M28" i="69" s="1"/>
  <c r="D45" i="69"/>
  <c r="G56" i="69"/>
  <c r="C57" i="69" s="1"/>
  <c r="E3" i="69"/>
  <c r="C55" i="69"/>
  <c r="J39" i="67"/>
  <c r="M41" i="67"/>
  <c r="I41" i="67"/>
  <c r="I39" i="67"/>
  <c r="M23" i="67"/>
  <c r="M25" i="67" s="1"/>
  <c r="M26" i="67" s="1"/>
  <c r="M60" i="67"/>
  <c r="M24" i="67"/>
  <c r="M27" i="67" s="1"/>
  <c r="H39" i="67"/>
  <c r="H41" i="67"/>
  <c r="L41" i="67"/>
  <c r="L60" i="67" s="1"/>
  <c r="L39" i="67"/>
  <c r="M54" i="1"/>
  <c r="D22" i="67"/>
  <c r="K137" i="67"/>
  <c r="K38" i="67" s="1"/>
  <c r="C38" i="67"/>
  <c r="M22" i="67"/>
  <c r="M39" i="67"/>
  <c r="F41" i="66"/>
  <c r="J23" i="66"/>
  <c r="J25" i="66" s="1"/>
  <c r="J26" i="66" s="1"/>
  <c r="J24" i="66"/>
  <c r="J27" i="66" s="1"/>
  <c r="D3" i="66"/>
  <c r="Q53" i="1" s="1"/>
  <c r="S53" i="1" s="1"/>
  <c r="G52" i="66"/>
  <c r="C53" i="66" s="1"/>
  <c r="E3" i="66"/>
  <c r="K41" i="65"/>
  <c r="J41" i="65"/>
  <c r="K22" i="65"/>
  <c r="G32" i="65"/>
  <c r="F129" i="65"/>
  <c r="F131" i="65" s="1"/>
  <c r="F38" i="65" s="1"/>
  <c r="M41" i="65"/>
  <c r="L41" i="65"/>
  <c r="N32" i="65"/>
  <c r="E32" i="65"/>
  <c r="I32" i="64"/>
  <c r="N41" i="64"/>
  <c r="N60" i="64" s="1"/>
  <c r="C32" i="64"/>
  <c r="M39" i="64"/>
  <c r="N32" i="64"/>
  <c r="C22" i="64"/>
  <c r="M32" i="64"/>
  <c r="C23" i="63"/>
  <c r="G33" i="63"/>
  <c r="C54" i="63"/>
  <c r="C33" i="63"/>
  <c r="J33" i="63"/>
  <c r="M32" i="59"/>
  <c r="N22" i="59"/>
  <c r="J54" i="59"/>
  <c r="M22" i="53"/>
  <c r="J22" i="53"/>
  <c r="L31" i="58"/>
  <c r="J25" i="56"/>
  <c r="J27" i="56" s="1"/>
  <c r="J28" i="56" s="1"/>
  <c r="J26" i="56"/>
  <c r="J29" i="56" s="1"/>
  <c r="K34" i="56"/>
  <c r="L25" i="56"/>
  <c r="L27" i="56" s="1"/>
  <c r="L28" i="56" s="1"/>
  <c r="L26" i="56"/>
  <c r="L29" i="56" s="1"/>
  <c r="L22" i="54"/>
  <c r="M54" i="54"/>
  <c r="J54" i="54"/>
  <c r="J24" i="54"/>
  <c r="J27" i="54" s="1"/>
  <c r="J22" i="54"/>
  <c r="M23" i="54"/>
  <c r="M25" i="54" s="1"/>
  <c r="M26" i="54" s="1"/>
  <c r="M24" i="54"/>
  <c r="M27" i="54" s="1"/>
  <c r="K23" i="54"/>
  <c r="K25" i="54" s="1"/>
  <c r="K26" i="54" s="1"/>
  <c r="K24" i="54"/>
  <c r="K27" i="54" s="1"/>
  <c r="N22" i="52"/>
  <c r="M23" i="52"/>
  <c r="M25" i="52" s="1"/>
  <c r="M26" i="52" s="1"/>
  <c r="M54" i="52"/>
  <c r="M22" i="52"/>
  <c r="L23" i="52"/>
  <c r="L25" i="52" s="1"/>
  <c r="L26" i="52" s="1"/>
  <c r="K54" i="52"/>
  <c r="J22" i="52"/>
  <c r="L22" i="52"/>
  <c r="M32" i="52"/>
  <c r="M58" i="51"/>
  <c r="N25" i="51"/>
  <c r="N27" i="51" s="1"/>
  <c r="N28" i="51" s="1"/>
  <c r="N26" i="51"/>
  <c r="N29" i="51" s="1"/>
  <c r="N54" i="50"/>
  <c r="N24" i="50"/>
  <c r="N27" i="50" s="1"/>
  <c r="N22" i="50"/>
  <c r="L41" i="50"/>
  <c r="L54" i="50" s="1"/>
  <c r="L23" i="50"/>
  <c r="L25" i="50" s="1"/>
  <c r="L26" i="50" s="1"/>
  <c r="L24" i="50"/>
  <c r="L27" i="50" s="1"/>
  <c r="J41" i="50"/>
  <c r="L32" i="49"/>
  <c r="N22" i="49"/>
  <c r="K41" i="49"/>
  <c r="M23" i="25"/>
  <c r="J23" i="25"/>
  <c r="M24" i="25"/>
  <c r="M26" i="25" s="1"/>
  <c r="M27" i="25" s="1"/>
  <c r="L23" i="25"/>
  <c r="L24" i="25"/>
  <c r="L26" i="25" s="1"/>
  <c r="L27" i="25" s="1"/>
  <c r="L56" i="25"/>
  <c r="J25" i="25"/>
  <c r="J28" i="25" s="1"/>
  <c r="N25" i="25"/>
  <c r="N28" i="25" s="1"/>
  <c r="N56" i="25"/>
  <c r="J56" i="25"/>
  <c r="N54" i="26"/>
  <c r="J54" i="26"/>
  <c r="N23" i="26"/>
  <c r="N25" i="26" s="1"/>
  <c r="N26" i="26" s="1"/>
  <c r="N24" i="26"/>
  <c r="N27" i="26" s="1"/>
  <c r="M22" i="26"/>
  <c r="J26" i="41"/>
  <c r="J29" i="41" s="1"/>
  <c r="J28" i="41" s="1"/>
  <c r="N62" i="41"/>
  <c r="K24" i="41"/>
  <c r="M43" i="41"/>
  <c r="N24" i="41"/>
  <c r="N25" i="41"/>
  <c r="N27" i="41" s="1"/>
  <c r="N28" i="41" s="1"/>
  <c r="K24" i="38"/>
  <c r="K27" i="38"/>
  <c r="K28" i="38" s="1"/>
  <c r="K62" i="38"/>
  <c r="J35" i="13"/>
  <c r="K35" i="13"/>
  <c r="K24" i="40"/>
  <c r="K27" i="40" s="1"/>
  <c r="K54" i="40"/>
  <c r="M24" i="40"/>
  <c r="M27" i="40" s="1"/>
  <c r="M54" i="40"/>
  <c r="L24" i="40"/>
  <c r="L27" i="40" s="1"/>
  <c r="L54" i="40"/>
  <c r="L32" i="23"/>
  <c r="M22" i="11"/>
  <c r="M22" i="12"/>
  <c r="N32" i="12"/>
  <c r="J22" i="16"/>
  <c r="N41" i="22"/>
  <c r="N23" i="22"/>
  <c r="K22" i="14"/>
  <c r="N32" i="18"/>
  <c r="L22" i="18"/>
  <c r="K32" i="18"/>
  <c r="J25" i="17"/>
  <c r="J28" i="17" s="1"/>
  <c r="K23" i="17"/>
  <c r="N24" i="17"/>
  <c r="N26" i="17" s="1"/>
  <c r="N27" i="17" s="1"/>
  <c r="N25" i="17"/>
  <c r="N28" i="17" s="1"/>
  <c r="M23" i="17"/>
  <c r="M24" i="17"/>
  <c r="M26" i="17" s="1"/>
  <c r="M27" i="17" s="1"/>
  <c r="M62" i="17"/>
  <c r="K25" i="17"/>
  <c r="K28" i="17" s="1"/>
  <c r="K62" i="17"/>
  <c r="L25" i="17"/>
  <c r="L28" i="17" s="1"/>
  <c r="L62" i="17"/>
  <c r="M25" i="17"/>
  <c r="M28" i="17" s="1"/>
  <c r="N24" i="37"/>
  <c r="N27" i="37" s="1"/>
  <c r="N23" i="37"/>
  <c r="N25" i="37" s="1"/>
  <c r="N26" i="37" s="1"/>
  <c r="K23" i="37"/>
  <c r="K25" i="37" s="1"/>
  <c r="K24" i="37"/>
  <c r="K27" i="37" s="1"/>
  <c r="N32" i="9"/>
  <c r="M32" i="9"/>
  <c r="L32" i="9"/>
  <c r="M32" i="8"/>
  <c r="J32" i="8"/>
  <c r="C26" i="62"/>
  <c r="K26" i="1" s="1"/>
  <c r="C45" i="60"/>
  <c r="J33" i="80"/>
  <c r="H31" i="80"/>
  <c r="H30" i="80"/>
  <c r="H14" i="80"/>
  <c r="H33" i="80" s="1"/>
  <c r="D33" i="80"/>
  <c r="M33" i="80"/>
  <c r="J22" i="80"/>
  <c r="J23" i="80" s="1"/>
  <c r="L22" i="80"/>
  <c r="L23" i="80" s="1"/>
  <c r="N33" i="80"/>
  <c r="N22" i="80"/>
  <c r="N23" i="80" s="1"/>
  <c r="F22" i="80"/>
  <c r="F23" i="80" s="1"/>
  <c r="K22" i="80"/>
  <c r="K23" i="80" s="1"/>
  <c r="F33" i="80"/>
  <c r="I33" i="80"/>
  <c r="C11" i="80"/>
  <c r="C33" i="80" s="1"/>
  <c r="E11" i="80"/>
  <c r="E33" i="80" s="1"/>
  <c r="G31" i="80"/>
  <c r="G30" i="80"/>
  <c r="G11" i="80"/>
  <c r="G33" i="80" s="1"/>
  <c r="H15" i="80"/>
  <c r="H18" i="80" s="1"/>
  <c r="H19" i="80" s="1"/>
  <c r="D15" i="80"/>
  <c r="G15" i="80"/>
  <c r="G18" i="80" s="1"/>
  <c r="G19" i="80" s="1"/>
  <c r="E32" i="80"/>
  <c r="E31" i="80"/>
  <c r="E30" i="80"/>
  <c r="E22" i="80"/>
  <c r="E23" i="80" s="1"/>
  <c r="J44" i="80"/>
  <c r="J40" i="80"/>
  <c r="C22" i="80"/>
  <c r="C23" i="80" s="1"/>
  <c r="K44" i="80"/>
  <c r="K40" i="80"/>
  <c r="F44" i="80"/>
  <c r="N44" i="80"/>
  <c r="N40" i="80"/>
  <c r="I22" i="80"/>
  <c r="I23" i="80" s="1"/>
  <c r="E44" i="80"/>
  <c r="M44" i="80"/>
  <c r="M40" i="80"/>
  <c r="L44" i="80"/>
  <c r="L40" i="80"/>
  <c r="C32" i="80"/>
  <c r="C31" i="80"/>
  <c r="C30" i="80"/>
  <c r="C44" i="80"/>
  <c r="I44" i="80"/>
  <c r="J24" i="76"/>
  <c r="C24" i="76"/>
  <c r="C56" i="76"/>
  <c r="C26" i="76"/>
  <c r="C29" i="76" s="1"/>
  <c r="C25" i="76"/>
  <c r="C27" i="76" s="1"/>
  <c r="C28" i="76" s="1"/>
  <c r="J26" i="76"/>
  <c r="J29" i="76" s="1"/>
  <c r="J25" i="76"/>
  <c r="J27" i="76" s="1"/>
  <c r="J28" i="76" s="1"/>
  <c r="J56" i="76"/>
  <c r="F56" i="76"/>
  <c r="F26" i="76"/>
  <c r="F29" i="76" s="1"/>
  <c r="F25" i="76"/>
  <c r="F27" i="76" s="1"/>
  <c r="M24" i="76"/>
  <c r="I24" i="76"/>
  <c r="N24" i="76"/>
  <c r="D3" i="76"/>
  <c r="D24" i="76"/>
  <c r="E55" i="76"/>
  <c r="E3" i="76"/>
  <c r="G56" i="76"/>
  <c r="G26" i="76"/>
  <c r="G29" i="76" s="1"/>
  <c r="G25" i="76"/>
  <c r="G27" i="76" s="1"/>
  <c r="G28" i="76" s="1"/>
  <c r="D56" i="76"/>
  <c r="D26" i="76"/>
  <c r="D29" i="76" s="1"/>
  <c r="D25" i="76"/>
  <c r="D27" i="76" s="1"/>
  <c r="D28" i="76" s="1"/>
  <c r="H56" i="76"/>
  <c r="H26" i="76"/>
  <c r="H29" i="76" s="1"/>
  <c r="H25" i="76"/>
  <c r="H27" i="76" s="1"/>
  <c r="H28" i="76" s="1"/>
  <c r="I26" i="76"/>
  <c r="I29" i="76" s="1"/>
  <c r="I25" i="76"/>
  <c r="I27" i="76" s="1"/>
  <c r="I28" i="76" s="1"/>
  <c r="I56" i="76"/>
  <c r="E56" i="76"/>
  <c r="E26" i="76"/>
  <c r="E29" i="76" s="1"/>
  <c r="E25" i="76"/>
  <c r="E27" i="76" s="1"/>
  <c r="E28" i="76" s="1"/>
  <c r="C46" i="76"/>
  <c r="K24" i="71"/>
  <c r="D24" i="71"/>
  <c r="F34" i="71"/>
  <c r="I24" i="71"/>
  <c r="H24" i="71"/>
  <c r="D58" i="71"/>
  <c r="D26" i="71"/>
  <c r="D29" i="71" s="1"/>
  <c r="D25" i="71"/>
  <c r="D27" i="71" s="1"/>
  <c r="F58" i="71"/>
  <c r="F26" i="71"/>
  <c r="F29" i="71" s="1"/>
  <c r="F25" i="71"/>
  <c r="F27" i="71" s="1"/>
  <c r="I26" i="71"/>
  <c r="I29" i="71" s="1"/>
  <c r="I25" i="71"/>
  <c r="I27" i="71" s="1"/>
  <c r="I58" i="71"/>
  <c r="G58" i="71"/>
  <c r="G26" i="71"/>
  <c r="G29" i="71" s="1"/>
  <c r="G25" i="71"/>
  <c r="G27" i="71" s="1"/>
  <c r="H58" i="71"/>
  <c r="H26" i="71"/>
  <c r="H29" i="71" s="1"/>
  <c r="H25" i="71"/>
  <c r="H27" i="71" s="1"/>
  <c r="N24" i="71"/>
  <c r="M24" i="71"/>
  <c r="C58" i="71"/>
  <c r="C26" i="71"/>
  <c r="C29" i="71" s="1"/>
  <c r="C25" i="71"/>
  <c r="C27" i="71" s="1"/>
  <c r="C28" i="71" s="1"/>
  <c r="E58" i="71"/>
  <c r="E26" i="71"/>
  <c r="E29" i="71" s="1"/>
  <c r="E25" i="71"/>
  <c r="E27" i="71" s="1"/>
  <c r="J26" i="71"/>
  <c r="J29" i="71" s="1"/>
  <c r="J25" i="71"/>
  <c r="J27" i="71" s="1"/>
  <c r="J28" i="71" s="1"/>
  <c r="J24" i="71"/>
  <c r="C23" i="71"/>
  <c r="C24" i="71" s="1"/>
  <c r="D41" i="69"/>
  <c r="K24" i="69"/>
  <c r="N24" i="69"/>
  <c r="J24" i="69"/>
  <c r="H45" i="69"/>
  <c r="H25" i="69" s="1"/>
  <c r="H27" i="69" s="1"/>
  <c r="I45" i="69"/>
  <c r="I58" i="69" s="1"/>
  <c r="H34" i="69"/>
  <c r="G24" i="69"/>
  <c r="H24" i="69"/>
  <c r="G45" i="69"/>
  <c r="G41" i="69"/>
  <c r="E45" i="69"/>
  <c r="E41" i="69"/>
  <c r="L24" i="69"/>
  <c r="C24" i="69"/>
  <c r="F24" i="69"/>
  <c r="J58" i="69"/>
  <c r="J26" i="69"/>
  <c r="J29" i="69" s="1"/>
  <c r="J25" i="69"/>
  <c r="J27" i="69" s="1"/>
  <c r="J28" i="69" s="1"/>
  <c r="C45" i="69"/>
  <c r="C41" i="69"/>
  <c r="M24" i="69"/>
  <c r="F45" i="69"/>
  <c r="F41" i="69"/>
  <c r="D24" i="69"/>
  <c r="I24" i="69"/>
  <c r="K58" i="69"/>
  <c r="K26" i="69"/>
  <c r="K29" i="69" s="1"/>
  <c r="K25" i="69"/>
  <c r="K27" i="69" s="1"/>
  <c r="K28" i="69" s="1"/>
  <c r="E24" i="69"/>
  <c r="D58" i="69"/>
  <c r="D26" i="69"/>
  <c r="D29" i="69" s="1"/>
  <c r="D25" i="69"/>
  <c r="D27" i="69" s="1"/>
  <c r="E22" i="67"/>
  <c r="N22" i="67"/>
  <c r="D41" i="67"/>
  <c r="D60" i="67" s="1"/>
  <c r="E32" i="67"/>
  <c r="L24" i="67"/>
  <c r="L27" i="67" s="1"/>
  <c r="F41" i="67"/>
  <c r="F24" i="67" s="1"/>
  <c r="F27" i="67" s="1"/>
  <c r="L23" i="67"/>
  <c r="L25" i="67" s="1"/>
  <c r="L26" i="67" s="1"/>
  <c r="J24" i="67"/>
  <c r="J27" i="67" s="1"/>
  <c r="J23" i="67"/>
  <c r="J25" i="67" s="1"/>
  <c r="J26" i="67" s="1"/>
  <c r="G60" i="67"/>
  <c r="G24" i="67"/>
  <c r="G27" i="67" s="1"/>
  <c r="G23" i="67"/>
  <c r="G25" i="67" s="1"/>
  <c r="E24" i="67"/>
  <c r="E27" i="67" s="1"/>
  <c r="E23" i="67"/>
  <c r="E25" i="67" s="1"/>
  <c r="E60" i="67"/>
  <c r="D24" i="67"/>
  <c r="D27" i="67" s="1"/>
  <c r="I60" i="67"/>
  <c r="I24" i="67"/>
  <c r="I27" i="67" s="1"/>
  <c r="I23" i="67"/>
  <c r="I25" i="67" s="1"/>
  <c r="I26" i="67" s="1"/>
  <c r="F60" i="67"/>
  <c r="F23" i="67"/>
  <c r="F25" i="67" s="1"/>
  <c r="I22" i="66"/>
  <c r="F22" i="66"/>
  <c r="E41" i="66"/>
  <c r="D41" i="66"/>
  <c r="D39" i="66"/>
  <c r="K54" i="66"/>
  <c r="K24" i="66"/>
  <c r="K27" i="66" s="1"/>
  <c r="K23" i="66"/>
  <c r="K25" i="66" s="1"/>
  <c r="K26" i="66" s="1"/>
  <c r="F54" i="66"/>
  <c r="F24" i="66"/>
  <c r="F27" i="66" s="1"/>
  <c r="F23" i="66"/>
  <c r="F25" i="66" s="1"/>
  <c r="H41" i="66"/>
  <c r="H39" i="66"/>
  <c r="C41" i="66"/>
  <c r="C39" i="66"/>
  <c r="L54" i="66"/>
  <c r="L24" i="66"/>
  <c r="L27" i="66" s="1"/>
  <c r="L23" i="66"/>
  <c r="L25" i="66" s="1"/>
  <c r="L26" i="66" s="1"/>
  <c r="I54" i="66"/>
  <c r="I24" i="66"/>
  <c r="I27" i="66" s="1"/>
  <c r="I23" i="66"/>
  <c r="I25" i="66" s="1"/>
  <c r="E21" i="66"/>
  <c r="E22" i="66" s="1"/>
  <c r="G41" i="66"/>
  <c r="C42" i="66" s="1"/>
  <c r="H11" i="1" s="1"/>
  <c r="G39" i="66"/>
  <c r="E22" i="65"/>
  <c r="C41" i="65"/>
  <c r="C23" i="65" s="1"/>
  <c r="C25" i="65" s="1"/>
  <c r="C26" i="65" s="1"/>
  <c r="D22" i="65"/>
  <c r="J32" i="65"/>
  <c r="I23" i="65"/>
  <c r="I25" i="65" s="1"/>
  <c r="I32" i="65"/>
  <c r="I24" i="65"/>
  <c r="I27" i="65" s="1"/>
  <c r="H32" i="65"/>
  <c r="G41" i="65"/>
  <c r="D32" i="64"/>
  <c r="L41" i="64"/>
  <c r="L60" i="64" s="1"/>
  <c r="J32" i="64"/>
  <c r="K41" i="64"/>
  <c r="K60" i="64" s="1"/>
  <c r="L32" i="64"/>
  <c r="I60" i="64"/>
  <c r="I23" i="64"/>
  <c r="I25" i="64" s="1"/>
  <c r="H32" i="64"/>
  <c r="G32" i="64"/>
  <c r="J41" i="64"/>
  <c r="I24" i="64"/>
  <c r="I27" i="64" s="1"/>
  <c r="G22" i="64"/>
  <c r="K22" i="64"/>
  <c r="D19" i="63"/>
  <c r="E33" i="63"/>
  <c r="F33" i="63"/>
  <c r="H22" i="63"/>
  <c r="H19" i="63"/>
  <c r="F22" i="63"/>
  <c r="F19" i="63"/>
  <c r="D33" i="63"/>
  <c r="M33" i="63"/>
  <c r="L33" i="63"/>
  <c r="C40" i="63"/>
  <c r="C44" i="63"/>
  <c r="C24" i="63" s="1"/>
  <c r="C26" i="63" s="1"/>
  <c r="C27" i="63" s="1"/>
  <c r="F132" i="63"/>
  <c r="F134" i="63" s="1"/>
  <c r="F39" i="63" s="1"/>
  <c r="K132" i="63"/>
  <c r="K134" i="63" s="1"/>
  <c r="K39" i="63" s="1"/>
  <c r="J132" i="63"/>
  <c r="J134" i="63" s="1"/>
  <c r="J39" i="63" s="1"/>
  <c r="L132" i="63"/>
  <c r="L134" i="63" s="1"/>
  <c r="L39" i="63" s="1"/>
  <c r="M132" i="63"/>
  <c r="M134" i="63" s="1"/>
  <c r="M39" i="63" s="1"/>
  <c r="D132" i="63"/>
  <c r="D134" i="63" s="1"/>
  <c r="D39" i="63" s="1"/>
  <c r="K33" i="63"/>
  <c r="E132" i="63"/>
  <c r="E134" i="63" s="1"/>
  <c r="E39" i="63" s="1"/>
  <c r="N132" i="63"/>
  <c r="N134" i="63" s="1"/>
  <c r="N39" i="63" s="1"/>
  <c r="H23" i="63"/>
  <c r="I40" i="63"/>
  <c r="N33" i="63"/>
  <c r="I24" i="63"/>
  <c r="I26" i="63" s="1"/>
  <c r="I25" i="63"/>
  <c r="I28" i="63" s="1"/>
  <c r="H33" i="63"/>
  <c r="I57" i="63"/>
  <c r="L23" i="59"/>
  <c r="L25" i="59" s="1"/>
  <c r="L26" i="59" s="1"/>
  <c r="L24" i="59"/>
  <c r="L27" i="59" s="1"/>
  <c r="M23" i="59"/>
  <c r="M25" i="59" s="1"/>
  <c r="M26" i="59" s="1"/>
  <c r="M24" i="59"/>
  <c r="M27" i="59" s="1"/>
  <c r="K18" i="59"/>
  <c r="K41" i="59"/>
  <c r="K54" i="59" s="1"/>
  <c r="N23" i="59"/>
  <c r="N25" i="59" s="1"/>
  <c r="N26" i="59" s="1"/>
  <c r="N24" i="59"/>
  <c r="N27" i="59" s="1"/>
  <c r="K32" i="53"/>
  <c r="L23" i="64"/>
  <c r="L25" i="64" s="1"/>
  <c r="L26" i="64" s="1"/>
  <c r="N22" i="64"/>
  <c r="M24" i="64"/>
  <c r="M27" i="64" s="1"/>
  <c r="M23" i="64"/>
  <c r="M25" i="64" s="1"/>
  <c r="M26" i="64" s="1"/>
  <c r="N24" i="64"/>
  <c r="N27" i="64" s="1"/>
  <c r="N23" i="64"/>
  <c r="N25" i="64" s="1"/>
  <c r="N26" i="64" s="1"/>
  <c r="N24" i="65"/>
  <c r="N27" i="65" s="1"/>
  <c r="N23" i="65"/>
  <c r="N25" i="65" s="1"/>
  <c r="N26" i="65" s="1"/>
  <c r="N54" i="65"/>
  <c r="M24" i="65"/>
  <c r="M27" i="65" s="1"/>
  <c r="M23" i="65"/>
  <c r="M25" i="65" s="1"/>
  <c r="M26" i="65" s="1"/>
  <c r="M54" i="65"/>
  <c r="L54" i="65"/>
  <c r="L24" i="65"/>
  <c r="L27" i="65" s="1"/>
  <c r="L23" i="65"/>
  <c r="L25" i="65" s="1"/>
  <c r="L26" i="65" s="1"/>
  <c r="K54" i="65"/>
  <c r="K24" i="65"/>
  <c r="K27" i="65" s="1"/>
  <c r="K23" i="65"/>
  <c r="K25" i="65" s="1"/>
  <c r="K26" i="65" s="1"/>
  <c r="J54" i="65"/>
  <c r="J24" i="65"/>
  <c r="J27" i="65" s="1"/>
  <c r="J23" i="65"/>
  <c r="J25" i="65" s="1"/>
  <c r="J26" i="65" s="1"/>
  <c r="N22" i="65"/>
  <c r="K24" i="56"/>
  <c r="N24" i="56"/>
  <c r="M25" i="56"/>
  <c r="M27" i="56" s="1"/>
  <c r="M28" i="56" s="1"/>
  <c r="M58" i="56"/>
  <c r="M26" i="56"/>
  <c r="M29" i="56" s="1"/>
  <c r="L24" i="56"/>
  <c r="K25" i="56"/>
  <c r="K27" i="56" s="1"/>
  <c r="K28" i="56" s="1"/>
  <c r="K58" i="56"/>
  <c r="K26" i="56"/>
  <c r="K29" i="56" s="1"/>
  <c r="J24" i="56"/>
  <c r="G23" i="65"/>
  <c r="G25" i="65" s="1"/>
  <c r="G24" i="65"/>
  <c r="G27" i="65" s="1"/>
  <c r="H41" i="65"/>
  <c r="H39" i="65"/>
  <c r="G21" i="65"/>
  <c r="G22" i="65" s="1"/>
  <c r="E41" i="65"/>
  <c r="E39" i="65"/>
  <c r="C22" i="65"/>
  <c r="D41" i="65"/>
  <c r="D39" i="65"/>
  <c r="J24" i="52"/>
  <c r="J27" i="52" s="1"/>
  <c r="J23" i="52"/>
  <c r="J25" i="52" s="1"/>
  <c r="J26" i="52" s="1"/>
  <c r="J54" i="52"/>
  <c r="J25" i="51"/>
  <c r="J27" i="51" s="1"/>
  <c r="J28" i="51" s="1"/>
  <c r="J26" i="51"/>
  <c r="J29" i="51" s="1"/>
  <c r="L25" i="51"/>
  <c r="L27" i="51" s="1"/>
  <c r="L28" i="51" s="1"/>
  <c r="L26" i="51"/>
  <c r="L29" i="51" s="1"/>
  <c r="J58" i="51"/>
  <c r="M25" i="51"/>
  <c r="M27" i="51" s="1"/>
  <c r="M28" i="51" s="1"/>
  <c r="M26" i="51"/>
  <c r="M29" i="51" s="1"/>
  <c r="K25" i="51"/>
  <c r="K27" i="51" s="1"/>
  <c r="K28" i="51" s="1"/>
  <c r="K58" i="51"/>
  <c r="K26" i="51"/>
  <c r="K29" i="51" s="1"/>
  <c r="K18" i="50"/>
  <c r="K41" i="50"/>
  <c r="N24" i="49"/>
  <c r="N27" i="49" s="1"/>
  <c r="N23" i="49"/>
  <c r="N25" i="49" s="1"/>
  <c r="N26" i="49" s="1"/>
  <c r="N60" i="49"/>
  <c r="M24" i="49"/>
  <c r="M27" i="49" s="1"/>
  <c r="M23" i="49"/>
  <c r="M25" i="49" s="1"/>
  <c r="M26" i="49" s="1"/>
  <c r="M60" i="49"/>
  <c r="L24" i="49"/>
  <c r="L27" i="49" s="1"/>
  <c r="L23" i="49"/>
  <c r="L25" i="49" s="1"/>
  <c r="L26" i="49" s="1"/>
  <c r="L60" i="49"/>
  <c r="K24" i="49"/>
  <c r="K27" i="49" s="1"/>
  <c r="K23" i="49"/>
  <c r="K25" i="49" s="1"/>
  <c r="K26" i="49" s="1"/>
  <c r="K60" i="49"/>
  <c r="J24" i="49"/>
  <c r="J27" i="49" s="1"/>
  <c r="J23" i="49"/>
  <c r="J25" i="49" s="1"/>
  <c r="J26" i="49" s="1"/>
  <c r="J60" i="49"/>
  <c r="N24" i="25"/>
  <c r="N26" i="25" s="1"/>
  <c r="N27" i="25" s="1"/>
  <c r="K43" i="41"/>
  <c r="L43" i="41"/>
  <c r="J24" i="38"/>
  <c r="N24" i="40"/>
  <c r="N27" i="40" s="1"/>
  <c r="N23" i="40"/>
  <c r="N25" i="40" s="1"/>
  <c r="N26" i="40" s="1"/>
  <c r="J24" i="40"/>
  <c r="J27" i="40" s="1"/>
  <c r="J23" i="40"/>
  <c r="J25" i="40" s="1"/>
  <c r="J26" i="40" s="1"/>
  <c r="N24" i="23"/>
  <c r="N27" i="23" s="1"/>
  <c r="N23" i="23"/>
  <c r="N25" i="23" s="1"/>
  <c r="N26" i="23" s="1"/>
  <c r="N60" i="23"/>
  <c r="M24" i="23"/>
  <c r="M27" i="23" s="1"/>
  <c r="M23" i="23"/>
  <c r="M25" i="23" s="1"/>
  <c r="M26" i="23" s="1"/>
  <c r="M60" i="23"/>
  <c r="L24" i="23"/>
  <c r="L27" i="23" s="1"/>
  <c r="L23" i="23"/>
  <c r="L25" i="23" s="1"/>
  <c r="L26" i="23" s="1"/>
  <c r="L60" i="23"/>
  <c r="K24" i="23"/>
  <c r="K27" i="23" s="1"/>
  <c r="K23" i="23"/>
  <c r="K25" i="23" s="1"/>
  <c r="K26" i="23" s="1"/>
  <c r="K60" i="23"/>
  <c r="J24" i="23"/>
  <c r="J27" i="23" s="1"/>
  <c r="J23" i="23"/>
  <c r="J25" i="23" s="1"/>
  <c r="J26" i="23" s="1"/>
  <c r="J60" i="23"/>
  <c r="I26" i="11"/>
  <c r="I41" i="11"/>
  <c r="I60" i="11" s="1"/>
  <c r="I39" i="11"/>
  <c r="I39" i="16"/>
  <c r="I41" i="16"/>
  <c r="I60" i="16" s="1"/>
  <c r="J27" i="14"/>
  <c r="J21" i="14"/>
  <c r="J22" i="14" s="1"/>
  <c r="N24" i="43"/>
  <c r="N27" i="43" s="1"/>
  <c r="N23" i="43"/>
  <c r="N25" i="43" s="1"/>
  <c r="N26" i="43" s="1"/>
  <c r="N54" i="43"/>
  <c r="M24" i="43"/>
  <c r="M27" i="43" s="1"/>
  <c r="M23" i="43"/>
  <c r="M25" i="43" s="1"/>
  <c r="M26" i="43" s="1"/>
  <c r="M54" i="43"/>
  <c r="L24" i="43"/>
  <c r="L27" i="43" s="1"/>
  <c r="L23" i="43"/>
  <c r="L25" i="43" s="1"/>
  <c r="L26" i="43" s="1"/>
  <c r="L54" i="43"/>
  <c r="K24" i="43"/>
  <c r="K27" i="43" s="1"/>
  <c r="K23" i="43"/>
  <c r="K25" i="43" s="1"/>
  <c r="K26" i="43" s="1"/>
  <c r="K54" i="43"/>
  <c r="J24" i="43"/>
  <c r="J27" i="43" s="1"/>
  <c r="J23" i="43"/>
  <c r="J25" i="43" s="1"/>
  <c r="J26" i="43" s="1"/>
  <c r="J54" i="43"/>
  <c r="N24" i="42"/>
  <c r="N27" i="42" s="1"/>
  <c r="N23" i="42"/>
  <c r="N25" i="42" s="1"/>
  <c r="N26" i="42" s="1"/>
  <c r="N54" i="42"/>
  <c r="M24" i="42"/>
  <c r="M27" i="42" s="1"/>
  <c r="M23" i="42"/>
  <c r="M25" i="42" s="1"/>
  <c r="M26" i="42" s="1"/>
  <c r="M54" i="42"/>
  <c r="L24" i="42"/>
  <c r="L27" i="42" s="1"/>
  <c r="L23" i="42"/>
  <c r="L25" i="42" s="1"/>
  <c r="L26" i="42" s="1"/>
  <c r="L54" i="42"/>
  <c r="K24" i="42"/>
  <c r="K27" i="42" s="1"/>
  <c r="K23" i="42"/>
  <c r="K25" i="42" s="1"/>
  <c r="K26" i="42" s="1"/>
  <c r="K54" i="42"/>
  <c r="J24" i="42"/>
  <c r="J27" i="42" s="1"/>
  <c r="J23" i="42"/>
  <c r="J25" i="42" s="1"/>
  <c r="J26" i="42" s="1"/>
  <c r="J54" i="42"/>
  <c r="N24" i="44"/>
  <c r="N27" i="44" s="1"/>
  <c r="N23" i="44"/>
  <c r="N25" i="44" s="1"/>
  <c r="N26" i="44" s="1"/>
  <c r="N60" i="44"/>
  <c r="M24" i="44"/>
  <c r="M27" i="44" s="1"/>
  <c r="M23" i="44"/>
  <c r="M25" i="44" s="1"/>
  <c r="M26" i="44" s="1"/>
  <c r="M60" i="44"/>
  <c r="L24" i="44"/>
  <c r="L27" i="44" s="1"/>
  <c r="L23" i="44"/>
  <c r="L25" i="44" s="1"/>
  <c r="L26" i="44" s="1"/>
  <c r="L60" i="44"/>
  <c r="J24" i="44"/>
  <c r="J27" i="44" s="1"/>
  <c r="J23" i="44"/>
  <c r="J25" i="44" s="1"/>
  <c r="J26" i="44" s="1"/>
  <c r="J60" i="44"/>
  <c r="C23" i="64"/>
  <c r="C25" i="64" s="1"/>
  <c r="C26" i="64" s="1"/>
  <c r="C60" i="64"/>
  <c r="C24" i="64"/>
  <c r="C27" i="64" s="1"/>
  <c r="D41" i="64"/>
  <c r="D39" i="64"/>
  <c r="F41" i="64"/>
  <c r="F39" i="64"/>
  <c r="H41" i="64"/>
  <c r="H39" i="64"/>
  <c r="F22" i="64"/>
  <c r="E41" i="64"/>
  <c r="E39" i="64"/>
  <c r="H22" i="64"/>
  <c r="G41" i="64"/>
  <c r="G39" i="64"/>
  <c r="G22" i="63"/>
  <c r="G23" i="63" s="1"/>
  <c r="H44" i="63"/>
  <c r="H40" i="63"/>
  <c r="F23" i="63"/>
  <c r="G44" i="63"/>
  <c r="G40" i="63"/>
  <c r="L23" i="17"/>
  <c r="N23" i="17"/>
  <c r="K24" i="17"/>
  <c r="K26" i="17" s="1"/>
  <c r="K27" i="17" s="1"/>
  <c r="O32" i="8"/>
  <c r="L32" i="8"/>
  <c r="K32" i="8"/>
  <c r="C26" i="60"/>
  <c r="D31" i="60"/>
  <c r="D30" i="60" s="1"/>
  <c r="F25" i="60"/>
  <c r="F26" i="60" s="1"/>
  <c r="F31" i="60"/>
  <c r="F30" i="60" s="1"/>
  <c r="H43" i="1"/>
  <c r="E25" i="60"/>
  <c r="E26" i="60" s="1"/>
  <c r="D25" i="60"/>
  <c r="D26" i="60" s="1"/>
  <c r="J26" i="60"/>
  <c r="N31" i="60"/>
  <c r="N29" i="60"/>
  <c r="N30" i="60" s="1"/>
  <c r="N25" i="60"/>
  <c r="M31" i="60"/>
  <c r="M29" i="60"/>
  <c r="M30" i="60" s="1"/>
  <c r="M25" i="60"/>
  <c r="L31" i="60"/>
  <c r="L29" i="60"/>
  <c r="L30" i="60" s="1"/>
  <c r="L25" i="60"/>
  <c r="E31" i="60"/>
  <c r="E30" i="60" s="1"/>
  <c r="H31" i="60"/>
  <c r="H25" i="60"/>
  <c r="H29" i="60"/>
  <c r="I29" i="60"/>
  <c r="I25" i="60"/>
  <c r="I31" i="60"/>
  <c r="G31" i="60"/>
  <c r="G29" i="60"/>
  <c r="G25" i="60"/>
  <c r="K41" i="44" l="1"/>
  <c r="K39" i="44"/>
  <c r="K56" i="44"/>
  <c r="K20" i="44"/>
  <c r="K22" i="44" s="1"/>
  <c r="K26" i="37"/>
  <c r="J60" i="64"/>
  <c r="J24" i="64"/>
  <c r="H60" i="67"/>
  <c r="C61" i="67" s="1"/>
  <c r="J26" i="38"/>
  <c r="J27" i="17"/>
  <c r="Q57" i="1"/>
  <c r="G28" i="71"/>
  <c r="C59" i="71"/>
  <c r="I28" i="71"/>
  <c r="H28" i="71"/>
  <c r="D28" i="71"/>
  <c r="D28" i="69"/>
  <c r="C46" i="69"/>
  <c r="H13" i="1" s="1"/>
  <c r="H26" i="69"/>
  <c r="H29" i="69" s="1"/>
  <c r="H28" i="69" s="1"/>
  <c r="H58" i="69"/>
  <c r="D23" i="67"/>
  <c r="D25" i="67" s="1"/>
  <c r="F26" i="67"/>
  <c r="K54" i="1"/>
  <c r="H4" i="1"/>
  <c r="C39" i="67"/>
  <c r="C41" i="67"/>
  <c r="C24" i="67" s="1"/>
  <c r="C27" i="67" s="1"/>
  <c r="H23" i="67"/>
  <c r="H25" i="67" s="1"/>
  <c r="H24" i="67"/>
  <c r="H27" i="67" s="1"/>
  <c r="K39" i="67"/>
  <c r="K41" i="67"/>
  <c r="E26" i="67"/>
  <c r="I26" i="66"/>
  <c r="F26" i="66"/>
  <c r="C24" i="65"/>
  <c r="C27" i="65" s="1"/>
  <c r="C54" i="65"/>
  <c r="F39" i="65"/>
  <c r="F41" i="65"/>
  <c r="G54" i="65"/>
  <c r="C42" i="65"/>
  <c r="K24" i="64"/>
  <c r="K27" i="64" s="1"/>
  <c r="L24" i="64"/>
  <c r="L27" i="64" s="1"/>
  <c r="K23" i="64"/>
  <c r="K25" i="64" s="1"/>
  <c r="K26" i="64" s="1"/>
  <c r="C25" i="63"/>
  <c r="C28" i="63" s="1"/>
  <c r="C57" i="63"/>
  <c r="I27" i="63"/>
  <c r="C45" i="63"/>
  <c r="H3" i="1" s="1"/>
  <c r="J23" i="50"/>
  <c r="J25" i="50" s="1"/>
  <c r="J26" i="50" s="1"/>
  <c r="J24" i="50"/>
  <c r="J27" i="50" s="1"/>
  <c r="J54" i="50"/>
  <c r="M62" i="41"/>
  <c r="M25" i="41"/>
  <c r="M27" i="41" s="1"/>
  <c r="M28" i="41" s="1"/>
  <c r="M26" i="41"/>
  <c r="M29" i="41" s="1"/>
  <c r="J29" i="38"/>
  <c r="J62" i="38"/>
  <c r="J27" i="38"/>
  <c r="J28" i="38" s="1"/>
  <c r="D18" i="80"/>
  <c r="H22" i="80"/>
  <c r="H23" i="80" s="1"/>
  <c r="G22" i="80"/>
  <c r="G23" i="80" s="1"/>
  <c r="H44" i="80"/>
  <c r="H57" i="80" s="1"/>
  <c r="D44" i="80"/>
  <c r="G44" i="80"/>
  <c r="G57" i="80" s="1"/>
  <c r="N57" i="80"/>
  <c r="N25" i="80"/>
  <c r="N28" i="80" s="1"/>
  <c r="N24" i="80"/>
  <c r="N26" i="80" s="1"/>
  <c r="N27" i="80" s="1"/>
  <c r="L57" i="80"/>
  <c r="L25" i="80"/>
  <c r="L28" i="80" s="1"/>
  <c r="L24" i="80"/>
  <c r="L26" i="80" s="1"/>
  <c r="L27" i="80" s="1"/>
  <c r="F57" i="80"/>
  <c r="F25" i="80"/>
  <c r="F28" i="80" s="1"/>
  <c r="F24" i="80"/>
  <c r="F26" i="80" s="1"/>
  <c r="J57" i="80"/>
  <c r="J25" i="80"/>
  <c r="J28" i="80" s="1"/>
  <c r="J24" i="80"/>
  <c r="J26" i="80" s="1"/>
  <c r="J27" i="80" s="1"/>
  <c r="H25" i="80"/>
  <c r="H28" i="80" s="1"/>
  <c r="H24" i="80"/>
  <c r="H26" i="80" s="1"/>
  <c r="H27" i="80" s="1"/>
  <c r="I57" i="80"/>
  <c r="I25" i="80"/>
  <c r="I28" i="80" s="1"/>
  <c r="I24" i="80"/>
  <c r="I26" i="80" s="1"/>
  <c r="I27" i="80" s="1"/>
  <c r="M57" i="80"/>
  <c r="M25" i="80"/>
  <c r="M28" i="80" s="1"/>
  <c r="M24" i="80"/>
  <c r="M26" i="80" s="1"/>
  <c r="M27" i="80" s="1"/>
  <c r="C25" i="80"/>
  <c r="C28" i="80" s="1"/>
  <c r="C24" i="80"/>
  <c r="C26" i="80" s="1"/>
  <c r="C57" i="80"/>
  <c r="E57" i="80"/>
  <c r="E25" i="80"/>
  <c r="E28" i="80" s="1"/>
  <c r="E24" i="80"/>
  <c r="E26" i="80" s="1"/>
  <c r="E27" i="80" s="1"/>
  <c r="K57" i="80"/>
  <c r="K25" i="80"/>
  <c r="K28" i="80" s="1"/>
  <c r="K24" i="80"/>
  <c r="K26" i="80" s="1"/>
  <c r="K27" i="80" s="1"/>
  <c r="F28" i="76"/>
  <c r="F28" i="71"/>
  <c r="E28" i="71"/>
  <c r="I25" i="69"/>
  <c r="I27" i="69" s="1"/>
  <c r="I26" i="69"/>
  <c r="I29" i="69" s="1"/>
  <c r="F58" i="69"/>
  <c r="F26" i="69"/>
  <c r="F29" i="69" s="1"/>
  <c r="F25" i="69"/>
  <c r="F27" i="69" s="1"/>
  <c r="C58" i="69"/>
  <c r="C26" i="69"/>
  <c r="C29" i="69" s="1"/>
  <c r="C25" i="69"/>
  <c r="C27" i="69" s="1"/>
  <c r="C28" i="69" s="1"/>
  <c r="E58" i="69"/>
  <c r="E26" i="69"/>
  <c r="E29" i="69" s="1"/>
  <c r="E25" i="69"/>
  <c r="E27" i="69" s="1"/>
  <c r="E28" i="69" s="1"/>
  <c r="G26" i="69"/>
  <c r="G29" i="69" s="1"/>
  <c r="G25" i="69"/>
  <c r="G27" i="69" s="1"/>
  <c r="G58" i="69"/>
  <c r="C59" i="69" s="1"/>
  <c r="G26" i="67"/>
  <c r="D26" i="67"/>
  <c r="G54" i="66"/>
  <c r="G24" i="66"/>
  <c r="G27" i="66" s="1"/>
  <c r="G23" i="66"/>
  <c r="G25" i="66" s="1"/>
  <c r="H54" i="66"/>
  <c r="H24" i="66"/>
  <c r="H27" i="66" s="1"/>
  <c r="H23" i="66"/>
  <c r="H25" i="66" s="1"/>
  <c r="H26" i="66" s="1"/>
  <c r="C24" i="66"/>
  <c r="C27" i="66" s="1"/>
  <c r="C23" i="66"/>
  <c r="C25" i="66" s="1"/>
  <c r="C26" i="66" s="1"/>
  <c r="C54" i="66"/>
  <c r="D24" i="66"/>
  <c r="D27" i="66" s="1"/>
  <c r="D23" i="66"/>
  <c r="D25" i="66" s="1"/>
  <c r="D26" i="66" s="1"/>
  <c r="D54" i="66"/>
  <c r="E54" i="66"/>
  <c r="E24" i="66"/>
  <c r="E27" i="66" s="1"/>
  <c r="E23" i="66"/>
  <c r="E25" i="66" s="1"/>
  <c r="E26" i="66" s="1"/>
  <c r="G26" i="65"/>
  <c r="I26" i="65"/>
  <c r="I26" i="64"/>
  <c r="J27" i="64"/>
  <c r="J23" i="64"/>
  <c r="J25" i="64" s="1"/>
  <c r="J26" i="64" s="1"/>
  <c r="N40" i="63"/>
  <c r="N44" i="63"/>
  <c r="N57" i="63" s="1"/>
  <c r="E40" i="63"/>
  <c r="E44" i="63"/>
  <c r="D44" i="63"/>
  <c r="D57" i="63" s="1"/>
  <c r="D40" i="63"/>
  <c r="M40" i="63"/>
  <c r="M44" i="63"/>
  <c r="L40" i="63"/>
  <c r="L44" i="63"/>
  <c r="J40" i="63"/>
  <c r="J44" i="63"/>
  <c r="K44" i="63"/>
  <c r="K40" i="63"/>
  <c r="F40" i="63"/>
  <c r="F44" i="63"/>
  <c r="F57" i="63" s="1"/>
  <c r="K23" i="59"/>
  <c r="K25" i="59" s="1"/>
  <c r="K26" i="59" s="1"/>
  <c r="K24" i="59"/>
  <c r="K27" i="59" s="1"/>
  <c r="K21" i="59"/>
  <c r="K22" i="59" s="1"/>
  <c r="E23" i="65"/>
  <c r="E25" i="65" s="1"/>
  <c r="E54" i="65"/>
  <c r="E24" i="65"/>
  <c r="E27" i="65" s="1"/>
  <c r="H54" i="65"/>
  <c r="H24" i="65"/>
  <c r="H27" i="65" s="1"/>
  <c r="H23" i="65"/>
  <c r="H25" i="65" s="1"/>
  <c r="H26" i="65" s="1"/>
  <c r="D23" i="65"/>
  <c r="D25" i="65" s="1"/>
  <c r="D26" i="65" s="1"/>
  <c r="D54" i="65"/>
  <c r="D24" i="65"/>
  <c r="D27" i="65" s="1"/>
  <c r="F23" i="65"/>
  <c r="F25" i="65" s="1"/>
  <c r="F54" i="65"/>
  <c r="F24" i="65"/>
  <c r="F27" i="65" s="1"/>
  <c r="K23" i="50"/>
  <c r="K25" i="50" s="1"/>
  <c r="K26" i="50" s="1"/>
  <c r="K54" i="50"/>
  <c r="K24" i="50"/>
  <c r="K27" i="50" s="1"/>
  <c r="K21" i="50"/>
  <c r="K22" i="50" s="1"/>
  <c r="L26" i="41"/>
  <c r="L29" i="41" s="1"/>
  <c r="L25" i="41"/>
  <c r="L27" i="41" s="1"/>
  <c r="L28" i="41" s="1"/>
  <c r="L62" i="41"/>
  <c r="K26" i="41"/>
  <c r="K29" i="41" s="1"/>
  <c r="K25" i="41"/>
  <c r="K27" i="41" s="1"/>
  <c r="K28" i="41" s="1"/>
  <c r="K62" i="41"/>
  <c r="F23" i="64"/>
  <c r="F25" i="64" s="1"/>
  <c r="F60" i="64"/>
  <c r="F24" i="64"/>
  <c r="F27" i="64" s="1"/>
  <c r="H60" i="64"/>
  <c r="H24" i="64"/>
  <c r="H27" i="64" s="1"/>
  <c r="H23" i="64"/>
  <c r="H25" i="64" s="1"/>
  <c r="H26" i="64" s="1"/>
  <c r="D23" i="64"/>
  <c r="D25" i="64" s="1"/>
  <c r="D60" i="64"/>
  <c r="D24" i="64"/>
  <c r="D27" i="64" s="1"/>
  <c r="E23" i="64"/>
  <c r="E25" i="64" s="1"/>
  <c r="E60" i="64"/>
  <c r="E24" i="64"/>
  <c r="E27" i="64" s="1"/>
  <c r="G23" i="64"/>
  <c r="G25" i="64" s="1"/>
  <c r="G60" i="64"/>
  <c r="G24" i="64"/>
  <c r="G27" i="64" s="1"/>
  <c r="H57" i="63"/>
  <c r="H25" i="63"/>
  <c r="H28" i="63" s="1"/>
  <c r="H24" i="63"/>
  <c r="H26" i="63" s="1"/>
  <c r="H27" i="63" s="1"/>
  <c r="G24" i="63"/>
  <c r="G26" i="63" s="1"/>
  <c r="G57" i="63"/>
  <c r="G25" i="63"/>
  <c r="G28" i="63" s="1"/>
  <c r="E25" i="63"/>
  <c r="E28" i="63" s="1"/>
  <c r="H30" i="60"/>
  <c r="N26" i="60"/>
  <c r="M26" i="60"/>
  <c r="L26" i="60"/>
  <c r="G30" i="60"/>
  <c r="G26" i="60"/>
  <c r="I30" i="60"/>
  <c r="H26" i="60"/>
  <c r="I26" i="60"/>
  <c r="K24" i="44" l="1"/>
  <c r="K27" i="44" s="1"/>
  <c r="K23" i="44"/>
  <c r="K25" i="44" s="1"/>
  <c r="K26" i="44" s="1"/>
  <c r="K60" i="44"/>
  <c r="C61" i="64"/>
  <c r="K51" i="1" s="1"/>
  <c r="D26" i="64"/>
  <c r="C45" i="80"/>
  <c r="H14" i="1" s="1"/>
  <c r="C27" i="80"/>
  <c r="F28" i="69"/>
  <c r="I28" i="69"/>
  <c r="H26" i="67"/>
  <c r="C23" i="67"/>
  <c r="C25" i="67" s="1"/>
  <c r="C26" i="67" s="1"/>
  <c r="K24" i="67"/>
  <c r="K27" i="67" s="1"/>
  <c r="K60" i="67"/>
  <c r="K23" i="67"/>
  <c r="K25" i="67" s="1"/>
  <c r="K26" i="67" s="1"/>
  <c r="C55" i="66"/>
  <c r="G26" i="66"/>
  <c r="C55" i="65"/>
  <c r="F26" i="65"/>
  <c r="F26" i="64"/>
  <c r="E26" i="64"/>
  <c r="G26" i="64"/>
  <c r="C58" i="63"/>
  <c r="G27" i="63"/>
  <c r="N25" i="63"/>
  <c r="N28" i="63" s="1"/>
  <c r="N24" i="63"/>
  <c r="N26" i="63" s="1"/>
  <c r="N27" i="63" s="1"/>
  <c r="D22" i="80"/>
  <c r="D23" i="80" s="1"/>
  <c r="D19" i="80"/>
  <c r="F27" i="80"/>
  <c r="G24" i="80"/>
  <c r="G26" i="80" s="1"/>
  <c r="G25" i="80"/>
  <c r="G28" i="80" s="1"/>
  <c r="D57" i="80"/>
  <c r="D24" i="80"/>
  <c r="D26" i="80" s="1"/>
  <c r="D25" i="80"/>
  <c r="D28" i="80" s="1"/>
  <c r="G28" i="69"/>
  <c r="E26" i="65"/>
  <c r="D24" i="63"/>
  <c r="D26" i="63" s="1"/>
  <c r="E24" i="63"/>
  <c r="E26" i="63" s="1"/>
  <c r="E27" i="63" s="1"/>
  <c r="F25" i="63"/>
  <c r="F28" i="63" s="1"/>
  <c r="F24" i="63"/>
  <c r="F26" i="63" s="1"/>
  <c r="F27" i="63" s="1"/>
  <c r="J25" i="63"/>
  <c r="J28" i="63" s="1"/>
  <c r="J24" i="63"/>
  <c r="J26" i="63" s="1"/>
  <c r="J27" i="63" s="1"/>
  <c r="J57" i="63"/>
  <c r="M25" i="63"/>
  <c r="M28" i="63" s="1"/>
  <c r="M57" i="63"/>
  <c r="M24" i="63"/>
  <c r="M26" i="63" s="1"/>
  <c r="M27" i="63" s="1"/>
  <c r="L25" i="63"/>
  <c r="L28" i="63" s="1"/>
  <c r="L57" i="63"/>
  <c r="L24" i="63"/>
  <c r="L26" i="63" s="1"/>
  <c r="L27" i="63" s="1"/>
  <c r="D25" i="63"/>
  <c r="D28" i="63" s="1"/>
  <c r="E57" i="63"/>
  <c r="K24" i="63"/>
  <c r="K26" i="63" s="1"/>
  <c r="K27" i="63" s="1"/>
  <c r="K57" i="63"/>
  <c r="K25" i="63"/>
  <c r="K28" i="63" s="1"/>
  <c r="I137" i="6"/>
  <c r="I112" i="6"/>
  <c r="I111" i="6"/>
  <c r="I114" i="6" s="1"/>
  <c r="I104" i="6"/>
  <c r="I98" i="6"/>
  <c r="K88" i="6"/>
  <c r="L88" i="6"/>
  <c r="M88" i="6"/>
  <c r="N88" i="6"/>
  <c r="I88" i="6"/>
  <c r="I84" i="6"/>
  <c r="K76" i="6"/>
  <c r="L76" i="6"/>
  <c r="M76" i="6"/>
  <c r="N76" i="6"/>
  <c r="I76" i="6"/>
  <c r="H76" i="6"/>
  <c r="N46" i="6"/>
  <c r="N43" i="6"/>
  <c r="N41" i="6"/>
  <c r="N39" i="6"/>
  <c r="N38" i="6"/>
  <c r="N42" i="6" s="1"/>
  <c r="N16" i="6"/>
  <c r="N20" i="6" s="1"/>
  <c r="N14" i="6"/>
  <c r="N13" i="6"/>
  <c r="N15" i="6" s="1"/>
  <c r="N11" i="6"/>
  <c r="N10" i="6"/>
  <c r="N22" i="6" s="1"/>
  <c r="N9" i="6"/>
  <c r="N7" i="6"/>
  <c r="M46" i="6"/>
  <c r="M43" i="6"/>
  <c r="M41" i="6"/>
  <c r="M39" i="6"/>
  <c r="M38" i="6"/>
  <c r="M40" i="6" s="1"/>
  <c r="M16" i="6"/>
  <c r="M20" i="6" s="1"/>
  <c r="M14" i="6"/>
  <c r="M13" i="6"/>
  <c r="M11" i="6"/>
  <c r="M10" i="6"/>
  <c r="M22" i="6" s="1"/>
  <c r="M9" i="6"/>
  <c r="M7" i="6"/>
  <c r="L46" i="6"/>
  <c r="L43" i="6"/>
  <c r="L41" i="6"/>
  <c r="L39" i="6"/>
  <c r="L38" i="6"/>
  <c r="L16" i="6"/>
  <c r="L20" i="6" s="1"/>
  <c r="L14" i="6"/>
  <c r="L13" i="6"/>
  <c r="L11" i="6"/>
  <c r="L10" i="6"/>
  <c r="L22" i="6" s="1"/>
  <c r="L9" i="6"/>
  <c r="L7" i="6"/>
  <c r="L35" i="6" s="1"/>
  <c r="K46" i="6"/>
  <c r="K43" i="6"/>
  <c r="K59" i="6" s="1"/>
  <c r="K41" i="6"/>
  <c r="K39" i="6"/>
  <c r="K38" i="6"/>
  <c r="K16" i="6"/>
  <c r="K20" i="6" s="1"/>
  <c r="K14" i="6"/>
  <c r="K13" i="6"/>
  <c r="K11" i="6"/>
  <c r="K10" i="6"/>
  <c r="K22" i="6" s="1"/>
  <c r="K9" i="6"/>
  <c r="K7" i="6"/>
  <c r="J46" i="6"/>
  <c r="J43" i="6"/>
  <c r="J59" i="6" s="1"/>
  <c r="J41" i="6"/>
  <c r="J39" i="6"/>
  <c r="J38" i="6"/>
  <c r="J16" i="6"/>
  <c r="J20" i="6" s="1"/>
  <c r="J14" i="6"/>
  <c r="J13" i="6"/>
  <c r="J11" i="6"/>
  <c r="J10" i="6"/>
  <c r="J22" i="6" s="1"/>
  <c r="J9" i="6"/>
  <c r="J7" i="6"/>
  <c r="I132" i="5"/>
  <c r="I117" i="5"/>
  <c r="I120" i="5" s="1"/>
  <c r="I109" i="5"/>
  <c r="I103" i="5"/>
  <c r="I85" i="5"/>
  <c r="N47" i="5"/>
  <c r="N44" i="5"/>
  <c r="N42" i="5"/>
  <c r="N40" i="5"/>
  <c r="N39" i="5"/>
  <c r="N16" i="5"/>
  <c r="N20" i="5" s="1"/>
  <c r="N15" i="5"/>
  <c r="N14" i="5"/>
  <c r="N13" i="5"/>
  <c r="N11" i="5"/>
  <c r="N10" i="5"/>
  <c r="N22" i="5" s="1"/>
  <c r="N9" i="5"/>
  <c r="N7" i="5"/>
  <c r="M47" i="5"/>
  <c r="M44" i="5"/>
  <c r="M42" i="5"/>
  <c r="M40" i="5"/>
  <c r="M39" i="5"/>
  <c r="M24" i="5"/>
  <c r="M16" i="5"/>
  <c r="M20" i="5" s="1"/>
  <c r="M15" i="5"/>
  <c r="M14" i="5"/>
  <c r="M13" i="5"/>
  <c r="M11" i="5"/>
  <c r="M10" i="5"/>
  <c r="M22" i="5" s="1"/>
  <c r="M9" i="5"/>
  <c r="M7" i="5"/>
  <c r="L47" i="5"/>
  <c r="L44" i="5"/>
  <c r="L42" i="5"/>
  <c r="L40" i="5"/>
  <c r="L39" i="5"/>
  <c r="L16" i="5"/>
  <c r="L20" i="5" s="1"/>
  <c r="L15" i="5"/>
  <c r="L14" i="5"/>
  <c r="L13" i="5"/>
  <c r="L11" i="5"/>
  <c r="L10" i="5"/>
  <c r="L22" i="5" s="1"/>
  <c r="L9" i="5"/>
  <c r="L7" i="5"/>
  <c r="L35" i="5" s="1"/>
  <c r="K47" i="5"/>
  <c r="K44" i="5"/>
  <c r="K42" i="5"/>
  <c r="K40" i="5"/>
  <c r="K39" i="5"/>
  <c r="K16" i="5"/>
  <c r="K20" i="5" s="1"/>
  <c r="K15" i="5"/>
  <c r="K14" i="5"/>
  <c r="K13" i="5"/>
  <c r="K11" i="5"/>
  <c r="K10" i="5"/>
  <c r="K22" i="5" s="1"/>
  <c r="K9" i="5"/>
  <c r="K7" i="5"/>
  <c r="J47" i="5"/>
  <c r="J44" i="5"/>
  <c r="J64" i="5" s="1"/>
  <c r="J42" i="5"/>
  <c r="J40" i="5"/>
  <c r="J39" i="5"/>
  <c r="J16" i="5"/>
  <c r="J20" i="5" s="1"/>
  <c r="J15" i="5"/>
  <c r="J14" i="5"/>
  <c r="J13" i="5"/>
  <c r="J11" i="5"/>
  <c r="J10" i="5"/>
  <c r="J22" i="5" s="1"/>
  <c r="J9" i="5"/>
  <c r="J7" i="5"/>
  <c r="I112" i="3"/>
  <c r="I115" i="3" s="1"/>
  <c r="K99" i="3"/>
  <c r="L99" i="3"/>
  <c r="M99" i="3"/>
  <c r="N99" i="3"/>
  <c r="I99" i="3"/>
  <c r="K92" i="3"/>
  <c r="L92" i="3"/>
  <c r="M92" i="3"/>
  <c r="N92" i="3"/>
  <c r="I92" i="3"/>
  <c r="H92" i="3"/>
  <c r="H76" i="3"/>
  <c r="I76" i="3"/>
  <c r="N105" i="3"/>
  <c r="N16" i="3" s="1"/>
  <c r="N20" i="3" s="1"/>
  <c r="N84" i="3"/>
  <c r="N83" i="3"/>
  <c r="N76" i="3"/>
  <c r="N47" i="3"/>
  <c r="N61" i="3" s="1"/>
  <c r="N46" i="3"/>
  <c r="N43" i="3"/>
  <c r="N59" i="3" s="1"/>
  <c r="N41" i="3"/>
  <c r="N39" i="3"/>
  <c r="N38" i="3"/>
  <c r="N14" i="3"/>
  <c r="N13" i="3"/>
  <c r="N11" i="3"/>
  <c r="N10" i="3"/>
  <c r="N22" i="3" s="1"/>
  <c r="N9" i="3"/>
  <c r="N7" i="3"/>
  <c r="M105" i="3"/>
  <c r="M16" i="3" s="1"/>
  <c r="M20" i="3" s="1"/>
  <c r="M84" i="3"/>
  <c r="M83" i="3"/>
  <c r="M76" i="3"/>
  <c r="M47" i="3"/>
  <c r="M61" i="3" s="1"/>
  <c r="M46" i="3"/>
  <c r="M43" i="3"/>
  <c r="M59" i="3" s="1"/>
  <c r="M41" i="3"/>
  <c r="M39" i="3"/>
  <c r="M38" i="3"/>
  <c r="M14" i="3"/>
  <c r="M13" i="3"/>
  <c r="M11" i="3"/>
  <c r="M10" i="3"/>
  <c r="M22" i="3" s="1"/>
  <c r="M9" i="3"/>
  <c r="M7" i="3"/>
  <c r="L105" i="3"/>
  <c r="L16" i="3" s="1"/>
  <c r="L20" i="3" s="1"/>
  <c r="L84" i="3"/>
  <c r="L83" i="3"/>
  <c r="L76" i="3"/>
  <c r="L47" i="3"/>
  <c r="L61" i="3" s="1"/>
  <c r="L46" i="3"/>
  <c r="L43" i="3"/>
  <c r="L59" i="3" s="1"/>
  <c r="L41" i="3"/>
  <c r="L39" i="3"/>
  <c r="L38" i="3"/>
  <c r="L14" i="3"/>
  <c r="L13" i="3"/>
  <c r="L11" i="3"/>
  <c r="L10" i="3"/>
  <c r="L22" i="3" s="1"/>
  <c r="L9" i="3"/>
  <c r="L7" i="3"/>
  <c r="K105" i="3"/>
  <c r="K16" i="3" s="1"/>
  <c r="K84" i="3"/>
  <c r="K83" i="3"/>
  <c r="K76" i="3"/>
  <c r="K47" i="3"/>
  <c r="K61" i="3" s="1"/>
  <c r="K46" i="3"/>
  <c r="K43" i="3"/>
  <c r="K59" i="3" s="1"/>
  <c r="K41" i="3"/>
  <c r="K39" i="3"/>
  <c r="K38" i="3"/>
  <c r="K14" i="3"/>
  <c r="K13" i="3"/>
  <c r="K11" i="3"/>
  <c r="K10" i="3"/>
  <c r="K22" i="3" s="1"/>
  <c r="K9" i="3"/>
  <c r="K7" i="3"/>
  <c r="J16" i="3"/>
  <c r="J20" i="3" s="1"/>
  <c r="J46" i="3"/>
  <c r="J43" i="3"/>
  <c r="J59" i="3" s="1"/>
  <c r="J41" i="3"/>
  <c r="J39" i="3"/>
  <c r="J38" i="3"/>
  <c r="J14" i="3"/>
  <c r="J13" i="3"/>
  <c r="J11" i="3"/>
  <c r="J10" i="3"/>
  <c r="J22" i="3" s="1"/>
  <c r="J9" i="3"/>
  <c r="J7" i="3"/>
  <c r="J70" i="2"/>
  <c r="L70" i="2"/>
  <c r="N70" i="2"/>
  <c r="N47" i="2"/>
  <c r="N113" i="2"/>
  <c r="N116" i="2" s="1"/>
  <c r="N106" i="2"/>
  <c r="N17" i="2" s="1"/>
  <c r="N21" i="2" s="1"/>
  <c r="N32" i="2" s="1"/>
  <c r="N100" i="2"/>
  <c r="N16" i="2" s="1"/>
  <c r="N84" i="2"/>
  <c r="N83" i="2"/>
  <c r="N76" i="2"/>
  <c r="N44" i="2"/>
  <c r="N60" i="2" s="1"/>
  <c r="N42" i="2"/>
  <c r="N40" i="2"/>
  <c r="N39" i="2"/>
  <c r="N15" i="2"/>
  <c r="N14" i="2"/>
  <c r="N12" i="2"/>
  <c r="N11" i="2"/>
  <c r="N23" i="2" s="1"/>
  <c r="N10" i="2"/>
  <c r="N7" i="2"/>
  <c r="M113" i="2"/>
  <c r="M116" i="2" s="1"/>
  <c r="M106" i="2"/>
  <c r="M17" i="2" s="1"/>
  <c r="M100" i="2"/>
  <c r="M16" i="2" s="1"/>
  <c r="M84" i="2"/>
  <c r="M83" i="2"/>
  <c r="M76" i="2"/>
  <c r="M47" i="2"/>
  <c r="M44" i="2"/>
  <c r="M42" i="2"/>
  <c r="M40" i="2"/>
  <c r="M39" i="2"/>
  <c r="M15" i="2"/>
  <c r="M14" i="2"/>
  <c r="M12" i="2"/>
  <c r="M11" i="2"/>
  <c r="M23" i="2" s="1"/>
  <c r="M10" i="2"/>
  <c r="M7" i="2"/>
  <c r="L47" i="2"/>
  <c r="L113" i="2"/>
  <c r="L116" i="2" s="1"/>
  <c r="L106" i="2"/>
  <c r="L17" i="2" s="1"/>
  <c r="L100" i="2"/>
  <c r="L16" i="2" s="1"/>
  <c r="L84" i="2"/>
  <c r="L83" i="2"/>
  <c r="L76" i="2"/>
  <c r="L44" i="2"/>
  <c r="L42" i="2"/>
  <c r="L40" i="2"/>
  <c r="L39" i="2"/>
  <c r="L15" i="2"/>
  <c r="L14" i="2"/>
  <c r="L12" i="2"/>
  <c r="L11" i="2"/>
  <c r="L23" i="2" s="1"/>
  <c r="L10" i="2"/>
  <c r="L7" i="2"/>
  <c r="K47" i="2"/>
  <c r="K113" i="2"/>
  <c r="K116" i="2" s="1"/>
  <c r="K106" i="2"/>
  <c r="K17" i="2" s="1"/>
  <c r="K21" i="2" s="1"/>
  <c r="K32" i="2" s="1"/>
  <c r="K100" i="2"/>
  <c r="K16" i="2" s="1"/>
  <c r="K84" i="2"/>
  <c r="K83" i="2"/>
  <c r="K76" i="2"/>
  <c r="K44" i="2"/>
  <c r="K42" i="2"/>
  <c r="K40" i="2"/>
  <c r="K39" i="2"/>
  <c r="K15" i="2"/>
  <c r="K14" i="2"/>
  <c r="K12" i="2"/>
  <c r="K11" i="2"/>
  <c r="K23" i="2" s="1"/>
  <c r="K10" i="2"/>
  <c r="K7" i="2"/>
  <c r="J47" i="2"/>
  <c r="J113" i="2"/>
  <c r="J116" i="2" s="1"/>
  <c r="J17" i="2"/>
  <c r="J16" i="2"/>
  <c r="J84" i="2"/>
  <c r="J83" i="2"/>
  <c r="J76" i="2"/>
  <c r="J44" i="2"/>
  <c r="J25" i="2" s="1"/>
  <c r="J42" i="2"/>
  <c r="J45" i="2" s="1"/>
  <c r="J40" i="2"/>
  <c r="J39" i="2"/>
  <c r="J15" i="2"/>
  <c r="J14" i="2"/>
  <c r="J12" i="2"/>
  <c r="J11" i="2"/>
  <c r="J23" i="2" s="1"/>
  <c r="J10" i="2"/>
  <c r="J7" i="2"/>
  <c r="I76" i="2"/>
  <c r="I69" i="59"/>
  <c r="H142" i="59"/>
  <c r="G142" i="59"/>
  <c r="F142" i="59"/>
  <c r="E142" i="59"/>
  <c r="D142" i="59"/>
  <c r="C142" i="59"/>
  <c r="I129" i="59"/>
  <c r="I38" i="59" s="1"/>
  <c r="H114" i="59"/>
  <c r="H119" i="59" s="1"/>
  <c r="G114" i="59"/>
  <c r="G119" i="59" s="1"/>
  <c r="F114" i="59"/>
  <c r="F119" i="59" s="1"/>
  <c r="E114" i="59"/>
  <c r="E119" i="59" s="1"/>
  <c r="D114" i="59"/>
  <c r="D119" i="59" s="1"/>
  <c r="C114" i="59"/>
  <c r="C119" i="59" s="1"/>
  <c r="I108" i="59"/>
  <c r="C108" i="59"/>
  <c r="H107" i="59"/>
  <c r="H108" i="59" s="1"/>
  <c r="G107" i="59"/>
  <c r="G108" i="59" s="1"/>
  <c r="F107" i="59"/>
  <c r="F108" i="59" s="1"/>
  <c r="E107" i="59"/>
  <c r="E108" i="59" s="1"/>
  <c r="D107" i="59"/>
  <c r="D108" i="59" s="1"/>
  <c r="C107" i="59"/>
  <c r="H100" i="59"/>
  <c r="G100" i="59"/>
  <c r="F100" i="59"/>
  <c r="E100" i="59"/>
  <c r="D100" i="59"/>
  <c r="C100" i="59"/>
  <c r="H99" i="59"/>
  <c r="G99" i="59"/>
  <c r="F99" i="59"/>
  <c r="E99" i="59"/>
  <c r="D99" i="59"/>
  <c r="C99" i="59"/>
  <c r="H93" i="59"/>
  <c r="G93" i="59"/>
  <c r="F93" i="59"/>
  <c r="E93" i="59"/>
  <c r="D93" i="59"/>
  <c r="C93" i="59"/>
  <c r="H81" i="59"/>
  <c r="G81" i="59"/>
  <c r="F81" i="59"/>
  <c r="E81" i="59"/>
  <c r="D81" i="59"/>
  <c r="C81" i="59"/>
  <c r="H80" i="59"/>
  <c r="G80" i="59"/>
  <c r="F80" i="59"/>
  <c r="E80" i="59"/>
  <c r="D80" i="59"/>
  <c r="C80" i="59"/>
  <c r="H69" i="59"/>
  <c r="G69" i="59"/>
  <c r="F69" i="59"/>
  <c r="E69" i="59"/>
  <c r="D69" i="59"/>
  <c r="C69" i="59"/>
  <c r="I45" i="59"/>
  <c r="H45" i="59"/>
  <c r="G45" i="59"/>
  <c r="D3" i="59" s="1"/>
  <c r="F45" i="59"/>
  <c r="E45" i="59"/>
  <c r="D45" i="59"/>
  <c r="C45" i="59"/>
  <c r="I44" i="59"/>
  <c r="H44" i="59"/>
  <c r="H52" i="59" s="1"/>
  <c r="G44" i="59"/>
  <c r="F44" i="59"/>
  <c r="F52" i="59" s="1"/>
  <c r="E44" i="59"/>
  <c r="E52" i="59" s="1"/>
  <c r="D44" i="59"/>
  <c r="D52" i="59" s="1"/>
  <c r="C44" i="59"/>
  <c r="C52" i="59" s="1"/>
  <c r="I43" i="59"/>
  <c r="H43" i="59"/>
  <c r="G43" i="59"/>
  <c r="F43" i="59"/>
  <c r="E43" i="59"/>
  <c r="D43" i="59"/>
  <c r="C43" i="59"/>
  <c r="I40" i="59"/>
  <c r="I50" i="59" s="1"/>
  <c r="H40" i="59"/>
  <c r="H50" i="59" s="1"/>
  <c r="G40" i="59"/>
  <c r="G50" i="59" s="1"/>
  <c r="C51" i="59" s="1"/>
  <c r="F40" i="59"/>
  <c r="E40" i="59"/>
  <c r="E50" i="59" s="1"/>
  <c r="D40" i="59"/>
  <c r="D50" i="59" s="1"/>
  <c r="C40" i="59"/>
  <c r="C50" i="59" s="1"/>
  <c r="I36" i="59"/>
  <c r="I35" i="59"/>
  <c r="H35" i="59"/>
  <c r="G35" i="59"/>
  <c r="F35" i="59"/>
  <c r="E35" i="59"/>
  <c r="D35" i="59"/>
  <c r="C35" i="59"/>
  <c r="I15" i="59"/>
  <c r="H15" i="59"/>
  <c r="H18" i="59" s="1"/>
  <c r="C15" i="59"/>
  <c r="C18" i="59" s="1"/>
  <c r="I13" i="59"/>
  <c r="H13" i="59"/>
  <c r="G13" i="59"/>
  <c r="F13" i="59"/>
  <c r="E13" i="59"/>
  <c r="D13" i="59"/>
  <c r="C13" i="59"/>
  <c r="I12" i="59"/>
  <c r="H12" i="59"/>
  <c r="G12" i="59"/>
  <c r="F12" i="59"/>
  <c r="E12" i="59"/>
  <c r="D12" i="59"/>
  <c r="C12" i="59"/>
  <c r="C14" i="59" s="1"/>
  <c r="I10" i="59"/>
  <c r="H10" i="59"/>
  <c r="G10" i="59"/>
  <c r="F10" i="59"/>
  <c r="E10" i="59"/>
  <c r="D10" i="59"/>
  <c r="C10" i="59"/>
  <c r="C11" i="59" s="1"/>
  <c r="I9" i="59"/>
  <c r="H9" i="59"/>
  <c r="G9" i="59"/>
  <c r="F9" i="59"/>
  <c r="E9" i="59"/>
  <c r="D9" i="59"/>
  <c r="C9" i="59"/>
  <c r="I8" i="59"/>
  <c r="H8" i="59"/>
  <c r="G8" i="59"/>
  <c r="F8" i="59"/>
  <c r="E8" i="59"/>
  <c r="D8" i="59"/>
  <c r="C8" i="59"/>
  <c r="I7" i="59"/>
  <c r="H7" i="59"/>
  <c r="G7" i="59"/>
  <c r="F7" i="59"/>
  <c r="E7" i="59"/>
  <c r="D7" i="59"/>
  <c r="C7" i="59"/>
  <c r="G51" i="17"/>
  <c r="G46" i="17" s="1"/>
  <c r="G60" i="17" s="1"/>
  <c r="K63" i="6" l="1"/>
  <c r="C64" i="6" s="1"/>
  <c r="C60" i="6"/>
  <c r="J63" i="6"/>
  <c r="K24" i="6"/>
  <c r="L40" i="6"/>
  <c r="L24" i="6"/>
  <c r="M24" i="6"/>
  <c r="N24" i="6"/>
  <c r="J40" i="6"/>
  <c r="J24" i="6"/>
  <c r="N45" i="5"/>
  <c r="J60" i="2"/>
  <c r="J64" i="2" s="1"/>
  <c r="K25" i="2"/>
  <c r="K60" i="2"/>
  <c r="L25" i="2"/>
  <c r="L60" i="2"/>
  <c r="M25" i="2"/>
  <c r="M60" i="2"/>
  <c r="L43" i="2"/>
  <c r="M41" i="2"/>
  <c r="N35" i="2"/>
  <c r="N35" i="5"/>
  <c r="K12" i="5"/>
  <c r="M45" i="5"/>
  <c r="D27" i="63"/>
  <c r="C31" i="59"/>
  <c r="C32" i="59"/>
  <c r="I14" i="59"/>
  <c r="Q49" i="1"/>
  <c r="S49" i="1" s="1"/>
  <c r="F20" i="59"/>
  <c r="F50" i="59"/>
  <c r="G29" i="59"/>
  <c r="G52" i="59"/>
  <c r="C53" i="59" s="1"/>
  <c r="O49" i="1" s="1"/>
  <c r="E3" i="59"/>
  <c r="C29" i="59"/>
  <c r="J35" i="6"/>
  <c r="K40" i="6"/>
  <c r="K42" i="6"/>
  <c r="J15" i="6"/>
  <c r="M15" i="6"/>
  <c r="M42" i="6"/>
  <c r="J42" i="6"/>
  <c r="N64" i="5"/>
  <c r="L45" i="5"/>
  <c r="J35" i="5"/>
  <c r="J45" i="5"/>
  <c r="K36" i="5"/>
  <c r="M35" i="5"/>
  <c r="L41" i="5"/>
  <c r="J41" i="5"/>
  <c r="M41" i="5"/>
  <c r="K41" i="5"/>
  <c r="K35" i="5"/>
  <c r="K45" i="5"/>
  <c r="K64" i="5" s="1"/>
  <c r="N24" i="5"/>
  <c r="L24" i="5"/>
  <c r="N41" i="5"/>
  <c r="K12" i="3"/>
  <c r="K24" i="3"/>
  <c r="N24" i="3"/>
  <c r="J42" i="3"/>
  <c r="L24" i="3"/>
  <c r="J24" i="3"/>
  <c r="M24" i="3"/>
  <c r="N12" i="3"/>
  <c r="L12" i="3"/>
  <c r="J12" i="3"/>
  <c r="J36" i="2"/>
  <c r="L36" i="2"/>
  <c r="K36" i="2"/>
  <c r="L41" i="2"/>
  <c r="M36" i="2"/>
  <c r="N25" i="2"/>
  <c r="K41" i="2"/>
  <c r="D27" i="80"/>
  <c r="G27" i="80"/>
  <c r="D15" i="59"/>
  <c r="D18" i="59" s="1"/>
  <c r="E15" i="59"/>
  <c r="E18" i="59" s="1"/>
  <c r="D14" i="59"/>
  <c r="E14" i="59"/>
  <c r="D30" i="59"/>
  <c r="E30" i="59"/>
  <c r="D11" i="59"/>
  <c r="D32" i="59" s="1"/>
  <c r="D29" i="59"/>
  <c r="D31" i="59"/>
  <c r="E11" i="59"/>
  <c r="E29" i="59"/>
  <c r="E31" i="59"/>
  <c r="G15" i="59"/>
  <c r="G18" i="59" s="1"/>
  <c r="G21" i="59" s="1"/>
  <c r="F15" i="59"/>
  <c r="F18" i="59" s="1"/>
  <c r="F14" i="59"/>
  <c r="G14" i="59"/>
  <c r="G30" i="59"/>
  <c r="F31" i="59"/>
  <c r="F11" i="59"/>
  <c r="F29" i="59"/>
  <c r="F30" i="59"/>
  <c r="G11" i="59"/>
  <c r="H20" i="59"/>
  <c r="I20" i="59"/>
  <c r="I41" i="59"/>
  <c r="I24" i="59" s="1"/>
  <c r="I37" i="59"/>
  <c r="I39" i="59"/>
  <c r="H14" i="59"/>
  <c r="H30" i="59"/>
  <c r="I31" i="59"/>
  <c r="H29" i="59"/>
  <c r="H11" i="59"/>
  <c r="I29" i="59"/>
  <c r="I30" i="59"/>
  <c r="I11" i="59"/>
  <c r="I32" i="59" s="1"/>
  <c r="I18" i="59"/>
  <c r="I21" i="59" s="1"/>
  <c r="I22" i="59" s="1"/>
  <c r="I54" i="59"/>
  <c r="K15" i="6"/>
  <c r="L42" i="6"/>
  <c r="N40" i="6"/>
  <c r="N35" i="6"/>
  <c r="L15" i="6"/>
  <c r="K35" i="6"/>
  <c r="M35" i="6"/>
  <c r="N31" i="6"/>
  <c r="N29" i="6"/>
  <c r="N30" i="6" s="1"/>
  <c r="N25" i="6"/>
  <c r="N26" i="6" s="1"/>
  <c r="N12" i="6"/>
  <c r="N36" i="6" s="1"/>
  <c r="N33" i="6"/>
  <c r="N34" i="6"/>
  <c r="N17" i="6"/>
  <c r="N21" i="6" s="1"/>
  <c r="M31" i="6"/>
  <c r="M29" i="6"/>
  <c r="M30" i="6" s="1"/>
  <c r="M25" i="6"/>
  <c r="M26" i="6" s="1"/>
  <c r="M12" i="6"/>
  <c r="M36" i="6" s="1"/>
  <c r="M33" i="6"/>
  <c r="M34" i="6"/>
  <c r="M17" i="6"/>
  <c r="M21" i="6" s="1"/>
  <c r="L31" i="6"/>
  <c r="L29" i="6"/>
  <c r="L30" i="6" s="1"/>
  <c r="L25" i="6"/>
  <c r="L26" i="6" s="1"/>
  <c r="L12" i="6"/>
  <c r="L33" i="6"/>
  <c r="L34" i="6"/>
  <c r="L17" i="6"/>
  <c r="L21" i="6" s="1"/>
  <c r="K31" i="6"/>
  <c r="K29" i="6"/>
  <c r="K30" i="6" s="1"/>
  <c r="K25" i="6"/>
  <c r="K26" i="6" s="1"/>
  <c r="K12" i="6"/>
  <c r="K33" i="6"/>
  <c r="K34" i="6"/>
  <c r="K17" i="6"/>
  <c r="K21" i="6" s="1"/>
  <c r="J25" i="6"/>
  <c r="J26" i="6" s="1"/>
  <c r="J31" i="6"/>
  <c r="J29" i="6"/>
  <c r="J30" i="6" s="1"/>
  <c r="J12" i="6"/>
  <c r="J36" i="6" s="1"/>
  <c r="J33" i="6"/>
  <c r="J34" i="6"/>
  <c r="J17" i="6"/>
  <c r="J21" i="6" s="1"/>
  <c r="L64" i="5"/>
  <c r="N31" i="5"/>
  <c r="N29" i="5"/>
  <c r="N30" i="5" s="1"/>
  <c r="N25" i="5"/>
  <c r="N43" i="5"/>
  <c r="N12" i="5"/>
  <c r="N36" i="5" s="1"/>
  <c r="N33" i="5"/>
  <c r="N34" i="5"/>
  <c r="N17" i="5"/>
  <c r="N21" i="5" s="1"/>
  <c r="M64" i="5"/>
  <c r="M31" i="5"/>
  <c r="M29" i="5"/>
  <c r="M30" i="5" s="1"/>
  <c r="M25" i="5"/>
  <c r="M26" i="5" s="1"/>
  <c r="M43" i="5"/>
  <c r="M12" i="5"/>
  <c r="M36" i="5" s="1"/>
  <c r="M33" i="5"/>
  <c r="M34" i="5"/>
  <c r="M17" i="5"/>
  <c r="M21" i="5" s="1"/>
  <c r="L31" i="5"/>
  <c r="L29" i="5"/>
  <c r="L30" i="5" s="1"/>
  <c r="L25" i="5"/>
  <c r="L43" i="5"/>
  <c r="L12" i="5"/>
  <c r="L36" i="5" s="1"/>
  <c r="L33" i="5"/>
  <c r="L34" i="5"/>
  <c r="L17" i="5"/>
  <c r="L21" i="5" s="1"/>
  <c r="K29" i="5"/>
  <c r="K30" i="5" s="1"/>
  <c r="K31" i="5"/>
  <c r="K25" i="5"/>
  <c r="K24" i="5"/>
  <c r="K43" i="5"/>
  <c r="K33" i="5"/>
  <c r="K34" i="5"/>
  <c r="K17" i="5"/>
  <c r="K21" i="5" s="1"/>
  <c r="J25" i="5"/>
  <c r="J26" i="5" s="1"/>
  <c r="J31" i="5"/>
  <c r="J29" i="5"/>
  <c r="J43" i="5"/>
  <c r="J12" i="5"/>
  <c r="J36" i="5" s="1"/>
  <c r="J33" i="5"/>
  <c r="J34" i="5"/>
  <c r="J17" i="5"/>
  <c r="J21" i="5" s="1"/>
  <c r="M15" i="3"/>
  <c r="M17" i="3"/>
  <c r="M21" i="3" s="1"/>
  <c r="K42" i="3"/>
  <c r="L34" i="3"/>
  <c r="M12" i="3"/>
  <c r="J44" i="3"/>
  <c r="J63" i="3" s="1"/>
  <c r="C64" i="3" s="1"/>
  <c r="N40" i="3"/>
  <c r="N42" i="3"/>
  <c r="J40" i="3"/>
  <c r="L15" i="3"/>
  <c r="L36" i="3" s="1"/>
  <c r="M40" i="3"/>
  <c r="N44" i="3"/>
  <c r="M42" i="3"/>
  <c r="L33" i="3"/>
  <c r="K44" i="3"/>
  <c r="K63" i="3" s="1"/>
  <c r="K35" i="3"/>
  <c r="N35" i="3"/>
  <c r="L40" i="3"/>
  <c r="L42" i="3"/>
  <c r="L35" i="3"/>
  <c r="N17" i="3"/>
  <c r="N21" i="3" s="1"/>
  <c r="J35" i="3"/>
  <c r="K40" i="3"/>
  <c r="M35" i="3"/>
  <c r="N25" i="3"/>
  <c r="N26" i="3" s="1"/>
  <c r="N29" i="3"/>
  <c r="N30" i="3" s="1"/>
  <c r="N31" i="3"/>
  <c r="N15" i="3"/>
  <c r="N33" i="3"/>
  <c r="N34" i="3"/>
  <c r="M25" i="3"/>
  <c r="M31" i="3"/>
  <c r="M29" i="3"/>
  <c r="M30" i="3" s="1"/>
  <c r="M44" i="3"/>
  <c r="M33" i="3"/>
  <c r="M34" i="3"/>
  <c r="L29" i="3"/>
  <c r="L25" i="3"/>
  <c r="L31" i="3"/>
  <c r="L44" i="3"/>
  <c r="L63" i="3" s="1"/>
  <c r="L17" i="3"/>
  <c r="L21" i="3" s="1"/>
  <c r="K25" i="3"/>
  <c r="K26" i="3" s="1"/>
  <c r="K31" i="3"/>
  <c r="K29" i="3"/>
  <c r="K30" i="3" s="1"/>
  <c r="K15" i="3"/>
  <c r="K36" i="3" s="1"/>
  <c r="K33" i="3"/>
  <c r="K34" i="3"/>
  <c r="K17" i="3"/>
  <c r="K21" i="3" s="1"/>
  <c r="J25" i="3"/>
  <c r="J29" i="3"/>
  <c r="J15" i="3"/>
  <c r="J36" i="3" s="1"/>
  <c r="J33" i="3"/>
  <c r="J34" i="3"/>
  <c r="J17" i="3"/>
  <c r="J21" i="3" s="1"/>
  <c r="J41" i="2"/>
  <c r="N41" i="2"/>
  <c r="K45" i="2"/>
  <c r="J21" i="2"/>
  <c r="J18" i="2"/>
  <c r="J22" i="2" s="1"/>
  <c r="N18" i="2"/>
  <c r="N22" i="2" s="1"/>
  <c r="M45" i="2"/>
  <c r="K18" i="2"/>
  <c r="K22" i="2" s="1"/>
  <c r="N45" i="2"/>
  <c r="N64" i="2" s="1"/>
  <c r="J35" i="2"/>
  <c r="K35" i="2"/>
  <c r="M35" i="2"/>
  <c r="L35" i="2"/>
  <c r="N36" i="2"/>
  <c r="N26" i="2"/>
  <c r="N27" i="2" s="1"/>
  <c r="N43" i="2"/>
  <c r="N13" i="2"/>
  <c r="N37" i="2" s="1"/>
  <c r="N30" i="2"/>
  <c r="N31" i="2" s="1"/>
  <c r="N34" i="2"/>
  <c r="N62" i="2"/>
  <c r="M21" i="2"/>
  <c r="M18" i="2"/>
  <c r="M22" i="2" s="1"/>
  <c r="M43" i="2"/>
  <c r="M13" i="2"/>
  <c r="M37" i="2" s="1"/>
  <c r="M34" i="2"/>
  <c r="M62" i="2"/>
  <c r="L45" i="2"/>
  <c r="L21" i="2"/>
  <c r="L18" i="2"/>
  <c r="L22" i="2" s="1"/>
  <c r="L13" i="2"/>
  <c r="L37" i="2" s="1"/>
  <c r="L34" i="2"/>
  <c r="L62" i="2"/>
  <c r="K26" i="2"/>
  <c r="K27" i="2" s="1"/>
  <c r="K43" i="2"/>
  <c r="K13" i="2"/>
  <c r="K37" i="2" s="1"/>
  <c r="K30" i="2"/>
  <c r="K31" i="2" s="1"/>
  <c r="K34" i="2"/>
  <c r="K62" i="2"/>
  <c r="J43" i="2"/>
  <c r="J13" i="2"/>
  <c r="J37" i="2" s="1"/>
  <c r="J34" i="2"/>
  <c r="J62" i="2"/>
  <c r="D36" i="59"/>
  <c r="D37" i="59" s="1"/>
  <c r="D125" i="59"/>
  <c r="D127" i="59" s="1"/>
  <c r="D129" i="59" s="1"/>
  <c r="D38" i="59" s="1"/>
  <c r="E36" i="59"/>
  <c r="E37" i="59" s="1"/>
  <c r="E125" i="59"/>
  <c r="E127" i="59" s="1"/>
  <c r="E129" i="59" s="1"/>
  <c r="E38" i="59" s="1"/>
  <c r="F36" i="59"/>
  <c r="F37" i="59" s="1"/>
  <c r="F125" i="59"/>
  <c r="F127" i="59" s="1"/>
  <c r="F129" i="59" s="1"/>
  <c r="F38" i="59" s="1"/>
  <c r="H125" i="59"/>
  <c r="H127" i="59" s="1"/>
  <c r="H129" i="59" s="1"/>
  <c r="H38" i="59" s="1"/>
  <c r="H36" i="59"/>
  <c r="H37" i="59" s="1"/>
  <c r="D21" i="59"/>
  <c r="G36" i="59"/>
  <c r="G37" i="59" s="1"/>
  <c r="G125" i="59"/>
  <c r="G127" i="59" s="1"/>
  <c r="G129" i="59" s="1"/>
  <c r="G38" i="59" s="1"/>
  <c r="C21" i="59"/>
  <c r="E21" i="59"/>
  <c r="F21" i="59"/>
  <c r="F22" i="59" s="1"/>
  <c r="C125" i="59"/>
  <c r="C127" i="59" s="1"/>
  <c r="C129" i="59" s="1"/>
  <c r="C38" i="59" s="1"/>
  <c r="C36" i="59"/>
  <c r="C37" i="59" s="1"/>
  <c r="E20" i="59"/>
  <c r="G31" i="59"/>
  <c r="I23" i="59"/>
  <c r="I25" i="59" s="1"/>
  <c r="G20" i="59"/>
  <c r="G22" i="59" s="1"/>
  <c r="C30" i="59"/>
  <c r="H31" i="59"/>
  <c r="C20" i="59"/>
  <c r="H21" i="59"/>
  <c r="D20" i="59"/>
  <c r="B3" i="53" a="1"/>
  <c r="B3" i="53" s="1"/>
  <c r="F48" i="1" s="1"/>
  <c r="B3" i="58" a="1"/>
  <c r="B3" i="58" s="1"/>
  <c r="B3" i="54" a="1"/>
  <c r="B3" i="54" s="1"/>
  <c r="F38" i="1" s="1"/>
  <c r="B3" i="52" a="1"/>
  <c r="B3" i="52" s="1"/>
  <c r="F25" i="1" s="1"/>
  <c r="B3" i="51" a="1"/>
  <c r="B3" i="51" s="1"/>
  <c r="F31" i="1" s="1"/>
  <c r="B3" i="50" a="1"/>
  <c r="B3" i="50" s="1"/>
  <c r="F35" i="1" s="1"/>
  <c r="B3" i="49" a="1"/>
  <c r="B3" i="49" s="1"/>
  <c r="B3" i="26" a="1"/>
  <c r="B3" i="26" s="1"/>
  <c r="F12" i="1" s="1"/>
  <c r="B3" i="20" a="1"/>
  <c r="B3" i="20" s="1"/>
  <c r="F44" i="1" s="1"/>
  <c r="B3" i="41" a="1"/>
  <c r="B3" i="41" s="1"/>
  <c r="C64" i="41" s="1"/>
  <c r="B3" i="38" a="1"/>
  <c r="B3" i="38" s="1"/>
  <c r="C64" i="38" s="1"/>
  <c r="B3" i="39" a="1"/>
  <c r="B3" i="39" s="1"/>
  <c r="F43" i="1" s="1"/>
  <c r="B3" i="19" a="1"/>
  <c r="B3" i="19" s="1"/>
  <c r="F42" i="1" s="1"/>
  <c r="B3" i="13" a="1"/>
  <c r="B3" i="13" s="1"/>
  <c r="B3" i="40" a="1"/>
  <c r="B3" i="40" s="1"/>
  <c r="F37" i="1" s="1"/>
  <c r="B3" i="12" a="1"/>
  <c r="B3" i="12" s="1"/>
  <c r="F5" i="1"/>
  <c r="B3" i="22" a="1"/>
  <c r="B3" i="22" s="1"/>
  <c r="C64" i="22" s="1"/>
  <c r="B3" i="14" a="1"/>
  <c r="B3" i="14" s="1"/>
  <c r="F23" i="1" s="1"/>
  <c r="B3" i="43" a="1"/>
  <c r="B3" i="43" s="1"/>
  <c r="B3" i="42" a="1"/>
  <c r="B3" i="42" s="1"/>
  <c r="F28" i="1" s="1"/>
  <c r="B3" i="44" a="1"/>
  <c r="B3" i="44" s="1"/>
  <c r="C62" i="44" s="1"/>
  <c r="B3" i="18" a="1"/>
  <c r="B3" i="18" s="1"/>
  <c r="B3" i="17" a="1"/>
  <c r="B3" i="17" s="1"/>
  <c r="C64" i="17" s="1"/>
  <c r="B3" i="37" a="1"/>
  <c r="B3" i="37" s="1"/>
  <c r="B3" i="9" a="1"/>
  <c r="B3" i="9" s="1"/>
  <c r="C61" i="9" s="1"/>
  <c r="B3" i="48" a="1"/>
  <c r="B3" i="48" s="1"/>
  <c r="F36" i="1" s="1"/>
  <c r="F33" i="1"/>
  <c r="F41" i="1"/>
  <c r="B3" i="56" a="1"/>
  <c r="B3" i="56" s="1"/>
  <c r="F9" i="1" s="1"/>
  <c r="B3" i="6" a="1"/>
  <c r="B3" i="6" s="1"/>
  <c r="B3" i="5" a="1"/>
  <c r="B3" i="5" s="1"/>
  <c r="B3" i="3" a="1"/>
  <c r="B3" i="3" s="1"/>
  <c r="F6" i="1" s="1"/>
  <c r="V33" i="1"/>
  <c r="B2" i="56"/>
  <c r="H16" i="1"/>
  <c r="I43" i="54"/>
  <c r="C41" i="19"/>
  <c r="G41" i="58"/>
  <c r="H41" i="58"/>
  <c r="D43" i="58"/>
  <c r="E43" i="58"/>
  <c r="F43" i="58"/>
  <c r="G43" i="58"/>
  <c r="C43" i="58"/>
  <c r="B2" i="58"/>
  <c r="I41" i="58"/>
  <c r="F41" i="58"/>
  <c r="E41" i="58"/>
  <c r="D41" i="58"/>
  <c r="I36" i="58"/>
  <c r="H36" i="58"/>
  <c r="G36" i="58"/>
  <c r="F123" i="58"/>
  <c r="F36" i="58" s="1"/>
  <c r="E123" i="58"/>
  <c r="E36" i="58" s="1"/>
  <c r="D123" i="58"/>
  <c r="C123" i="58"/>
  <c r="C36" i="58" s="1"/>
  <c r="G109" i="58"/>
  <c r="F109" i="58"/>
  <c r="E109" i="58"/>
  <c r="D109" i="58"/>
  <c r="C109" i="58"/>
  <c r="I113" i="58"/>
  <c r="H107" i="58"/>
  <c r="G107" i="58"/>
  <c r="G113" i="58" s="1"/>
  <c r="F107" i="58"/>
  <c r="F113" i="58" s="1"/>
  <c r="E107" i="58"/>
  <c r="E113" i="58" s="1"/>
  <c r="D107" i="58"/>
  <c r="D113" i="58" s="1"/>
  <c r="C107" i="58"/>
  <c r="C113" i="58" s="1"/>
  <c r="I100" i="58"/>
  <c r="I14" i="58" s="1"/>
  <c r="H100" i="58"/>
  <c r="H14" i="58" s="1"/>
  <c r="G100" i="58"/>
  <c r="G14" i="58" s="1"/>
  <c r="F100" i="58"/>
  <c r="F14" i="58" s="1"/>
  <c r="E100" i="58"/>
  <c r="E14" i="58" s="1"/>
  <c r="E17" i="58" s="1"/>
  <c r="D100" i="58"/>
  <c r="C100" i="58"/>
  <c r="I93" i="58"/>
  <c r="H93" i="58"/>
  <c r="G93" i="58"/>
  <c r="F93" i="58"/>
  <c r="E93" i="58"/>
  <c r="D93" i="58"/>
  <c r="C93" i="58"/>
  <c r="H92" i="58"/>
  <c r="C92" i="58"/>
  <c r="I87" i="58"/>
  <c r="H87" i="58"/>
  <c r="G87" i="58"/>
  <c r="F87" i="58"/>
  <c r="E87" i="58"/>
  <c r="D87" i="58"/>
  <c r="C87" i="58"/>
  <c r="I80" i="58"/>
  <c r="H80" i="58"/>
  <c r="G80" i="58"/>
  <c r="F80" i="58"/>
  <c r="E80" i="58"/>
  <c r="D80" i="58"/>
  <c r="C80" i="58"/>
  <c r="H79" i="58"/>
  <c r="G79" i="58"/>
  <c r="F79" i="58"/>
  <c r="E79" i="58"/>
  <c r="D79" i="58"/>
  <c r="C79" i="58"/>
  <c r="I72" i="58"/>
  <c r="H72" i="58"/>
  <c r="G72" i="58"/>
  <c r="E72" i="58"/>
  <c r="D72" i="58"/>
  <c r="C72" i="58"/>
  <c r="I44" i="58"/>
  <c r="H56" i="58"/>
  <c r="G56" i="58"/>
  <c r="F42" i="58"/>
  <c r="F56" i="58" s="1"/>
  <c r="E42" i="58"/>
  <c r="E56" i="58"/>
  <c r="D56" i="58"/>
  <c r="C56" i="58"/>
  <c r="C41" i="58"/>
  <c r="I54" i="58"/>
  <c r="H38" i="58"/>
  <c r="H19" i="58" s="1"/>
  <c r="G38" i="58"/>
  <c r="G54" i="58" s="1"/>
  <c r="F38" i="58"/>
  <c r="F54" i="58" s="1"/>
  <c r="E38" i="58"/>
  <c r="E54" i="58" s="1"/>
  <c r="D38" i="58"/>
  <c r="D54" i="58" s="1"/>
  <c r="C38" i="58"/>
  <c r="C54" i="58" s="1"/>
  <c r="D36" i="58"/>
  <c r="I34" i="58"/>
  <c r="H34" i="58"/>
  <c r="G34" i="58"/>
  <c r="F34" i="58"/>
  <c r="E34" i="58"/>
  <c r="D34" i="58"/>
  <c r="C34" i="58"/>
  <c r="I33" i="58"/>
  <c r="H33" i="58"/>
  <c r="G33" i="58"/>
  <c r="F33" i="58"/>
  <c r="E33" i="58"/>
  <c r="D33" i="58"/>
  <c r="C33" i="58"/>
  <c r="E19" i="58"/>
  <c r="D14" i="58"/>
  <c r="C14" i="58"/>
  <c r="C17" i="58" s="1"/>
  <c r="C20" i="58" s="1"/>
  <c r="I12" i="58"/>
  <c r="H12" i="58"/>
  <c r="G12" i="58"/>
  <c r="F12" i="58"/>
  <c r="E12" i="58"/>
  <c r="D12" i="58"/>
  <c r="C12" i="58"/>
  <c r="I11" i="58"/>
  <c r="H11" i="58"/>
  <c r="G11" i="58"/>
  <c r="F11" i="58"/>
  <c r="F13" i="58" s="1"/>
  <c r="E11" i="58"/>
  <c r="D11" i="58"/>
  <c r="C11" i="58"/>
  <c r="I9" i="58"/>
  <c r="H9" i="58"/>
  <c r="G9" i="58"/>
  <c r="F9" i="58"/>
  <c r="E9" i="58"/>
  <c r="D9" i="58"/>
  <c r="C9" i="58"/>
  <c r="I8" i="58"/>
  <c r="H8" i="58"/>
  <c r="G8" i="58"/>
  <c r="F8" i="58"/>
  <c r="E8" i="58"/>
  <c r="D8" i="58"/>
  <c r="C8" i="58"/>
  <c r="I7" i="58"/>
  <c r="H7" i="58"/>
  <c r="G7" i="58"/>
  <c r="G29" i="58" s="1"/>
  <c r="F7" i="58"/>
  <c r="E7" i="58"/>
  <c r="D7" i="58"/>
  <c r="C7" i="58"/>
  <c r="D17" i="58"/>
  <c r="D26" i="58" s="1"/>
  <c r="E29" i="58"/>
  <c r="D19" i="58"/>
  <c r="H146" i="56"/>
  <c r="G146" i="56"/>
  <c r="F146" i="56"/>
  <c r="F47" i="56" s="1"/>
  <c r="E146" i="56"/>
  <c r="E47" i="56" s="1"/>
  <c r="D146" i="56"/>
  <c r="D47" i="56" s="1"/>
  <c r="C146" i="56"/>
  <c r="C47" i="56" s="1"/>
  <c r="I133" i="56"/>
  <c r="I40" i="56" s="1"/>
  <c r="H118" i="56"/>
  <c r="H123" i="56" s="1"/>
  <c r="G118" i="56"/>
  <c r="G123" i="56" s="1"/>
  <c r="F118" i="56"/>
  <c r="F123" i="56" s="1"/>
  <c r="E118" i="56"/>
  <c r="E123" i="56" s="1"/>
  <c r="D118" i="56"/>
  <c r="D123" i="56"/>
  <c r="D38" i="56" s="1"/>
  <c r="C118" i="56"/>
  <c r="C123" i="56" s="1"/>
  <c r="C129" i="56" s="1"/>
  <c r="C131" i="56" s="1"/>
  <c r="C133" i="56" s="1"/>
  <c r="C40" i="56" s="1"/>
  <c r="I112" i="56"/>
  <c r="H111" i="56"/>
  <c r="H112" i="56" s="1"/>
  <c r="G111" i="56"/>
  <c r="G112" i="56" s="1"/>
  <c r="F111" i="56"/>
  <c r="F112" i="56" s="1"/>
  <c r="E111" i="56"/>
  <c r="E112" i="56" s="1"/>
  <c r="D111" i="56"/>
  <c r="D16" i="56" s="1"/>
  <c r="D19" i="56" s="1"/>
  <c r="D20" i="56" s="1"/>
  <c r="C111" i="56"/>
  <c r="C112" i="56" s="1"/>
  <c r="H104" i="56"/>
  <c r="G104" i="56"/>
  <c r="F104" i="56"/>
  <c r="E104" i="56"/>
  <c r="D104" i="56"/>
  <c r="C104" i="56"/>
  <c r="H103" i="56"/>
  <c r="G103" i="56"/>
  <c r="F103" i="56"/>
  <c r="E103" i="56"/>
  <c r="D103" i="56"/>
  <c r="C103" i="56"/>
  <c r="H97" i="56"/>
  <c r="G97" i="56"/>
  <c r="F97" i="56"/>
  <c r="E97" i="56"/>
  <c r="D97" i="56"/>
  <c r="C97" i="56"/>
  <c r="H85" i="56"/>
  <c r="G85" i="56"/>
  <c r="F85" i="56"/>
  <c r="E85" i="56"/>
  <c r="D85" i="56"/>
  <c r="C85" i="56"/>
  <c r="H84" i="56"/>
  <c r="G84" i="56"/>
  <c r="F84" i="56"/>
  <c r="E84" i="56"/>
  <c r="D84" i="56"/>
  <c r="C84" i="56"/>
  <c r="H73" i="56"/>
  <c r="G73" i="56"/>
  <c r="F73" i="56"/>
  <c r="E73" i="56"/>
  <c r="D73" i="56"/>
  <c r="C73" i="56"/>
  <c r="G49" i="56"/>
  <c r="F49" i="56"/>
  <c r="I49" i="56"/>
  <c r="H49" i="56"/>
  <c r="E49" i="56"/>
  <c r="D49" i="56"/>
  <c r="C49" i="56"/>
  <c r="I48" i="56"/>
  <c r="I56" i="56"/>
  <c r="H48" i="56"/>
  <c r="H56" i="56" s="1"/>
  <c r="G48" i="56"/>
  <c r="G56" i="56" s="1"/>
  <c r="F48" i="56"/>
  <c r="F56" i="56" s="1"/>
  <c r="E48" i="56"/>
  <c r="E56" i="56" s="1"/>
  <c r="D48" i="56"/>
  <c r="C48" i="56"/>
  <c r="C56" i="56" s="1"/>
  <c r="I47" i="56"/>
  <c r="H47" i="56"/>
  <c r="G47" i="56"/>
  <c r="I42" i="56"/>
  <c r="I43" i="56" s="1"/>
  <c r="H42" i="56"/>
  <c r="H43" i="56" s="1"/>
  <c r="G42" i="56"/>
  <c r="G43" i="56" s="1"/>
  <c r="F42" i="56"/>
  <c r="F43" i="56" s="1"/>
  <c r="E42" i="56"/>
  <c r="E43" i="56" s="1"/>
  <c r="D42" i="56"/>
  <c r="D43" i="56" s="1"/>
  <c r="C42" i="56"/>
  <c r="C43" i="56" s="1"/>
  <c r="I38" i="56"/>
  <c r="I39" i="56" s="1"/>
  <c r="I37" i="56"/>
  <c r="H37" i="56"/>
  <c r="G37" i="56"/>
  <c r="F37" i="56"/>
  <c r="E37" i="56"/>
  <c r="D37" i="56"/>
  <c r="C37" i="56"/>
  <c r="I16" i="56"/>
  <c r="I19" i="56" s="1"/>
  <c r="I20" i="56" s="1"/>
  <c r="E16" i="56"/>
  <c r="E19" i="56" s="1"/>
  <c r="E20" i="56" s="1"/>
  <c r="E23" i="56" s="1"/>
  <c r="I14" i="56"/>
  <c r="H14" i="56"/>
  <c r="G14" i="56"/>
  <c r="F14" i="56"/>
  <c r="E14" i="56"/>
  <c r="D14" i="56"/>
  <c r="C14" i="56"/>
  <c r="I13" i="56"/>
  <c r="H13" i="56"/>
  <c r="G13" i="56"/>
  <c r="F13" i="56"/>
  <c r="E13" i="56"/>
  <c r="E31" i="56" s="1"/>
  <c r="D13" i="56"/>
  <c r="C13" i="56"/>
  <c r="I11" i="56"/>
  <c r="H11" i="56"/>
  <c r="G11" i="56"/>
  <c r="F11" i="56"/>
  <c r="E11" i="56"/>
  <c r="E12" i="56" s="1"/>
  <c r="D11" i="56"/>
  <c r="C11" i="56"/>
  <c r="I9" i="56"/>
  <c r="H9" i="56"/>
  <c r="G9" i="56"/>
  <c r="G33" i="56" s="1"/>
  <c r="F9" i="56"/>
  <c r="E9" i="56"/>
  <c r="D9" i="56"/>
  <c r="C9" i="56"/>
  <c r="I8" i="56"/>
  <c r="H8" i="56"/>
  <c r="G8" i="56"/>
  <c r="F8" i="56"/>
  <c r="E8" i="56"/>
  <c r="D8" i="56"/>
  <c r="C8" i="56"/>
  <c r="I7" i="56"/>
  <c r="I12" i="56" s="1"/>
  <c r="H7" i="56"/>
  <c r="G7" i="56"/>
  <c r="F7" i="56"/>
  <c r="E7" i="56"/>
  <c r="D7" i="56"/>
  <c r="C7" i="56"/>
  <c r="D45" i="54"/>
  <c r="E45" i="54"/>
  <c r="F45" i="54"/>
  <c r="G45" i="54"/>
  <c r="H45" i="54"/>
  <c r="I45" i="54"/>
  <c r="C45" i="54"/>
  <c r="I120" i="54"/>
  <c r="I126" i="54" s="1"/>
  <c r="I128" i="54" s="1"/>
  <c r="H143" i="54"/>
  <c r="H43" i="54" s="1"/>
  <c r="G143" i="54"/>
  <c r="G43" i="54" s="1"/>
  <c r="F143" i="54"/>
  <c r="F43" i="54" s="1"/>
  <c r="E143" i="54"/>
  <c r="E43" i="54"/>
  <c r="D143" i="54"/>
  <c r="D43" i="54" s="1"/>
  <c r="C143" i="54"/>
  <c r="C43" i="54" s="1"/>
  <c r="I130" i="54"/>
  <c r="I38" i="54" s="1"/>
  <c r="H114" i="54"/>
  <c r="H120" i="54" s="1"/>
  <c r="G114" i="54"/>
  <c r="G120" i="54" s="1"/>
  <c r="F114" i="54"/>
  <c r="F120" i="54" s="1"/>
  <c r="E114" i="54"/>
  <c r="E120" i="54"/>
  <c r="E36" i="54" s="1"/>
  <c r="D114" i="54"/>
  <c r="D120" i="54" s="1"/>
  <c r="C114" i="54"/>
  <c r="C120" i="54" s="1"/>
  <c r="I108" i="54"/>
  <c r="H107" i="54"/>
  <c r="H15" i="54" s="1"/>
  <c r="H18" i="54" s="1"/>
  <c r="G107" i="54"/>
  <c r="G15" i="54" s="1"/>
  <c r="G18" i="54" s="1"/>
  <c r="F107" i="54"/>
  <c r="F108" i="54" s="1"/>
  <c r="E107" i="54"/>
  <c r="E15" i="54" s="1"/>
  <c r="E18" i="54" s="1"/>
  <c r="D107" i="54"/>
  <c r="D108" i="54" s="1"/>
  <c r="C107" i="54"/>
  <c r="C108" i="54" s="1"/>
  <c r="H100" i="54"/>
  <c r="G100" i="54"/>
  <c r="F100" i="54"/>
  <c r="E100" i="54"/>
  <c r="D100" i="54"/>
  <c r="C100" i="54"/>
  <c r="H99" i="54"/>
  <c r="G99" i="54"/>
  <c r="F99" i="54"/>
  <c r="E99" i="54"/>
  <c r="D99" i="54"/>
  <c r="C99" i="54"/>
  <c r="H93" i="54"/>
  <c r="G93" i="54"/>
  <c r="F93" i="54"/>
  <c r="E93" i="54"/>
  <c r="D93" i="54"/>
  <c r="C93" i="54"/>
  <c r="H81" i="54"/>
  <c r="G81" i="54"/>
  <c r="F81" i="54"/>
  <c r="E81" i="54"/>
  <c r="D81" i="54"/>
  <c r="C81" i="54"/>
  <c r="H80" i="54"/>
  <c r="G80" i="54"/>
  <c r="F80" i="54"/>
  <c r="E80" i="54"/>
  <c r="D80" i="54"/>
  <c r="C80" i="54"/>
  <c r="H69" i="54"/>
  <c r="G69" i="54"/>
  <c r="F69" i="54"/>
  <c r="E69" i="54"/>
  <c r="D69" i="54"/>
  <c r="C69" i="54"/>
  <c r="I44" i="54"/>
  <c r="I52" i="54" s="1"/>
  <c r="H44" i="54"/>
  <c r="H52" i="54"/>
  <c r="G44" i="54"/>
  <c r="G52" i="54" s="1"/>
  <c r="F44" i="54"/>
  <c r="F52" i="54" s="1"/>
  <c r="E44" i="54"/>
  <c r="E52" i="54" s="1"/>
  <c r="D44" i="54"/>
  <c r="D52" i="54" s="1"/>
  <c r="C44" i="54"/>
  <c r="C52" i="54" s="1"/>
  <c r="I40" i="54"/>
  <c r="I50" i="54" s="1"/>
  <c r="H40" i="54"/>
  <c r="H50" i="54" s="1"/>
  <c r="G40" i="54"/>
  <c r="G50" i="54" s="1"/>
  <c r="F40" i="54"/>
  <c r="F50" i="54" s="1"/>
  <c r="E40" i="54"/>
  <c r="E50" i="54" s="1"/>
  <c r="D40" i="54"/>
  <c r="D50" i="54" s="1"/>
  <c r="C40" i="54"/>
  <c r="C50" i="54" s="1"/>
  <c r="I36" i="54"/>
  <c r="I35" i="54"/>
  <c r="H35" i="54"/>
  <c r="G35" i="54"/>
  <c r="F35" i="54"/>
  <c r="E35" i="54"/>
  <c r="D35" i="54"/>
  <c r="C35" i="54"/>
  <c r="I15" i="54"/>
  <c r="I18" i="54" s="1"/>
  <c r="I21" i="54" s="1"/>
  <c r="I13" i="54"/>
  <c r="H13" i="54"/>
  <c r="G13" i="54"/>
  <c r="F13" i="54"/>
  <c r="E13" i="54"/>
  <c r="D13" i="54"/>
  <c r="C13" i="54"/>
  <c r="I12" i="54"/>
  <c r="H12" i="54"/>
  <c r="G12" i="54"/>
  <c r="G29" i="54" s="1"/>
  <c r="F12" i="54"/>
  <c r="E12" i="54"/>
  <c r="D12" i="54"/>
  <c r="D30" i="54" s="1"/>
  <c r="C12" i="54"/>
  <c r="I10" i="54"/>
  <c r="H10" i="54"/>
  <c r="G10" i="54"/>
  <c r="F10" i="54"/>
  <c r="E10" i="54"/>
  <c r="D10" i="54"/>
  <c r="C10" i="54"/>
  <c r="I9" i="54"/>
  <c r="H9" i="54"/>
  <c r="G9" i="54"/>
  <c r="F9" i="54"/>
  <c r="E9" i="54"/>
  <c r="D9" i="54"/>
  <c r="C9" i="54"/>
  <c r="I8" i="54"/>
  <c r="H8" i="54"/>
  <c r="G8" i="54"/>
  <c r="F8" i="54"/>
  <c r="E8" i="54"/>
  <c r="D8" i="54"/>
  <c r="C8" i="54"/>
  <c r="I7" i="54"/>
  <c r="H7" i="54"/>
  <c r="G7" i="54"/>
  <c r="F7" i="54"/>
  <c r="E7" i="54"/>
  <c r="D7" i="54"/>
  <c r="C7" i="54"/>
  <c r="B2" i="54"/>
  <c r="H144" i="53"/>
  <c r="H43" i="53" s="1"/>
  <c r="G144" i="53"/>
  <c r="G43" i="53" s="1"/>
  <c r="F144" i="53"/>
  <c r="F43" i="53" s="1"/>
  <c r="E144" i="53"/>
  <c r="E43" i="53" s="1"/>
  <c r="D144" i="53"/>
  <c r="D43" i="53" s="1"/>
  <c r="C144" i="53"/>
  <c r="C43" i="53" s="1"/>
  <c r="I131" i="53"/>
  <c r="H115" i="53"/>
  <c r="H121" i="53" s="1"/>
  <c r="G115" i="53"/>
  <c r="G121" i="53" s="1"/>
  <c r="F115" i="53"/>
  <c r="F121" i="53" s="1"/>
  <c r="E115" i="53"/>
  <c r="E121" i="53" s="1"/>
  <c r="D115" i="53"/>
  <c r="D121" i="53" s="1"/>
  <c r="C115" i="53"/>
  <c r="C121" i="53" s="1"/>
  <c r="I109" i="53"/>
  <c r="H15" i="53"/>
  <c r="G109" i="53"/>
  <c r="F15" i="53"/>
  <c r="F18" i="53" s="1"/>
  <c r="E15" i="53"/>
  <c r="E18" i="53" s="1"/>
  <c r="D109" i="53"/>
  <c r="C109" i="53"/>
  <c r="H100" i="53"/>
  <c r="G100" i="53"/>
  <c r="F100" i="53"/>
  <c r="E100" i="53"/>
  <c r="D100" i="53"/>
  <c r="C100" i="53"/>
  <c r="H99" i="53"/>
  <c r="G99" i="53"/>
  <c r="F99" i="53"/>
  <c r="E99" i="53"/>
  <c r="D99" i="53"/>
  <c r="C99" i="53"/>
  <c r="H93" i="53"/>
  <c r="G93" i="53"/>
  <c r="F93" i="53"/>
  <c r="E93" i="53"/>
  <c r="D93" i="53"/>
  <c r="C93" i="53"/>
  <c r="H81" i="53"/>
  <c r="G81" i="53"/>
  <c r="F81" i="53"/>
  <c r="E81" i="53"/>
  <c r="D81" i="53"/>
  <c r="C81" i="53"/>
  <c r="H80" i="53"/>
  <c r="G80" i="53"/>
  <c r="F80" i="53"/>
  <c r="E80" i="53"/>
  <c r="D80" i="53"/>
  <c r="C80" i="53"/>
  <c r="H69" i="53"/>
  <c r="G69" i="53"/>
  <c r="F69" i="53"/>
  <c r="E69" i="53"/>
  <c r="D69" i="53"/>
  <c r="C69" i="53"/>
  <c r="I45" i="53"/>
  <c r="H45" i="53"/>
  <c r="G45" i="53"/>
  <c r="D3" i="53" s="1"/>
  <c r="F45" i="53"/>
  <c r="E45" i="53"/>
  <c r="D45" i="53"/>
  <c r="C45" i="53"/>
  <c r="I44" i="53"/>
  <c r="I52" i="53" s="1"/>
  <c r="H44" i="53"/>
  <c r="H52" i="53" s="1"/>
  <c r="G44" i="53"/>
  <c r="F44" i="53"/>
  <c r="F52" i="53" s="1"/>
  <c r="E44" i="53"/>
  <c r="E52" i="53" s="1"/>
  <c r="D44" i="53"/>
  <c r="D52" i="53" s="1"/>
  <c r="C44" i="53"/>
  <c r="C52" i="53" s="1"/>
  <c r="I43" i="53"/>
  <c r="I40" i="53"/>
  <c r="H40" i="53"/>
  <c r="G40" i="53"/>
  <c r="F40" i="53"/>
  <c r="F50" i="53" s="1"/>
  <c r="E40" i="53"/>
  <c r="E50" i="53" s="1"/>
  <c r="D40" i="53"/>
  <c r="D50" i="53" s="1"/>
  <c r="C40" i="53"/>
  <c r="C50" i="53" s="1"/>
  <c r="I38" i="53"/>
  <c r="I36" i="53"/>
  <c r="I35" i="53"/>
  <c r="H35" i="53"/>
  <c r="G35" i="53"/>
  <c r="F35" i="53"/>
  <c r="E35" i="53"/>
  <c r="D35" i="53"/>
  <c r="C35" i="53"/>
  <c r="C20" i="53"/>
  <c r="I15" i="53"/>
  <c r="I18" i="53" s="1"/>
  <c r="I21" i="53" s="1"/>
  <c r="D15" i="53"/>
  <c r="D18" i="53" s="1"/>
  <c r="D21" i="53" s="1"/>
  <c r="C15" i="53"/>
  <c r="C18" i="53" s="1"/>
  <c r="I13" i="53"/>
  <c r="H13" i="53"/>
  <c r="G13" i="53"/>
  <c r="F13" i="53"/>
  <c r="E13" i="53"/>
  <c r="D13" i="53"/>
  <c r="C13" i="53"/>
  <c r="I12" i="53"/>
  <c r="H12" i="53"/>
  <c r="H14" i="53" s="1"/>
  <c r="G12" i="53"/>
  <c r="F12" i="53"/>
  <c r="E12" i="53"/>
  <c r="D12" i="53"/>
  <c r="C12" i="53"/>
  <c r="I10" i="53"/>
  <c r="H10" i="53"/>
  <c r="G10" i="53"/>
  <c r="F10" i="53"/>
  <c r="F11" i="53" s="1"/>
  <c r="E10" i="53"/>
  <c r="D10" i="53"/>
  <c r="C10" i="53"/>
  <c r="I9" i="53"/>
  <c r="H9" i="53"/>
  <c r="G9" i="53"/>
  <c r="F9" i="53"/>
  <c r="E9" i="53"/>
  <c r="D9" i="53"/>
  <c r="C9" i="53"/>
  <c r="I8" i="53"/>
  <c r="H8" i="53"/>
  <c r="G8" i="53"/>
  <c r="F8" i="53"/>
  <c r="E8" i="53"/>
  <c r="D8" i="53"/>
  <c r="C8" i="53"/>
  <c r="I7" i="53"/>
  <c r="I29" i="53" s="1"/>
  <c r="H7" i="53"/>
  <c r="H29" i="53" s="1"/>
  <c r="G7" i="53"/>
  <c r="F7" i="53"/>
  <c r="E7" i="53"/>
  <c r="D7" i="53"/>
  <c r="C7" i="53"/>
  <c r="B2" i="53"/>
  <c r="C47" i="52"/>
  <c r="C45" i="52" s="1"/>
  <c r="D47" i="52"/>
  <c r="F47" i="52"/>
  <c r="G47" i="52"/>
  <c r="G45" i="52" s="1"/>
  <c r="H47" i="52"/>
  <c r="H46" i="52"/>
  <c r="I47" i="52"/>
  <c r="I44" i="52" s="1"/>
  <c r="I52" i="52" s="1"/>
  <c r="I126" i="52"/>
  <c r="I128" i="52" s="1"/>
  <c r="I131" i="52" s="1"/>
  <c r="I38" i="52" s="1"/>
  <c r="H144" i="52"/>
  <c r="H43" i="52" s="1"/>
  <c r="G144" i="52"/>
  <c r="G43" i="52" s="1"/>
  <c r="F144" i="52"/>
  <c r="F43" i="52" s="1"/>
  <c r="E144" i="52"/>
  <c r="E43" i="52" s="1"/>
  <c r="D144" i="52"/>
  <c r="D43" i="52" s="1"/>
  <c r="C144" i="52"/>
  <c r="C43" i="52" s="1"/>
  <c r="H114" i="52"/>
  <c r="H119" i="52" s="1"/>
  <c r="G114" i="52"/>
  <c r="G119" i="52" s="1"/>
  <c r="F114" i="52"/>
  <c r="F119" i="52"/>
  <c r="F126" i="52" s="1"/>
  <c r="F128" i="52" s="1"/>
  <c r="F131" i="52" s="1"/>
  <c r="F38" i="52" s="1"/>
  <c r="E114" i="52"/>
  <c r="E119" i="52" s="1"/>
  <c r="D114" i="52"/>
  <c r="D119" i="52" s="1"/>
  <c r="C114" i="52"/>
  <c r="C119" i="52" s="1"/>
  <c r="I108" i="52"/>
  <c r="H107" i="52"/>
  <c r="H15" i="52" s="1"/>
  <c r="H18" i="52" s="1"/>
  <c r="H21" i="52" s="1"/>
  <c r="G107" i="52"/>
  <c r="G108" i="52" s="1"/>
  <c r="F107" i="52"/>
  <c r="F108" i="52" s="1"/>
  <c r="E107" i="52"/>
  <c r="E15" i="52"/>
  <c r="E18" i="52" s="1"/>
  <c r="D107" i="52"/>
  <c r="D108" i="52" s="1"/>
  <c r="C107" i="52"/>
  <c r="C15" i="52" s="1"/>
  <c r="C18" i="52" s="1"/>
  <c r="H100" i="52"/>
  <c r="G100" i="52"/>
  <c r="F100" i="52"/>
  <c r="E100" i="52"/>
  <c r="D100" i="52"/>
  <c r="C100" i="52"/>
  <c r="H99" i="52"/>
  <c r="G99" i="52"/>
  <c r="F99" i="52"/>
  <c r="E99" i="52"/>
  <c r="D99" i="52"/>
  <c r="C99" i="52"/>
  <c r="H93" i="52"/>
  <c r="G93" i="52"/>
  <c r="F93" i="52"/>
  <c r="E93" i="52"/>
  <c r="D93" i="52"/>
  <c r="C93" i="52"/>
  <c r="H81" i="52"/>
  <c r="G81" i="52"/>
  <c r="F81" i="52"/>
  <c r="E81" i="52"/>
  <c r="D81" i="52"/>
  <c r="C81" i="52"/>
  <c r="H80" i="52"/>
  <c r="G80" i="52"/>
  <c r="F80" i="52"/>
  <c r="E80" i="52"/>
  <c r="D80" i="52"/>
  <c r="C80" i="52"/>
  <c r="H69" i="52"/>
  <c r="G69" i="52"/>
  <c r="F69" i="52"/>
  <c r="E69" i="52"/>
  <c r="D69" i="52"/>
  <c r="C69" i="52"/>
  <c r="I45" i="52"/>
  <c r="H45" i="52"/>
  <c r="E45" i="52"/>
  <c r="H44" i="52"/>
  <c r="H52" i="52" s="1"/>
  <c r="E44" i="52"/>
  <c r="E52" i="52" s="1"/>
  <c r="C44" i="52"/>
  <c r="C52" i="52" s="1"/>
  <c r="I43" i="52"/>
  <c r="I40" i="52"/>
  <c r="I20" i="52" s="1"/>
  <c r="H40" i="52"/>
  <c r="H20" i="52" s="1"/>
  <c r="G40" i="52"/>
  <c r="G20" i="52" s="1"/>
  <c r="F40" i="52"/>
  <c r="F20" i="52" s="1"/>
  <c r="E40" i="52"/>
  <c r="E50" i="52" s="1"/>
  <c r="D40" i="52"/>
  <c r="D20" i="52" s="1"/>
  <c r="C40" i="52"/>
  <c r="I36" i="52"/>
  <c r="I35" i="52"/>
  <c r="H35" i="52"/>
  <c r="G35" i="52"/>
  <c r="F35" i="52"/>
  <c r="E35" i="52"/>
  <c r="D35" i="52"/>
  <c r="C35" i="52"/>
  <c r="I15" i="52"/>
  <c r="I18" i="52" s="1"/>
  <c r="I21" i="52" s="1"/>
  <c r="I13" i="52"/>
  <c r="H13" i="52"/>
  <c r="G13" i="52"/>
  <c r="F13" i="52"/>
  <c r="E13" i="52"/>
  <c r="E14" i="52" s="1"/>
  <c r="D13" i="52"/>
  <c r="D14" i="52" s="1"/>
  <c r="C13" i="52"/>
  <c r="I12" i="52"/>
  <c r="H12" i="52"/>
  <c r="G12" i="52"/>
  <c r="F12" i="52"/>
  <c r="E12" i="52"/>
  <c r="D12" i="52"/>
  <c r="C12" i="52"/>
  <c r="I10" i="52"/>
  <c r="H10" i="52"/>
  <c r="G10" i="52"/>
  <c r="G11" i="52" s="1"/>
  <c r="F10" i="52"/>
  <c r="E10" i="52"/>
  <c r="D10" i="52"/>
  <c r="C10" i="52"/>
  <c r="I9" i="52"/>
  <c r="H9" i="52"/>
  <c r="G9" i="52"/>
  <c r="F9" i="52"/>
  <c r="E9" i="52"/>
  <c r="D9" i="52"/>
  <c r="C9" i="52"/>
  <c r="I8" i="52"/>
  <c r="H8" i="52"/>
  <c r="G8" i="52"/>
  <c r="F8" i="52"/>
  <c r="E8" i="52"/>
  <c r="D8" i="52"/>
  <c r="C8" i="52"/>
  <c r="I7" i="52"/>
  <c r="H7" i="52"/>
  <c r="G7" i="52"/>
  <c r="F7" i="52"/>
  <c r="E7" i="52"/>
  <c r="E29" i="52" s="1"/>
  <c r="D7" i="52"/>
  <c r="D30" i="52" s="1"/>
  <c r="B2" i="52"/>
  <c r="D52" i="19"/>
  <c r="E52" i="19"/>
  <c r="F52" i="19"/>
  <c r="G52" i="19"/>
  <c r="H52" i="19"/>
  <c r="I52" i="19"/>
  <c r="C52" i="19"/>
  <c r="D30" i="46"/>
  <c r="F50" i="51"/>
  <c r="F48" i="51" s="1"/>
  <c r="F56" i="51" s="1"/>
  <c r="G50" i="51"/>
  <c r="G48" i="51" s="1"/>
  <c r="C122" i="51"/>
  <c r="D122" i="51"/>
  <c r="E122" i="51"/>
  <c r="F122" i="51"/>
  <c r="G122" i="51"/>
  <c r="H122" i="51"/>
  <c r="H123" i="51" s="1"/>
  <c r="H38" i="51" s="1"/>
  <c r="H39" i="51" s="1"/>
  <c r="H146" i="51"/>
  <c r="H47" i="51" s="1"/>
  <c r="G146" i="51"/>
  <c r="G47" i="51" s="1"/>
  <c r="F146" i="51"/>
  <c r="F47" i="51" s="1"/>
  <c r="E146" i="51"/>
  <c r="E47" i="51" s="1"/>
  <c r="D146" i="51"/>
  <c r="D47" i="51" s="1"/>
  <c r="C146" i="51"/>
  <c r="C47" i="51" s="1"/>
  <c r="I133" i="51"/>
  <c r="I40" i="51" s="1"/>
  <c r="H118" i="51"/>
  <c r="G118" i="51"/>
  <c r="F118" i="51"/>
  <c r="E118" i="51"/>
  <c r="D118" i="51"/>
  <c r="C118" i="51"/>
  <c r="C123" i="51" s="1"/>
  <c r="I112" i="51"/>
  <c r="H111" i="51"/>
  <c r="H16" i="51" s="1"/>
  <c r="H19" i="51" s="1"/>
  <c r="H20" i="51" s="1"/>
  <c r="G111" i="51"/>
  <c r="G112" i="51" s="1"/>
  <c r="F111" i="51"/>
  <c r="F112" i="51" s="1"/>
  <c r="E111" i="51"/>
  <c r="E112" i="51" s="1"/>
  <c r="D111" i="51"/>
  <c r="D16" i="51" s="1"/>
  <c r="D19" i="51" s="1"/>
  <c r="D20" i="51" s="1"/>
  <c r="C111" i="51"/>
  <c r="C112" i="51" s="1"/>
  <c r="H104" i="51"/>
  <c r="G104" i="51"/>
  <c r="F104" i="51"/>
  <c r="E104" i="51"/>
  <c r="D104" i="51"/>
  <c r="C104" i="51"/>
  <c r="H103" i="51"/>
  <c r="G103" i="51"/>
  <c r="F103" i="51"/>
  <c r="E103" i="51"/>
  <c r="D103" i="51"/>
  <c r="C103" i="51"/>
  <c r="H97" i="51"/>
  <c r="G97" i="51"/>
  <c r="F97" i="51"/>
  <c r="E97" i="51"/>
  <c r="D97" i="51"/>
  <c r="C97" i="51"/>
  <c r="H85" i="51"/>
  <c r="G85" i="51"/>
  <c r="F85" i="51"/>
  <c r="E85" i="51"/>
  <c r="D85" i="51"/>
  <c r="C85" i="51"/>
  <c r="H84" i="51"/>
  <c r="G84" i="51"/>
  <c r="F84" i="51"/>
  <c r="E84" i="51"/>
  <c r="D84" i="51"/>
  <c r="C84" i="51"/>
  <c r="H73" i="51"/>
  <c r="G73" i="51"/>
  <c r="F73" i="51"/>
  <c r="E73" i="51"/>
  <c r="D73" i="51"/>
  <c r="C73" i="51"/>
  <c r="I49" i="51"/>
  <c r="H49" i="51"/>
  <c r="G49" i="51"/>
  <c r="E49" i="51"/>
  <c r="D49" i="51"/>
  <c r="C49" i="51"/>
  <c r="I48" i="51"/>
  <c r="I56" i="51" s="1"/>
  <c r="H48" i="51"/>
  <c r="H56" i="51"/>
  <c r="E48" i="51"/>
  <c r="E56" i="51" s="1"/>
  <c r="D48" i="51"/>
  <c r="D56" i="51" s="1"/>
  <c r="C48" i="51"/>
  <c r="C56" i="51" s="1"/>
  <c r="I47" i="51"/>
  <c r="I42" i="51"/>
  <c r="H42" i="51"/>
  <c r="G42" i="51"/>
  <c r="G43" i="51" s="1"/>
  <c r="G54" i="51" s="1"/>
  <c r="F42" i="51"/>
  <c r="E42" i="51"/>
  <c r="D42" i="51"/>
  <c r="D43" i="51" s="1"/>
  <c r="C42" i="51"/>
  <c r="C43" i="51" s="1"/>
  <c r="I38" i="51"/>
  <c r="I37" i="51"/>
  <c r="H37" i="51"/>
  <c r="G37" i="51"/>
  <c r="F37" i="51"/>
  <c r="E37" i="51"/>
  <c r="D37" i="51"/>
  <c r="C37" i="51"/>
  <c r="I16" i="51"/>
  <c r="I14" i="51"/>
  <c r="H14" i="51"/>
  <c r="G14" i="51"/>
  <c r="F14" i="51"/>
  <c r="E14" i="51"/>
  <c r="D14" i="51"/>
  <c r="C14" i="51"/>
  <c r="I13" i="51"/>
  <c r="H13" i="51"/>
  <c r="G13" i="51"/>
  <c r="F13" i="51"/>
  <c r="F31" i="51" s="1"/>
  <c r="E13" i="51"/>
  <c r="D13" i="51"/>
  <c r="C13" i="51"/>
  <c r="I11" i="51"/>
  <c r="H11" i="51"/>
  <c r="G11" i="51"/>
  <c r="F11" i="51"/>
  <c r="E11" i="51"/>
  <c r="D11" i="51"/>
  <c r="C11" i="51"/>
  <c r="I9" i="51"/>
  <c r="H9" i="51"/>
  <c r="G9" i="51"/>
  <c r="F9" i="51"/>
  <c r="E9" i="51"/>
  <c r="D9" i="51"/>
  <c r="C9" i="51"/>
  <c r="I8" i="51"/>
  <c r="H8" i="51"/>
  <c r="G8" i="51"/>
  <c r="F8" i="51"/>
  <c r="E8" i="51"/>
  <c r="D8" i="51"/>
  <c r="C8" i="51"/>
  <c r="I7" i="51"/>
  <c r="H7" i="51"/>
  <c r="G7" i="51"/>
  <c r="F7" i="51"/>
  <c r="E7" i="51"/>
  <c r="E12" i="51" s="1"/>
  <c r="D7" i="51"/>
  <c r="C7" i="51"/>
  <c r="B2" i="51"/>
  <c r="E119" i="50"/>
  <c r="F119" i="50"/>
  <c r="G119" i="50"/>
  <c r="H119" i="50"/>
  <c r="C108" i="50"/>
  <c r="C15" i="50" s="1"/>
  <c r="C18" i="50" s="1"/>
  <c r="D108" i="50"/>
  <c r="D15" i="50" s="1"/>
  <c r="D18" i="50" s="1"/>
  <c r="E108" i="50"/>
  <c r="E109" i="50"/>
  <c r="F108" i="50"/>
  <c r="F15" i="50" s="1"/>
  <c r="F18" i="50" s="1"/>
  <c r="F109" i="50"/>
  <c r="G108" i="50"/>
  <c r="G109" i="50" s="1"/>
  <c r="I108" i="50"/>
  <c r="I109" i="50" s="1"/>
  <c r="H108" i="50"/>
  <c r="H109" i="50" s="1"/>
  <c r="H143" i="50"/>
  <c r="H43" i="50" s="1"/>
  <c r="G143" i="50"/>
  <c r="G43" i="50" s="1"/>
  <c r="F143" i="50"/>
  <c r="F43" i="50" s="1"/>
  <c r="E143" i="50"/>
  <c r="E43" i="50" s="1"/>
  <c r="D143" i="50"/>
  <c r="D43" i="50" s="1"/>
  <c r="C143" i="50"/>
  <c r="C43" i="50" s="1"/>
  <c r="I130" i="50"/>
  <c r="I38" i="50" s="1"/>
  <c r="H115" i="50"/>
  <c r="G115" i="50"/>
  <c r="F115" i="50"/>
  <c r="E115" i="50"/>
  <c r="D115" i="50"/>
  <c r="D120" i="50" s="1"/>
  <c r="C115" i="50"/>
  <c r="C120" i="50" s="1"/>
  <c r="H100" i="50"/>
  <c r="G100" i="50"/>
  <c r="F100" i="50"/>
  <c r="E100" i="50"/>
  <c r="D100" i="50"/>
  <c r="C100" i="50"/>
  <c r="H99" i="50"/>
  <c r="G99" i="50"/>
  <c r="F99" i="50"/>
  <c r="E99" i="50"/>
  <c r="D99" i="50"/>
  <c r="C99" i="50"/>
  <c r="H93" i="50"/>
  <c r="G93" i="50"/>
  <c r="F93" i="50"/>
  <c r="E93" i="50"/>
  <c r="D93" i="50"/>
  <c r="C93" i="50"/>
  <c r="H81" i="50"/>
  <c r="G81" i="50"/>
  <c r="F81" i="50"/>
  <c r="E81" i="50"/>
  <c r="D81" i="50"/>
  <c r="C81" i="50"/>
  <c r="H80" i="50"/>
  <c r="G80" i="50"/>
  <c r="F80" i="50"/>
  <c r="E80" i="50"/>
  <c r="D80" i="50"/>
  <c r="C80" i="50"/>
  <c r="H69" i="50"/>
  <c r="G69" i="50"/>
  <c r="F69" i="50"/>
  <c r="E69" i="50"/>
  <c r="D69" i="50"/>
  <c r="C69" i="50"/>
  <c r="I45" i="50"/>
  <c r="H45" i="50"/>
  <c r="G45" i="50"/>
  <c r="F45" i="50"/>
  <c r="E45" i="50"/>
  <c r="D45" i="50"/>
  <c r="C45" i="50"/>
  <c r="I44" i="50"/>
  <c r="I52" i="50" s="1"/>
  <c r="H44" i="50"/>
  <c r="H52" i="50" s="1"/>
  <c r="G44" i="50"/>
  <c r="G52" i="50" s="1"/>
  <c r="F44" i="50"/>
  <c r="F52" i="50"/>
  <c r="E44" i="50"/>
  <c r="E52" i="50" s="1"/>
  <c r="D44" i="50"/>
  <c r="D52" i="50" s="1"/>
  <c r="C44" i="50"/>
  <c r="C52" i="50" s="1"/>
  <c r="I43" i="50"/>
  <c r="I40" i="50"/>
  <c r="I50" i="50" s="1"/>
  <c r="H40" i="50"/>
  <c r="H50" i="50" s="1"/>
  <c r="G40" i="50"/>
  <c r="G50" i="50" s="1"/>
  <c r="F40" i="50"/>
  <c r="F50" i="50" s="1"/>
  <c r="E40" i="50"/>
  <c r="E50" i="50" s="1"/>
  <c r="D40" i="50"/>
  <c r="D50" i="50" s="1"/>
  <c r="C40" i="50"/>
  <c r="C50" i="50" s="1"/>
  <c r="I36" i="50"/>
  <c r="I35" i="50"/>
  <c r="H35" i="50"/>
  <c r="G35" i="50"/>
  <c r="F35" i="50"/>
  <c r="E35" i="50"/>
  <c r="D35" i="50"/>
  <c r="C35" i="50"/>
  <c r="I13" i="50"/>
  <c r="H13" i="50"/>
  <c r="G13" i="50"/>
  <c r="F13" i="50"/>
  <c r="F14" i="50" s="1"/>
  <c r="F32" i="50" s="1"/>
  <c r="E13" i="50"/>
  <c r="D13" i="50"/>
  <c r="C13" i="50"/>
  <c r="I12" i="50"/>
  <c r="H12" i="50"/>
  <c r="G12" i="50"/>
  <c r="F12" i="50"/>
  <c r="E12" i="50"/>
  <c r="D12" i="50"/>
  <c r="C12" i="50"/>
  <c r="I10" i="50"/>
  <c r="H10" i="50"/>
  <c r="H11" i="50" s="1"/>
  <c r="G10" i="50"/>
  <c r="F10" i="50"/>
  <c r="E10" i="50"/>
  <c r="D10" i="50"/>
  <c r="C10" i="50"/>
  <c r="I9" i="50"/>
  <c r="H9" i="50"/>
  <c r="G9" i="50"/>
  <c r="F9" i="50"/>
  <c r="E9" i="50"/>
  <c r="D9" i="50"/>
  <c r="C9" i="50"/>
  <c r="C31" i="50" s="1"/>
  <c r="I8" i="50"/>
  <c r="H8" i="50"/>
  <c r="G8" i="50"/>
  <c r="F8" i="50"/>
  <c r="E8" i="50"/>
  <c r="D8" i="50"/>
  <c r="C8" i="50"/>
  <c r="I7" i="50"/>
  <c r="H7" i="50"/>
  <c r="G7" i="50"/>
  <c r="F7" i="50"/>
  <c r="E7" i="50"/>
  <c r="E29" i="50" s="1"/>
  <c r="D7" i="50"/>
  <c r="D30" i="50" s="1"/>
  <c r="C7" i="50"/>
  <c r="B2" i="50"/>
  <c r="Q36" i="1"/>
  <c r="I45" i="24"/>
  <c r="H45" i="24"/>
  <c r="G45" i="24"/>
  <c r="F45" i="24"/>
  <c r="E45" i="24"/>
  <c r="D45" i="24"/>
  <c r="C45" i="24"/>
  <c r="D47" i="17"/>
  <c r="E47" i="17"/>
  <c r="F47" i="17"/>
  <c r="H47" i="17"/>
  <c r="I47" i="17"/>
  <c r="Q34" i="1"/>
  <c r="F45" i="49"/>
  <c r="E45" i="49"/>
  <c r="D45" i="49"/>
  <c r="C45" i="49"/>
  <c r="D45" i="25"/>
  <c r="D54" i="25" s="1"/>
  <c r="E45" i="25"/>
  <c r="E54" i="25" s="1"/>
  <c r="F45" i="25"/>
  <c r="G45" i="25"/>
  <c r="H45" i="25"/>
  <c r="I45" i="25"/>
  <c r="I54" i="25" s="1"/>
  <c r="D46" i="25"/>
  <c r="E46" i="25"/>
  <c r="F46" i="25"/>
  <c r="G46" i="25"/>
  <c r="H46" i="25"/>
  <c r="I46" i="25"/>
  <c r="I45" i="26"/>
  <c r="G45" i="26"/>
  <c r="F45" i="26"/>
  <c r="E45" i="26"/>
  <c r="D45" i="26"/>
  <c r="C45" i="26"/>
  <c r="I47" i="38"/>
  <c r="H47" i="38"/>
  <c r="G47" i="38"/>
  <c r="F47" i="38"/>
  <c r="E47" i="38"/>
  <c r="D47" i="38"/>
  <c r="C47" i="38"/>
  <c r="D45" i="39"/>
  <c r="E45" i="39"/>
  <c r="F45" i="39"/>
  <c r="G45" i="39"/>
  <c r="H45" i="39"/>
  <c r="C45" i="39"/>
  <c r="I45" i="39"/>
  <c r="I7" i="19"/>
  <c r="I30" i="19"/>
  <c r="I8" i="19"/>
  <c r="I9" i="19"/>
  <c r="I11" i="19"/>
  <c r="I12" i="19"/>
  <c r="I14" i="19"/>
  <c r="I17" i="19"/>
  <c r="I29" i="19"/>
  <c r="I34" i="19"/>
  <c r="I37" i="19"/>
  <c r="I38" i="19"/>
  <c r="I39" i="19"/>
  <c r="I19" i="19"/>
  <c r="D44" i="19"/>
  <c r="E44" i="19"/>
  <c r="F44" i="19"/>
  <c r="G44" i="19"/>
  <c r="H44" i="19"/>
  <c r="I44" i="19"/>
  <c r="C44" i="19"/>
  <c r="D3" i="19"/>
  <c r="H45" i="11"/>
  <c r="D3" i="11" s="1"/>
  <c r="G45" i="11"/>
  <c r="F45" i="11"/>
  <c r="E45" i="11"/>
  <c r="D45" i="11"/>
  <c r="C45" i="11"/>
  <c r="I45" i="12"/>
  <c r="H45" i="12"/>
  <c r="G45" i="12"/>
  <c r="F45" i="12"/>
  <c r="E45" i="12"/>
  <c r="D45" i="12"/>
  <c r="C45" i="12"/>
  <c r="I45" i="43"/>
  <c r="H45" i="43"/>
  <c r="G45" i="43"/>
  <c r="E45" i="43"/>
  <c r="D45" i="43"/>
  <c r="C45" i="43"/>
  <c r="I45" i="42"/>
  <c r="H45" i="42"/>
  <c r="G45" i="42"/>
  <c r="E45" i="42"/>
  <c r="D45" i="42"/>
  <c r="C45" i="42"/>
  <c r="I51" i="44"/>
  <c r="H51" i="44"/>
  <c r="G51" i="44"/>
  <c r="D3" i="44" s="1"/>
  <c r="F51" i="44"/>
  <c r="E51" i="44"/>
  <c r="D51" i="44"/>
  <c r="C51" i="44"/>
  <c r="I45" i="18"/>
  <c r="H45" i="18"/>
  <c r="G45" i="18"/>
  <c r="E45" i="18"/>
  <c r="D45" i="18"/>
  <c r="C45" i="18"/>
  <c r="C29" i="88"/>
  <c r="D29" i="88"/>
  <c r="H48" i="7"/>
  <c r="I48" i="7"/>
  <c r="J48" i="7"/>
  <c r="G48" i="7"/>
  <c r="I3" i="7" s="1"/>
  <c r="J49" i="7"/>
  <c r="I49" i="7"/>
  <c r="H49" i="7"/>
  <c r="G49" i="7"/>
  <c r="D62" i="2"/>
  <c r="E62" i="2"/>
  <c r="F62" i="2"/>
  <c r="H62" i="2"/>
  <c r="B2" i="20"/>
  <c r="B2" i="49"/>
  <c r="B2" i="25"/>
  <c r="B2" i="26"/>
  <c r="B2" i="41"/>
  <c r="B2" i="22"/>
  <c r="B2" i="14"/>
  <c r="B2" i="39"/>
  <c r="B2" i="19"/>
  <c r="B2" i="13"/>
  <c r="B2" i="40"/>
  <c r="B2" i="23"/>
  <c r="B2" i="43"/>
  <c r="B2" i="42"/>
  <c r="B2" i="11"/>
  <c r="B2" i="12"/>
  <c r="B2" i="16"/>
  <c r="C7" i="16"/>
  <c r="D7" i="16"/>
  <c r="E7" i="16"/>
  <c r="F7" i="16"/>
  <c r="G7" i="16"/>
  <c r="H7" i="16"/>
  <c r="C8" i="16"/>
  <c r="D8" i="16"/>
  <c r="E8" i="16"/>
  <c r="F8" i="16"/>
  <c r="G8" i="16"/>
  <c r="H8" i="16"/>
  <c r="B2" i="15"/>
  <c r="B2" i="44"/>
  <c r="B2" i="18"/>
  <c r="B2" i="17"/>
  <c r="B2" i="37"/>
  <c r="B2" i="9"/>
  <c r="B2" i="8"/>
  <c r="B2" i="48"/>
  <c r="B2" i="46"/>
  <c r="B2" i="7"/>
  <c r="B2" i="6"/>
  <c r="B2" i="5"/>
  <c r="H42" i="19"/>
  <c r="I43" i="12"/>
  <c r="I43" i="15"/>
  <c r="H44" i="25"/>
  <c r="H135" i="39"/>
  <c r="H43" i="39"/>
  <c r="H138" i="19"/>
  <c r="H48" i="13"/>
  <c r="H43" i="8"/>
  <c r="H46" i="3"/>
  <c r="G47" i="49"/>
  <c r="G46" i="49"/>
  <c r="C139" i="49"/>
  <c r="C40" i="49" s="1"/>
  <c r="C56" i="49" s="1"/>
  <c r="D139" i="49"/>
  <c r="D40" i="49" s="1"/>
  <c r="D56" i="49" s="1"/>
  <c r="E139" i="49"/>
  <c r="E40" i="49" s="1"/>
  <c r="E56" i="49" s="1"/>
  <c r="F139" i="49"/>
  <c r="F40" i="49" s="1"/>
  <c r="G139" i="49"/>
  <c r="H139" i="49"/>
  <c r="H40" i="49" s="1"/>
  <c r="H47" i="49"/>
  <c r="H45" i="49"/>
  <c r="I47" i="49"/>
  <c r="I45" i="49" s="1"/>
  <c r="C151" i="49"/>
  <c r="C43" i="49"/>
  <c r="I136" i="49"/>
  <c r="I138" i="49" s="1"/>
  <c r="I38" i="49" s="1"/>
  <c r="C115" i="49"/>
  <c r="C15" i="49"/>
  <c r="C18" i="49" s="1"/>
  <c r="D115" i="49"/>
  <c r="D15" i="49" s="1"/>
  <c r="D18" i="49" s="1"/>
  <c r="E115" i="49"/>
  <c r="E116" i="49" s="1"/>
  <c r="F115" i="49"/>
  <c r="F15" i="49"/>
  <c r="F18" i="49" s="1"/>
  <c r="F21" i="49" s="1"/>
  <c r="G115" i="49"/>
  <c r="G116" i="49"/>
  <c r="I115" i="49"/>
  <c r="I116" i="49" s="1"/>
  <c r="H115" i="49"/>
  <c r="H116" i="49" s="1"/>
  <c r="H151" i="49"/>
  <c r="H43" i="49" s="1"/>
  <c r="G151" i="49"/>
  <c r="G43" i="49" s="1"/>
  <c r="F151" i="49"/>
  <c r="F43" i="49" s="1"/>
  <c r="E151" i="49"/>
  <c r="E43" i="49" s="1"/>
  <c r="D43" i="49"/>
  <c r="H122" i="49"/>
  <c r="H127" i="49" s="1"/>
  <c r="G122" i="49"/>
  <c r="G127" i="49" s="1"/>
  <c r="F122" i="49"/>
  <c r="F127" i="49" s="1"/>
  <c r="E122" i="49"/>
  <c r="E127" i="49" s="1"/>
  <c r="D122" i="49"/>
  <c r="D127" i="49"/>
  <c r="D36" i="49" s="1"/>
  <c r="C122" i="49"/>
  <c r="C127" i="49" s="1"/>
  <c r="H107" i="49"/>
  <c r="G107" i="49"/>
  <c r="F107" i="49"/>
  <c r="E107" i="49"/>
  <c r="D107" i="49"/>
  <c r="C107" i="49"/>
  <c r="H106" i="49"/>
  <c r="G106" i="49"/>
  <c r="F106" i="49"/>
  <c r="E106" i="49"/>
  <c r="D106" i="49"/>
  <c r="C106" i="49"/>
  <c r="H100" i="49"/>
  <c r="G100" i="49"/>
  <c r="F100" i="49"/>
  <c r="E100" i="49"/>
  <c r="D100" i="49"/>
  <c r="C100" i="49"/>
  <c r="H88" i="49"/>
  <c r="G88" i="49"/>
  <c r="F88" i="49"/>
  <c r="E88" i="49"/>
  <c r="D88" i="49"/>
  <c r="C88" i="49"/>
  <c r="H87" i="49"/>
  <c r="G87" i="49"/>
  <c r="F87" i="49"/>
  <c r="E87" i="49"/>
  <c r="D87" i="49"/>
  <c r="C87" i="49"/>
  <c r="H76" i="49"/>
  <c r="G76" i="49"/>
  <c r="F76" i="49"/>
  <c r="E76" i="49"/>
  <c r="D76" i="49"/>
  <c r="C76" i="49"/>
  <c r="H44" i="49"/>
  <c r="F44" i="49"/>
  <c r="F58" i="49" s="1"/>
  <c r="E44" i="49"/>
  <c r="E58" i="49" s="1"/>
  <c r="D44" i="49"/>
  <c r="D58" i="49" s="1"/>
  <c r="C44" i="49"/>
  <c r="C58" i="49"/>
  <c r="I43" i="49"/>
  <c r="I40" i="49"/>
  <c r="G40" i="49"/>
  <c r="I36" i="49"/>
  <c r="I35" i="49"/>
  <c r="H35" i="49"/>
  <c r="G35" i="49"/>
  <c r="F35" i="49"/>
  <c r="E35" i="49"/>
  <c r="D35" i="49"/>
  <c r="C35" i="49"/>
  <c r="I13" i="49"/>
  <c r="H13" i="49"/>
  <c r="G13" i="49"/>
  <c r="F13" i="49"/>
  <c r="E13" i="49"/>
  <c r="D13" i="49"/>
  <c r="C13" i="49"/>
  <c r="I12" i="49"/>
  <c r="H12" i="49"/>
  <c r="G12" i="49"/>
  <c r="F12" i="49"/>
  <c r="E12" i="49"/>
  <c r="D12" i="49"/>
  <c r="C12" i="49"/>
  <c r="I10" i="49"/>
  <c r="H10" i="49"/>
  <c r="G10" i="49"/>
  <c r="F10" i="49"/>
  <c r="E10" i="49"/>
  <c r="D10" i="49"/>
  <c r="C10" i="49"/>
  <c r="I9" i="49"/>
  <c r="H9" i="49"/>
  <c r="G9" i="49"/>
  <c r="F9" i="49"/>
  <c r="E9" i="49"/>
  <c r="D9" i="49"/>
  <c r="C9" i="49"/>
  <c r="I8" i="49"/>
  <c r="H8" i="49"/>
  <c r="G8" i="49"/>
  <c r="F8" i="49"/>
  <c r="E8" i="49"/>
  <c r="D8" i="49"/>
  <c r="I7" i="49"/>
  <c r="H7" i="49"/>
  <c r="G7" i="49"/>
  <c r="G29" i="49" s="1"/>
  <c r="F7" i="49"/>
  <c r="E7" i="49"/>
  <c r="E29" i="49" s="1"/>
  <c r="D7" i="49"/>
  <c r="C7" i="49"/>
  <c r="F42" i="48"/>
  <c r="D45" i="48" s="1"/>
  <c r="H24" i="48"/>
  <c r="H26" i="48" s="1"/>
  <c r="G24" i="48"/>
  <c r="G26" i="48" s="1"/>
  <c r="F24" i="48"/>
  <c r="E24" i="48"/>
  <c r="E26" i="48" s="1"/>
  <c r="D24" i="48"/>
  <c r="D26" i="48" s="1"/>
  <c r="C24" i="48"/>
  <c r="H23" i="48"/>
  <c r="G23" i="48"/>
  <c r="F23" i="48"/>
  <c r="E23" i="48"/>
  <c r="D23" i="48"/>
  <c r="C23" i="48"/>
  <c r="H22" i="48"/>
  <c r="G22" i="48"/>
  <c r="F22" i="48"/>
  <c r="E22" i="48"/>
  <c r="D22" i="48"/>
  <c r="C22" i="48"/>
  <c r="E8" i="48"/>
  <c r="D8" i="48"/>
  <c r="C8" i="48"/>
  <c r="I36" i="46"/>
  <c r="I35" i="46"/>
  <c r="H35" i="46"/>
  <c r="G35" i="46"/>
  <c r="F35" i="46"/>
  <c r="E35" i="46"/>
  <c r="D35" i="46"/>
  <c r="I34" i="46"/>
  <c r="H34" i="46"/>
  <c r="G34" i="46"/>
  <c r="F34" i="46"/>
  <c r="E34" i="46"/>
  <c r="D34" i="46"/>
  <c r="I30" i="46"/>
  <c r="H30" i="46"/>
  <c r="D31" i="46" s="1"/>
  <c r="G30" i="46"/>
  <c r="F30" i="46"/>
  <c r="H9" i="46"/>
  <c r="H36" i="46" s="1"/>
  <c r="G9" i="46"/>
  <c r="G36" i="46" s="1"/>
  <c r="F9" i="46"/>
  <c r="F36" i="46" s="1"/>
  <c r="E9" i="46"/>
  <c r="D9" i="46"/>
  <c r="D36" i="46" s="1"/>
  <c r="E116" i="44"/>
  <c r="E117" i="44" s="1"/>
  <c r="F116" i="44"/>
  <c r="F15" i="44" s="1"/>
  <c r="F18" i="44" s="1"/>
  <c r="G116" i="44"/>
  <c r="G117" i="44" s="1"/>
  <c r="H116" i="44"/>
  <c r="H117" i="44" s="1"/>
  <c r="I116" i="44"/>
  <c r="I15" i="44" s="1"/>
  <c r="I18" i="44" s="1"/>
  <c r="I21" i="44" s="1"/>
  <c r="C116" i="44"/>
  <c r="C15" i="44" s="1"/>
  <c r="C18" i="44" s="1"/>
  <c r="D116" i="44"/>
  <c r="D117" i="44" s="1"/>
  <c r="I137" i="44"/>
  <c r="I139" i="44" s="1"/>
  <c r="C107" i="44"/>
  <c r="D107" i="44"/>
  <c r="E107" i="44"/>
  <c r="F107" i="44"/>
  <c r="G107" i="44"/>
  <c r="I108" i="44"/>
  <c r="I107" i="44"/>
  <c r="H107" i="44"/>
  <c r="H152" i="44"/>
  <c r="H43" i="44" s="1"/>
  <c r="G152" i="44"/>
  <c r="G43" i="44"/>
  <c r="F152" i="44"/>
  <c r="F43" i="44" s="1"/>
  <c r="E152" i="44"/>
  <c r="E43" i="44" s="1"/>
  <c r="D152" i="44"/>
  <c r="D43" i="44" s="1"/>
  <c r="C152" i="44"/>
  <c r="C43" i="44" s="1"/>
  <c r="H123" i="44"/>
  <c r="H128" i="44" s="1"/>
  <c r="G123" i="44"/>
  <c r="G128" i="44" s="1"/>
  <c r="F123" i="44"/>
  <c r="F128" i="44" s="1"/>
  <c r="E123" i="44"/>
  <c r="E128" i="44" s="1"/>
  <c r="D123" i="44"/>
  <c r="D128" i="44"/>
  <c r="D36" i="44" s="1"/>
  <c r="C123" i="44"/>
  <c r="C128" i="44" s="1"/>
  <c r="I117" i="44"/>
  <c r="H108" i="44"/>
  <c r="G108" i="44"/>
  <c r="F108" i="44"/>
  <c r="E108" i="44"/>
  <c r="D108" i="44"/>
  <c r="C108" i="44"/>
  <c r="H100" i="44"/>
  <c r="G100" i="44"/>
  <c r="F100" i="44"/>
  <c r="E100" i="44"/>
  <c r="D100" i="44"/>
  <c r="C100" i="44"/>
  <c r="H88" i="44"/>
  <c r="G88" i="44"/>
  <c r="F88" i="44"/>
  <c r="E88" i="44"/>
  <c r="D88" i="44"/>
  <c r="C88" i="44"/>
  <c r="H87" i="44"/>
  <c r="G87" i="44"/>
  <c r="F87" i="44"/>
  <c r="E87" i="44"/>
  <c r="D87" i="44"/>
  <c r="C87" i="44"/>
  <c r="H76" i="44"/>
  <c r="G76" i="44"/>
  <c r="F76" i="44"/>
  <c r="E76" i="44"/>
  <c r="D76" i="44"/>
  <c r="C76" i="44"/>
  <c r="I58" i="44"/>
  <c r="H50" i="44"/>
  <c r="H58" i="44" s="1"/>
  <c r="G50" i="44"/>
  <c r="G58" i="44" s="1"/>
  <c r="F50" i="44"/>
  <c r="F58" i="44" s="1"/>
  <c r="E50" i="44"/>
  <c r="E58" i="44" s="1"/>
  <c r="D50" i="44"/>
  <c r="D58" i="44" s="1"/>
  <c r="C50" i="44"/>
  <c r="C58" i="44" s="1"/>
  <c r="I43" i="44"/>
  <c r="H40" i="44"/>
  <c r="H56" i="44" s="1"/>
  <c r="G40" i="44"/>
  <c r="G56" i="44" s="1"/>
  <c r="I36" i="44"/>
  <c r="I35" i="44"/>
  <c r="H35" i="44"/>
  <c r="G35" i="44"/>
  <c r="F35" i="44"/>
  <c r="E35" i="44"/>
  <c r="D35" i="44"/>
  <c r="C35" i="44"/>
  <c r="I13" i="44"/>
  <c r="H13" i="44"/>
  <c r="G13" i="44"/>
  <c r="F13" i="44"/>
  <c r="E13" i="44"/>
  <c r="D13" i="44"/>
  <c r="C13" i="44"/>
  <c r="I12" i="44"/>
  <c r="I14" i="44" s="1"/>
  <c r="H12" i="44"/>
  <c r="G12" i="44"/>
  <c r="F12" i="44"/>
  <c r="E12" i="44"/>
  <c r="D12" i="44"/>
  <c r="D14" i="44" s="1"/>
  <c r="C12" i="44"/>
  <c r="I10" i="44"/>
  <c r="H10" i="44"/>
  <c r="G10" i="44"/>
  <c r="F10" i="44"/>
  <c r="E10" i="44"/>
  <c r="D10" i="44"/>
  <c r="C10" i="44"/>
  <c r="I9" i="44"/>
  <c r="H9" i="44"/>
  <c r="G9" i="44"/>
  <c r="F9" i="44"/>
  <c r="E9" i="44"/>
  <c r="D9" i="44"/>
  <c r="C9" i="44"/>
  <c r="I8" i="44"/>
  <c r="H8" i="44"/>
  <c r="G8" i="44"/>
  <c r="F8" i="44"/>
  <c r="E8" i="44"/>
  <c r="D8" i="44"/>
  <c r="C8" i="44"/>
  <c r="I7" i="44"/>
  <c r="H7" i="44"/>
  <c r="H29" i="44" s="1"/>
  <c r="G7" i="44"/>
  <c r="F7" i="44"/>
  <c r="E7" i="44"/>
  <c r="D7" i="44"/>
  <c r="C7" i="44"/>
  <c r="C29" i="44" s="1"/>
  <c r="F47" i="43"/>
  <c r="F45" i="43" s="1"/>
  <c r="I15" i="42"/>
  <c r="I18" i="42" s="1"/>
  <c r="I21" i="42" s="1"/>
  <c r="F47" i="42"/>
  <c r="F45" i="42" s="1"/>
  <c r="H146" i="43"/>
  <c r="H43" i="43" s="1"/>
  <c r="G146" i="43"/>
  <c r="G43" i="43"/>
  <c r="F146" i="43"/>
  <c r="E146" i="43"/>
  <c r="E43" i="43" s="1"/>
  <c r="D146" i="43"/>
  <c r="D43" i="43" s="1"/>
  <c r="C43" i="43"/>
  <c r="I38" i="43"/>
  <c r="H116" i="43"/>
  <c r="H122" i="43" s="1"/>
  <c r="G116" i="43"/>
  <c r="G122" i="43" s="1"/>
  <c r="F116" i="43"/>
  <c r="F122" i="43" s="1"/>
  <c r="E116" i="43"/>
  <c r="E122" i="43" s="1"/>
  <c r="E36" i="43" s="1"/>
  <c r="E37" i="43" s="1"/>
  <c r="D116" i="43"/>
  <c r="D122" i="43" s="1"/>
  <c r="H109" i="43"/>
  <c r="H15" i="43"/>
  <c r="H18" i="43"/>
  <c r="G109" i="43"/>
  <c r="G15" i="43" s="1"/>
  <c r="G18" i="43" s="1"/>
  <c r="G21" i="43" s="1"/>
  <c r="G110" i="43"/>
  <c r="F109" i="43"/>
  <c r="F110" i="43"/>
  <c r="E109" i="43"/>
  <c r="E110" i="43"/>
  <c r="D109" i="43"/>
  <c r="D110" i="43" s="1"/>
  <c r="C109" i="43"/>
  <c r="H100" i="43"/>
  <c r="G100" i="43"/>
  <c r="F100" i="43"/>
  <c r="E100" i="43"/>
  <c r="D100" i="43"/>
  <c r="C100" i="43"/>
  <c r="H99" i="43"/>
  <c r="G99" i="43"/>
  <c r="F99" i="43"/>
  <c r="E99" i="43"/>
  <c r="D99" i="43"/>
  <c r="C99" i="43"/>
  <c r="H93" i="43"/>
  <c r="G93" i="43"/>
  <c r="F93" i="43"/>
  <c r="E93" i="43"/>
  <c r="D93" i="43"/>
  <c r="C93" i="43"/>
  <c r="H81" i="43"/>
  <c r="G81" i="43"/>
  <c r="F81" i="43"/>
  <c r="E81" i="43"/>
  <c r="D81" i="43"/>
  <c r="C81" i="43"/>
  <c r="H80" i="43"/>
  <c r="G80" i="43"/>
  <c r="F80" i="43"/>
  <c r="E80" i="43"/>
  <c r="D80" i="43"/>
  <c r="C80" i="43"/>
  <c r="H69" i="43"/>
  <c r="G69" i="43"/>
  <c r="F69" i="43"/>
  <c r="E69" i="43"/>
  <c r="D69" i="43"/>
  <c r="C69" i="43"/>
  <c r="G44" i="43"/>
  <c r="E44" i="43"/>
  <c r="E52" i="43" s="1"/>
  <c r="D44" i="43"/>
  <c r="D52" i="43" s="1"/>
  <c r="C44" i="43"/>
  <c r="C52" i="43" s="1"/>
  <c r="I43" i="43"/>
  <c r="F43" i="43"/>
  <c r="I40" i="43"/>
  <c r="I50" i="43" s="1"/>
  <c r="H40" i="43"/>
  <c r="H50" i="43" s="1"/>
  <c r="G40" i="43"/>
  <c r="G50" i="43" s="1"/>
  <c r="F40" i="43"/>
  <c r="F20" i="43" s="1"/>
  <c r="E40" i="43"/>
  <c r="E50" i="43" s="1"/>
  <c r="D40" i="43"/>
  <c r="D50" i="43" s="1"/>
  <c r="C40" i="43"/>
  <c r="C50" i="43" s="1"/>
  <c r="I35" i="43"/>
  <c r="H35" i="43"/>
  <c r="G35" i="43"/>
  <c r="F35" i="43"/>
  <c r="E35" i="43"/>
  <c r="D35" i="43"/>
  <c r="C35" i="43"/>
  <c r="I15" i="43"/>
  <c r="I41" i="43" s="1"/>
  <c r="I13" i="43"/>
  <c r="I14" i="43" s="1"/>
  <c r="H13" i="43"/>
  <c r="G13" i="43"/>
  <c r="F13" i="43"/>
  <c r="F14" i="43" s="1"/>
  <c r="F32" i="43" s="1"/>
  <c r="E13" i="43"/>
  <c r="D13" i="43"/>
  <c r="C13" i="43"/>
  <c r="I12" i="43"/>
  <c r="H12" i="43"/>
  <c r="G12" i="43"/>
  <c r="F12" i="43"/>
  <c r="E12" i="43"/>
  <c r="E14" i="43" s="1"/>
  <c r="E32" i="43" s="1"/>
  <c r="D12" i="43"/>
  <c r="C12" i="43"/>
  <c r="C29" i="43" s="1"/>
  <c r="I10" i="43"/>
  <c r="H10" i="43"/>
  <c r="G10" i="43"/>
  <c r="F10" i="43"/>
  <c r="E10" i="43"/>
  <c r="E11" i="43" s="1"/>
  <c r="D10" i="43"/>
  <c r="C10" i="43"/>
  <c r="I9" i="43"/>
  <c r="H9" i="43"/>
  <c r="G9" i="43"/>
  <c r="G31" i="43" s="1"/>
  <c r="F9" i="43"/>
  <c r="E9" i="43"/>
  <c r="D9" i="43"/>
  <c r="C9" i="43"/>
  <c r="I8" i="43"/>
  <c r="H8" i="43"/>
  <c r="G8" i="43"/>
  <c r="F8" i="43"/>
  <c r="E8" i="43"/>
  <c r="D8" i="43"/>
  <c r="C8" i="43"/>
  <c r="I7" i="43"/>
  <c r="I30" i="43" s="1"/>
  <c r="H7" i="43"/>
  <c r="G7" i="43"/>
  <c r="F7" i="43"/>
  <c r="E7" i="43"/>
  <c r="E29" i="43" s="1"/>
  <c r="D7" i="43"/>
  <c r="D11" i="43" s="1"/>
  <c r="C7" i="43"/>
  <c r="E109" i="42"/>
  <c r="E15" i="42" s="1"/>
  <c r="E18" i="42" s="1"/>
  <c r="F109" i="42"/>
  <c r="F15" i="42" s="1"/>
  <c r="F18" i="42" s="1"/>
  <c r="F21" i="42" s="1"/>
  <c r="G109" i="42"/>
  <c r="G15" i="42" s="1"/>
  <c r="G18" i="42" s="1"/>
  <c r="H109" i="42"/>
  <c r="H15" i="42" s="1"/>
  <c r="H18" i="42" s="1"/>
  <c r="H21" i="42" s="1"/>
  <c r="C109" i="42"/>
  <c r="C110" i="42" s="1"/>
  <c r="D109" i="42"/>
  <c r="D15" i="42" s="1"/>
  <c r="D18" i="42" s="1"/>
  <c r="I122" i="42"/>
  <c r="H146" i="42"/>
  <c r="G146" i="42"/>
  <c r="G43" i="42" s="1"/>
  <c r="F146" i="42"/>
  <c r="F43" i="42" s="1"/>
  <c r="E146" i="42"/>
  <c r="E43" i="42" s="1"/>
  <c r="D146" i="42"/>
  <c r="D43" i="42" s="1"/>
  <c r="C146" i="42"/>
  <c r="C43" i="42" s="1"/>
  <c r="H116" i="42"/>
  <c r="H122" i="42" s="1"/>
  <c r="G116" i="42"/>
  <c r="G122" i="42" s="1"/>
  <c r="F116" i="42"/>
  <c r="F122" i="42" s="1"/>
  <c r="E116" i="42"/>
  <c r="E122" i="42" s="1"/>
  <c r="D116" i="42"/>
  <c r="D122" i="42" s="1"/>
  <c r="C116" i="42"/>
  <c r="C122" i="42" s="1"/>
  <c r="C128" i="42" s="1"/>
  <c r="C131" i="42" s="1"/>
  <c r="C133" i="42" s="1"/>
  <c r="C38" i="42" s="1"/>
  <c r="I110" i="42"/>
  <c r="H100" i="42"/>
  <c r="G100" i="42"/>
  <c r="F100" i="42"/>
  <c r="E100" i="42"/>
  <c r="D100" i="42"/>
  <c r="C100" i="42"/>
  <c r="H99" i="42"/>
  <c r="G99" i="42"/>
  <c r="F99" i="42"/>
  <c r="E99" i="42"/>
  <c r="D99" i="42"/>
  <c r="C99" i="42"/>
  <c r="H93" i="42"/>
  <c r="G93" i="42"/>
  <c r="F93" i="42"/>
  <c r="E93" i="42"/>
  <c r="D93" i="42"/>
  <c r="C93" i="42"/>
  <c r="H81" i="42"/>
  <c r="G81" i="42"/>
  <c r="F81" i="42"/>
  <c r="E81" i="42"/>
  <c r="D81" i="42"/>
  <c r="C81" i="42"/>
  <c r="H80" i="42"/>
  <c r="G80" i="42"/>
  <c r="F80" i="42"/>
  <c r="E80" i="42"/>
  <c r="D80" i="42"/>
  <c r="C80" i="42"/>
  <c r="H69" i="42"/>
  <c r="G69" i="42"/>
  <c r="F69" i="42"/>
  <c r="E69" i="42"/>
  <c r="D69" i="42"/>
  <c r="C69" i="42"/>
  <c r="I52" i="42"/>
  <c r="H44" i="42"/>
  <c r="H52" i="42" s="1"/>
  <c r="G44" i="42"/>
  <c r="E44" i="42"/>
  <c r="E52" i="42"/>
  <c r="D44" i="42"/>
  <c r="D52" i="42" s="1"/>
  <c r="C44" i="42"/>
  <c r="C52" i="42"/>
  <c r="I43" i="42"/>
  <c r="H43" i="42"/>
  <c r="I40" i="42"/>
  <c r="I50" i="42" s="1"/>
  <c r="H40" i="42"/>
  <c r="G40" i="42"/>
  <c r="G50" i="42" s="1"/>
  <c r="F40" i="42"/>
  <c r="E40" i="42"/>
  <c r="E50" i="42" s="1"/>
  <c r="D40" i="42"/>
  <c r="D50" i="42" s="1"/>
  <c r="C40" i="42"/>
  <c r="C50" i="42" s="1"/>
  <c r="I35" i="42"/>
  <c r="H35" i="42"/>
  <c r="G35" i="42"/>
  <c r="F35" i="42"/>
  <c r="E35" i="42"/>
  <c r="D35" i="42"/>
  <c r="C35" i="42"/>
  <c r="I13" i="42"/>
  <c r="H13" i="42"/>
  <c r="G13" i="42"/>
  <c r="F13" i="42"/>
  <c r="E13" i="42"/>
  <c r="D13" i="42"/>
  <c r="C13" i="42"/>
  <c r="I12" i="42"/>
  <c r="H12" i="42"/>
  <c r="H14" i="42" s="1"/>
  <c r="G12" i="42"/>
  <c r="F12" i="42"/>
  <c r="E12" i="42"/>
  <c r="D12" i="42"/>
  <c r="C12" i="42"/>
  <c r="I10" i="42"/>
  <c r="H10" i="42"/>
  <c r="G10" i="42"/>
  <c r="G11" i="42" s="1"/>
  <c r="F10" i="42"/>
  <c r="E10" i="42"/>
  <c r="D10" i="42"/>
  <c r="C10" i="42"/>
  <c r="I9" i="42"/>
  <c r="H9" i="42"/>
  <c r="G9" i="42"/>
  <c r="F9" i="42"/>
  <c r="F31" i="42" s="1"/>
  <c r="E9" i="42"/>
  <c r="D9" i="42"/>
  <c r="C9" i="42"/>
  <c r="I8" i="42"/>
  <c r="H8" i="42"/>
  <c r="G8" i="42"/>
  <c r="F8" i="42"/>
  <c r="E8" i="42"/>
  <c r="D8" i="42"/>
  <c r="C8" i="42"/>
  <c r="I7" i="42"/>
  <c r="H7" i="42"/>
  <c r="G7" i="42"/>
  <c r="F7" i="42"/>
  <c r="E7" i="42"/>
  <c r="D7" i="42"/>
  <c r="D31" i="42" s="1"/>
  <c r="C7" i="42"/>
  <c r="G40" i="41"/>
  <c r="H40" i="41"/>
  <c r="D12" i="41"/>
  <c r="E12" i="41"/>
  <c r="F12" i="41"/>
  <c r="G12" i="41"/>
  <c r="H12" i="41"/>
  <c r="I12" i="41"/>
  <c r="D13" i="41"/>
  <c r="E13" i="41"/>
  <c r="F13" i="41"/>
  <c r="G13" i="41"/>
  <c r="H13" i="41"/>
  <c r="I13" i="41"/>
  <c r="D14" i="41"/>
  <c r="E14" i="41"/>
  <c r="F14" i="41"/>
  <c r="G14" i="41"/>
  <c r="H14" i="41"/>
  <c r="I14" i="41"/>
  <c r="D15" i="41"/>
  <c r="E15" i="41"/>
  <c r="F15" i="41"/>
  <c r="G15" i="41"/>
  <c r="H15" i="41"/>
  <c r="I15" i="41"/>
  <c r="C15" i="41"/>
  <c r="C14" i="41"/>
  <c r="C13" i="41"/>
  <c r="C12" i="41"/>
  <c r="D7" i="41"/>
  <c r="D32" i="41" s="1"/>
  <c r="E7" i="41"/>
  <c r="F7" i="41"/>
  <c r="F32" i="41" s="1"/>
  <c r="G7" i="41"/>
  <c r="G32" i="41" s="1"/>
  <c r="H7" i="41"/>
  <c r="I7" i="41"/>
  <c r="D8" i="41"/>
  <c r="E8" i="41"/>
  <c r="F8" i="41"/>
  <c r="G8" i="41"/>
  <c r="H8" i="41"/>
  <c r="I8" i="41"/>
  <c r="D9" i="41"/>
  <c r="E9" i="41"/>
  <c r="F9" i="41"/>
  <c r="G9" i="41"/>
  <c r="H9" i="41"/>
  <c r="I9" i="41"/>
  <c r="D10" i="41"/>
  <c r="E10" i="41"/>
  <c r="F10" i="41"/>
  <c r="G10" i="41"/>
  <c r="H10" i="41"/>
  <c r="I10" i="41"/>
  <c r="C10" i="41"/>
  <c r="C9" i="41"/>
  <c r="C8" i="41"/>
  <c r="C147" i="41"/>
  <c r="C42" i="41" s="1"/>
  <c r="C58" i="41" s="1"/>
  <c r="D147" i="41"/>
  <c r="D42" i="41"/>
  <c r="D58" i="41" s="1"/>
  <c r="E147" i="41"/>
  <c r="E42" i="41" s="1"/>
  <c r="F147" i="41"/>
  <c r="F42" i="41" s="1"/>
  <c r="G147" i="41"/>
  <c r="G42" i="41" s="1"/>
  <c r="G58" i="41" s="1"/>
  <c r="H147" i="41"/>
  <c r="H42" i="41" s="1"/>
  <c r="H58" i="41" s="1"/>
  <c r="C49" i="41"/>
  <c r="C47" i="41" s="1"/>
  <c r="D49" i="41"/>
  <c r="D48" i="41"/>
  <c r="E49" i="41"/>
  <c r="G48" i="41"/>
  <c r="H48" i="41"/>
  <c r="I122" i="41"/>
  <c r="I123" i="41" s="1"/>
  <c r="C122" i="41"/>
  <c r="C123" i="41" s="1"/>
  <c r="D122" i="41"/>
  <c r="D123" i="41" s="1"/>
  <c r="E122" i="41"/>
  <c r="E123" i="41" s="1"/>
  <c r="F122" i="41"/>
  <c r="F17" i="41" s="1"/>
  <c r="F20" i="41" s="1"/>
  <c r="F23" i="41" s="1"/>
  <c r="G122" i="41"/>
  <c r="G123" i="41" s="1"/>
  <c r="H122" i="41"/>
  <c r="H17" i="41" s="1"/>
  <c r="C113" i="41"/>
  <c r="C16" i="41" s="1"/>
  <c r="D113" i="41"/>
  <c r="D16" i="41" s="1"/>
  <c r="E113" i="41"/>
  <c r="E16" i="41" s="1"/>
  <c r="F113" i="41"/>
  <c r="F16" i="41" s="1"/>
  <c r="G113" i="41"/>
  <c r="G16" i="41" s="1"/>
  <c r="I113" i="41"/>
  <c r="I16" i="41" s="1"/>
  <c r="H113" i="41"/>
  <c r="H16" i="41" s="1"/>
  <c r="C92" i="41"/>
  <c r="C11" i="41" s="1"/>
  <c r="C34" i="41" s="1"/>
  <c r="D92" i="41"/>
  <c r="D11" i="41"/>
  <c r="E92" i="41"/>
  <c r="E11" i="41" s="1"/>
  <c r="F92" i="41"/>
  <c r="F11" i="41" s="1"/>
  <c r="G92" i="41"/>
  <c r="G11" i="41" s="1"/>
  <c r="I92" i="41"/>
  <c r="I11" i="41" s="1"/>
  <c r="H92" i="41"/>
  <c r="H11" i="41" s="1"/>
  <c r="H159" i="41"/>
  <c r="H45" i="41" s="1"/>
  <c r="G159" i="41"/>
  <c r="G45" i="41" s="1"/>
  <c r="F159" i="41"/>
  <c r="F45" i="41" s="1"/>
  <c r="E159" i="41"/>
  <c r="E45" i="41" s="1"/>
  <c r="D159" i="41"/>
  <c r="D45" i="41" s="1"/>
  <c r="C159" i="41"/>
  <c r="C45" i="41" s="1"/>
  <c r="I146" i="41"/>
  <c r="I40" i="41" s="1"/>
  <c r="F129" i="41"/>
  <c r="F134" i="41" s="1"/>
  <c r="E129" i="41"/>
  <c r="E134" i="41" s="1"/>
  <c r="D129" i="41"/>
  <c r="D134" i="41" s="1"/>
  <c r="C129" i="41"/>
  <c r="C134" i="41" s="1"/>
  <c r="H110" i="41"/>
  <c r="G110" i="41"/>
  <c r="F110" i="41"/>
  <c r="E110" i="41"/>
  <c r="D110" i="41"/>
  <c r="C110" i="41"/>
  <c r="H104" i="41"/>
  <c r="G104" i="41"/>
  <c r="F104" i="41"/>
  <c r="E104" i="41"/>
  <c r="D104" i="41"/>
  <c r="C104" i="41"/>
  <c r="H89" i="41"/>
  <c r="G89" i="41"/>
  <c r="F89" i="41"/>
  <c r="E89" i="41"/>
  <c r="D89" i="41"/>
  <c r="C89" i="41"/>
  <c r="H78" i="41"/>
  <c r="G78" i="41"/>
  <c r="F78" i="41"/>
  <c r="E78" i="41"/>
  <c r="D78" i="41"/>
  <c r="C78" i="41"/>
  <c r="I60" i="41"/>
  <c r="F60" i="41"/>
  <c r="I45" i="41"/>
  <c r="I42" i="41"/>
  <c r="I58" i="41" s="1"/>
  <c r="I38" i="41"/>
  <c r="I37" i="41"/>
  <c r="I39" i="41" s="1"/>
  <c r="H37" i="41"/>
  <c r="G37" i="41"/>
  <c r="F37" i="41"/>
  <c r="E37" i="41"/>
  <c r="D37" i="41"/>
  <c r="C37" i="41"/>
  <c r="C7" i="41"/>
  <c r="C46" i="40"/>
  <c r="C44" i="40" s="1"/>
  <c r="C52" i="40" s="1"/>
  <c r="D46" i="40"/>
  <c r="D45" i="40" s="1"/>
  <c r="E47" i="40"/>
  <c r="E45" i="40" s="1"/>
  <c r="F47" i="40"/>
  <c r="F44" i="40" s="1"/>
  <c r="F52" i="40" s="1"/>
  <c r="G47" i="40"/>
  <c r="G45" i="40" s="1"/>
  <c r="H47" i="40"/>
  <c r="H45" i="40" s="1"/>
  <c r="I47" i="40"/>
  <c r="I45" i="40" s="1"/>
  <c r="D35" i="24"/>
  <c r="E35" i="24"/>
  <c r="F35" i="24"/>
  <c r="G35" i="24"/>
  <c r="H35" i="24"/>
  <c r="I35" i="24"/>
  <c r="I36" i="24"/>
  <c r="D40" i="24"/>
  <c r="E40" i="24"/>
  <c r="F40" i="24"/>
  <c r="G40" i="24"/>
  <c r="H40" i="24"/>
  <c r="I40" i="24"/>
  <c r="I43" i="24"/>
  <c r="D7" i="24"/>
  <c r="E7" i="24"/>
  <c r="F7" i="24"/>
  <c r="G7" i="24"/>
  <c r="H7" i="24"/>
  <c r="I7" i="24"/>
  <c r="D8" i="24"/>
  <c r="E8" i="24"/>
  <c r="F8" i="24"/>
  <c r="G8" i="24"/>
  <c r="H8" i="24"/>
  <c r="I8" i="24"/>
  <c r="D9" i="24"/>
  <c r="E9" i="24"/>
  <c r="F9" i="24"/>
  <c r="G9" i="24"/>
  <c r="H9" i="24"/>
  <c r="I9" i="24"/>
  <c r="D10" i="24"/>
  <c r="E10" i="24"/>
  <c r="F10" i="24"/>
  <c r="G10" i="24"/>
  <c r="H10" i="24"/>
  <c r="H11" i="24"/>
  <c r="I10" i="24"/>
  <c r="D12" i="24"/>
  <c r="E12" i="24"/>
  <c r="F12" i="24"/>
  <c r="G12" i="24"/>
  <c r="H12" i="24"/>
  <c r="I12" i="24"/>
  <c r="I14" i="24"/>
  <c r="D13" i="24"/>
  <c r="E13" i="24"/>
  <c r="F13" i="24"/>
  <c r="G13" i="24"/>
  <c r="H13" i="24"/>
  <c r="H14" i="24"/>
  <c r="I13" i="24"/>
  <c r="I15" i="24"/>
  <c r="I126" i="24"/>
  <c r="I38" i="24"/>
  <c r="I105" i="24"/>
  <c r="C13" i="24"/>
  <c r="C12" i="24"/>
  <c r="C10" i="24"/>
  <c r="C9" i="24"/>
  <c r="C8" i="24"/>
  <c r="C7" i="24"/>
  <c r="D35" i="40"/>
  <c r="E35" i="40"/>
  <c r="F35" i="40"/>
  <c r="G35" i="40"/>
  <c r="H35" i="40"/>
  <c r="I35" i="40"/>
  <c r="I36" i="40"/>
  <c r="D40" i="40"/>
  <c r="E40" i="40"/>
  <c r="F40" i="40"/>
  <c r="F50" i="40" s="1"/>
  <c r="G40" i="40"/>
  <c r="G20" i="40" s="1"/>
  <c r="H40" i="40"/>
  <c r="H20" i="40" s="1"/>
  <c r="I40" i="40"/>
  <c r="D7" i="40"/>
  <c r="D29" i="40" s="1"/>
  <c r="E7" i="40"/>
  <c r="F7" i="40"/>
  <c r="G7" i="40"/>
  <c r="H7" i="40"/>
  <c r="I7" i="40"/>
  <c r="D8" i="40"/>
  <c r="E8" i="40"/>
  <c r="F8" i="40"/>
  <c r="G8" i="40"/>
  <c r="H8" i="40"/>
  <c r="I8" i="40"/>
  <c r="D9" i="40"/>
  <c r="E9" i="40"/>
  <c r="F9" i="40"/>
  <c r="G9" i="40"/>
  <c r="H9" i="40"/>
  <c r="I9" i="40"/>
  <c r="D10" i="40"/>
  <c r="E10" i="40"/>
  <c r="F10" i="40"/>
  <c r="G10" i="40"/>
  <c r="H10" i="40"/>
  <c r="I10" i="40"/>
  <c r="I11" i="40"/>
  <c r="D12" i="40"/>
  <c r="E12" i="40"/>
  <c r="F12" i="40"/>
  <c r="G12" i="40"/>
  <c r="H12" i="40"/>
  <c r="I12" i="40"/>
  <c r="D13" i="40"/>
  <c r="D14" i="40"/>
  <c r="E13" i="40"/>
  <c r="E14" i="40"/>
  <c r="F13" i="40"/>
  <c r="G13" i="40"/>
  <c r="H13" i="40"/>
  <c r="I13" i="40"/>
  <c r="C13" i="40"/>
  <c r="C12" i="40"/>
  <c r="C10" i="40"/>
  <c r="C9" i="40"/>
  <c r="C8" i="40"/>
  <c r="C7" i="40"/>
  <c r="C30" i="40" s="1"/>
  <c r="I142" i="40"/>
  <c r="I43" i="40" s="1"/>
  <c r="C142" i="40"/>
  <c r="C43" i="40" s="1"/>
  <c r="D142" i="40"/>
  <c r="D43" i="40"/>
  <c r="E142" i="40"/>
  <c r="E43" i="40" s="1"/>
  <c r="F142" i="40"/>
  <c r="F43" i="40" s="1"/>
  <c r="G142" i="40"/>
  <c r="G43" i="40" s="1"/>
  <c r="H142" i="40"/>
  <c r="H43" i="40"/>
  <c r="I129" i="40"/>
  <c r="I38" i="40" s="1"/>
  <c r="H108" i="40"/>
  <c r="H15" i="40"/>
  <c r="H18" i="40" s="1"/>
  <c r="H21" i="40" s="1"/>
  <c r="C108" i="40"/>
  <c r="C15" i="40" s="1"/>
  <c r="C18" i="40" s="1"/>
  <c r="D108" i="40"/>
  <c r="D15" i="40" s="1"/>
  <c r="D18" i="40" s="1"/>
  <c r="E108" i="40"/>
  <c r="E15" i="40" s="1"/>
  <c r="E18" i="40" s="1"/>
  <c r="E21" i="40" s="1"/>
  <c r="F108" i="40"/>
  <c r="F15" i="40" s="1"/>
  <c r="F18" i="40" s="1"/>
  <c r="G108" i="40"/>
  <c r="G15" i="40" s="1"/>
  <c r="G18" i="40" s="1"/>
  <c r="I108" i="40"/>
  <c r="I15" i="40" s="1"/>
  <c r="H114" i="40"/>
  <c r="H119" i="40"/>
  <c r="H36" i="40" s="1"/>
  <c r="H37" i="40" s="1"/>
  <c r="G114" i="40"/>
  <c r="G119" i="40" s="1"/>
  <c r="F114" i="40"/>
  <c r="F119" i="40" s="1"/>
  <c r="E114" i="40"/>
  <c r="E119" i="40" s="1"/>
  <c r="D114" i="40"/>
  <c r="D119" i="40" s="1"/>
  <c r="C114" i="40"/>
  <c r="C119" i="40"/>
  <c r="C36" i="40" s="1"/>
  <c r="C37" i="40" s="1"/>
  <c r="H100" i="40"/>
  <c r="G100" i="40"/>
  <c r="F100" i="40"/>
  <c r="E100" i="40"/>
  <c r="D100" i="40"/>
  <c r="C100" i="40"/>
  <c r="H99" i="40"/>
  <c r="G99" i="40"/>
  <c r="F99" i="40"/>
  <c r="E99" i="40"/>
  <c r="D99" i="40"/>
  <c r="C99" i="40"/>
  <c r="H93" i="40"/>
  <c r="G93" i="40"/>
  <c r="F93" i="40"/>
  <c r="E93" i="40"/>
  <c r="D93" i="40"/>
  <c r="C93" i="40"/>
  <c r="H81" i="40"/>
  <c r="H11" i="40" s="1"/>
  <c r="G81" i="40"/>
  <c r="G11" i="40" s="1"/>
  <c r="F81" i="40"/>
  <c r="F11" i="40" s="1"/>
  <c r="E81" i="40"/>
  <c r="E11" i="40"/>
  <c r="D81" i="40"/>
  <c r="D11" i="40" s="1"/>
  <c r="C81" i="40"/>
  <c r="C11" i="40" s="1"/>
  <c r="H80" i="40"/>
  <c r="G80" i="40"/>
  <c r="F80" i="40"/>
  <c r="E80" i="40"/>
  <c r="D80" i="40"/>
  <c r="C80" i="40"/>
  <c r="H69" i="40"/>
  <c r="G69" i="40"/>
  <c r="F69" i="40"/>
  <c r="E69" i="40"/>
  <c r="D69" i="40"/>
  <c r="C69" i="40"/>
  <c r="H44" i="40"/>
  <c r="H52" i="40" s="1"/>
  <c r="D50" i="40"/>
  <c r="C40" i="40"/>
  <c r="C35" i="40"/>
  <c r="C31" i="40"/>
  <c r="F30" i="40"/>
  <c r="E30" i="40"/>
  <c r="D44" i="39"/>
  <c r="D57" i="39"/>
  <c r="E44" i="39"/>
  <c r="E57" i="39"/>
  <c r="F44" i="39"/>
  <c r="F57" i="39"/>
  <c r="G44" i="39"/>
  <c r="G57" i="39"/>
  <c r="H44" i="39"/>
  <c r="C44" i="39"/>
  <c r="D38" i="39"/>
  <c r="E38" i="39"/>
  <c r="F38" i="39"/>
  <c r="G38" i="39"/>
  <c r="H38" i="39"/>
  <c r="C38" i="39"/>
  <c r="D35" i="39"/>
  <c r="D39" i="39"/>
  <c r="E35" i="39"/>
  <c r="F35" i="39"/>
  <c r="G35" i="39"/>
  <c r="H35" i="39"/>
  <c r="H39" i="39"/>
  <c r="D40" i="39"/>
  <c r="E40" i="39"/>
  <c r="F40" i="39"/>
  <c r="F56" i="39"/>
  <c r="G40" i="39"/>
  <c r="H40" i="39"/>
  <c r="C40" i="39"/>
  <c r="C35" i="39"/>
  <c r="D7" i="39"/>
  <c r="E7" i="39"/>
  <c r="F7" i="39"/>
  <c r="G7" i="39"/>
  <c r="H7" i="39"/>
  <c r="I7" i="39"/>
  <c r="D8" i="39"/>
  <c r="E8" i="39"/>
  <c r="F8" i="39"/>
  <c r="G8" i="39"/>
  <c r="H8" i="39"/>
  <c r="I8" i="39"/>
  <c r="D10" i="39"/>
  <c r="D11" i="39"/>
  <c r="E10" i="39"/>
  <c r="E11" i="39"/>
  <c r="F10" i="39"/>
  <c r="G10" i="39"/>
  <c r="G11" i="39"/>
  <c r="H10" i="39"/>
  <c r="H11" i="39"/>
  <c r="I10" i="39"/>
  <c r="I11" i="39"/>
  <c r="D12" i="39"/>
  <c r="D31" i="39" s="1"/>
  <c r="E12" i="39"/>
  <c r="E29" i="39" s="1"/>
  <c r="F12" i="39"/>
  <c r="F31" i="39" s="1"/>
  <c r="G12" i="39"/>
  <c r="H12" i="39"/>
  <c r="H29" i="39"/>
  <c r="I12" i="39"/>
  <c r="I30" i="39"/>
  <c r="D13" i="39"/>
  <c r="D14" i="39"/>
  <c r="E13" i="39"/>
  <c r="F13" i="39"/>
  <c r="G13" i="39"/>
  <c r="H13" i="39"/>
  <c r="I13" i="39"/>
  <c r="I15" i="39"/>
  <c r="I18" i="39"/>
  <c r="C13" i="39"/>
  <c r="C12" i="39"/>
  <c r="C10" i="39"/>
  <c r="C8" i="39"/>
  <c r="C7" i="39"/>
  <c r="C30" i="39"/>
  <c r="I135" i="39"/>
  <c r="I43" i="39"/>
  <c r="G135" i="39"/>
  <c r="F135" i="39"/>
  <c r="E135" i="39"/>
  <c r="D135" i="39"/>
  <c r="D43" i="39"/>
  <c r="C135" i="39"/>
  <c r="H122" i="39"/>
  <c r="G122" i="39"/>
  <c r="F122" i="39"/>
  <c r="E122" i="39"/>
  <c r="D122" i="39"/>
  <c r="C122" i="39"/>
  <c r="I108" i="39"/>
  <c r="I112" i="39"/>
  <c r="H108" i="39"/>
  <c r="H112" i="39"/>
  <c r="H36" i="39"/>
  <c r="H37" i="39"/>
  <c r="G108" i="39"/>
  <c r="G112" i="39"/>
  <c r="G36" i="39"/>
  <c r="F108" i="39"/>
  <c r="F112" i="39"/>
  <c r="F36" i="39"/>
  <c r="E108" i="39"/>
  <c r="E112" i="39"/>
  <c r="E36" i="39"/>
  <c r="D108" i="39"/>
  <c r="D112" i="39"/>
  <c r="D36" i="39"/>
  <c r="C108" i="39"/>
  <c r="C112" i="39"/>
  <c r="C36" i="39"/>
  <c r="I101" i="39"/>
  <c r="I91" i="39"/>
  <c r="I78" i="39"/>
  <c r="I77" i="39"/>
  <c r="I70" i="39"/>
  <c r="H101" i="39"/>
  <c r="G101" i="39"/>
  <c r="F101" i="39"/>
  <c r="E101" i="39"/>
  <c r="D101" i="39"/>
  <c r="C101" i="39"/>
  <c r="H99" i="39"/>
  <c r="H15" i="39"/>
  <c r="G99" i="39"/>
  <c r="G15" i="39"/>
  <c r="G18" i="39"/>
  <c r="F99" i="39"/>
  <c r="F15" i="39"/>
  <c r="E99" i="39"/>
  <c r="E15" i="39"/>
  <c r="D99" i="39"/>
  <c r="D15" i="39"/>
  <c r="C99" i="39"/>
  <c r="C15" i="39"/>
  <c r="C18" i="39"/>
  <c r="C21" i="39"/>
  <c r="H92" i="39"/>
  <c r="G92" i="39"/>
  <c r="F92" i="39"/>
  <c r="E92" i="39"/>
  <c r="D92" i="39"/>
  <c r="C92" i="39"/>
  <c r="H91" i="39"/>
  <c r="G91" i="39"/>
  <c r="F91" i="39"/>
  <c r="E91" i="39"/>
  <c r="D91" i="39"/>
  <c r="C91" i="39"/>
  <c r="H85" i="39"/>
  <c r="G85" i="39"/>
  <c r="F85" i="39"/>
  <c r="E85" i="39"/>
  <c r="D85" i="39"/>
  <c r="C85" i="39"/>
  <c r="H78" i="39"/>
  <c r="G78" i="39"/>
  <c r="F78" i="39"/>
  <c r="E78" i="39"/>
  <c r="D78" i="39"/>
  <c r="C78" i="39"/>
  <c r="H77" i="39"/>
  <c r="G77" i="39"/>
  <c r="F77" i="39"/>
  <c r="E77" i="39"/>
  <c r="D77" i="39"/>
  <c r="C77" i="39"/>
  <c r="H70" i="39"/>
  <c r="G70" i="39"/>
  <c r="F70" i="39"/>
  <c r="E70" i="39"/>
  <c r="D70" i="39"/>
  <c r="C70" i="39"/>
  <c r="C43" i="39"/>
  <c r="G43" i="39"/>
  <c r="F43" i="39"/>
  <c r="E43" i="39"/>
  <c r="L57" i="39"/>
  <c r="K56" i="39"/>
  <c r="K44" i="39"/>
  <c r="K57" i="39"/>
  <c r="I44" i="39"/>
  <c r="I57" i="39"/>
  <c r="H57" i="39"/>
  <c r="C57" i="39"/>
  <c r="I40" i="39"/>
  <c r="I56" i="39"/>
  <c r="H56" i="39"/>
  <c r="G56" i="39"/>
  <c r="E56" i="39"/>
  <c r="D56" i="39"/>
  <c r="C56" i="39"/>
  <c r="I38" i="39"/>
  <c r="I41" i="39"/>
  <c r="I58" i="39" s="1"/>
  <c r="I36" i="39"/>
  <c r="I35" i="39"/>
  <c r="E30" i="39"/>
  <c r="D30" i="39"/>
  <c r="F14" i="24"/>
  <c r="I11" i="53"/>
  <c r="H16" i="56"/>
  <c r="H19" i="56"/>
  <c r="H20" i="56"/>
  <c r="H23" i="56" s="1"/>
  <c r="C10" i="56"/>
  <c r="E10" i="56"/>
  <c r="F11" i="54"/>
  <c r="G11" i="54"/>
  <c r="H29" i="52"/>
  <c r="F49" i="51"/>
  <c r="G120" i="50"/>
  <c r="G36" i="50" s="1"/>
  <c r="G37" i="50" s="1"/>
  <c r="H20" i="50"/>
  <c r="E31" i="39"/>
  <c r="G31" i="39"/>
  <c r="H31" i="39"/>
  <c r="D37" i="39"/>
  <c r="E37" i="39"/>
  <c r="H14" i="39"/>
  <c r="H30" i="39"/>
  <c r="F37" i="39"/>
  <c r="E3" i="39"/>
  <c r="D3" i="39"/>
  <c r="D15" i="43"/>
  <c r="D18" i="43"/>
  <c r="D21" i="43" s="1"/>
  <c r="E15" i="43"/>
  <c r="E18" i="43"/>
  <c r="E21" i="43" s="1"/>
  <c r="G29" i="43"/>
  <c r="G16" i="56"/>
  <c r="G19" i="56" s="1"/>
  <c r="G20" i="56" s="1"/>
  <c r="C16" i="56"/>
  <c r="C19" i="56" s="1"/>
  <c r="C20" i="56" s="1"/>
  <c r="D15" i="56"/>
  <c r="F15" i="56"/>
  <c r="G15" i="56"/>
  <c r="C32" i="56"/>
  <c r="D33" i="56"/>
  <c r="C12" i="56"/>
  <c r="F12" i="56"/>
  <c r="F34" i="56" s="1"/>
  <c r="D56" i="56"/>
  <c r="F32" i="56"/>
  <c r="G32" i="56"/>
  <c r="H32" i="56"/>
  <c r="F31" i="56"/>
  <c r="G31" i="56"/>
  <c r="E14" i="54"/>
  <c r="C20" i="54"/>
  <c r="E31" i="54"/>
  <c r="H11" i="54"/>
  <c r="D20" i="54"/>
  <c r="C14" i="54"/>
  <c r="I20" i="54"/>
  <c r="E30" i="54"/>
  <c r="E108" i="54"/>
  <c r="E29" i="54"/>
  <c r="G15" i="53"/>
  <c r="G18" i="53" s="1"/>
  <c r="G21" i="53" s="1"/>
  <c r="I39" i="53"/>
  <c r="C11" i="52"/>
  <c r="C30" i="52"/>
  <c r="F15" i="52"/>
  <c r="F18" i="52"/>
  <c r="I11" i="52"/>
  <c r="D15" i="52"/>
  <c r="D18" i="52" s="1"/>
  <c r="D21" i="52" s="1"/>
  <c r="H14" i="52"/>
  <c r="C31" i="52"/>
  <c r="C20" i="52"/>
  <c r="D31" i="52"/>
  <c r="G15" i="52"/>
  <c r="G18" i="52" s="1"/>
  <c r="G21" i="52" s="1"/>
  <c r="H11" i="52"/>
  <c r="I29" i="52"/>
  <c r="C14" i="52"/>
  <c r="H31" i="52"/>
  <c r="E108" i="52"/>
  <c r="C29" i="52"/>
  <c r="H30" i="52"/>
  <c r="I30" i="52"/>
  <c r="I39" i="24"/>
  <c r="E11" i="24"/>
  <c r="D14" i="24"/>
  <c r="F11" i="50"/>
  <c r="I44" i="49"/>
  <c r="I58" i="49"/>
  <c r="C59" i="49" s="1"/>
  <c r="Q43" i="1"/>
  <c r="I29" i="39"/>
  <c r="I31" i="39"/>
  <c r="F39" i="39"/>
  <c r="C11" i="39"/>
  <c r="F11" i="39"/>
  <c r="F30" i="39"/>
  <c r="G30" i="39"/>
  <c r="I14" i="39"/>
  <c r="I32" i="39"/>
  <c r="D29" i="39"/>
  <c r="E39" i="39"/>
  <c r="G37" i="39"/>
  <c r="F14" i="39"/>
  <c r="F29" i="39"/>
  <c r="G29" i="39"/>
  <c r="Q42" i="1"/>
  <c r="I28" i="19"/>
  <c r="I40" i="19"/>
  <c r="I22" i="19"/>
  <c r="I24" i="19"/>
  <c r="I25" i="19"/>
  <c r="I10" i="19"/>
  <c r="G44" i="40"/>
  <c r="G52" i="40"/>
  <c r="G14" i="43"/>
  <c r="H20" i="43"/>
  <c r="G110" i="42"/>
  <c r="H110" i="42"/>
  <c r="F11" i="42"/>
  <c r="C117" i="44"/>
  <c r="E43" i="51"/>
  <c r="E22" i="51" s="1"/>
  <c r="F43" i="51"/>
  <c r="F22" i="51" s="1"/>
  <c r="C16" i="51"/>
  <c r="C19" i="51" s="1"/>
  <c r="C20" i="51" s="1"/>
  <c r="H43" i="51"/>
  <c r="H54" i="51" s="1"/>
  <c r="I43" i="51"/>
  <c r="D112" i="51"/>
  <c r="I19" i="51"/>
  <c r="I20" i="51" s="1"/>
  <c r="D123" i="51"/>
  <c r="D129" i="51" s="1"/>
  <c r="D131" i="51" s="1"/>
  <c r="D133" i="51" s="1"/>
  <c r="D40" i="51" s="1"/>
  <c r="D12" i="51"/>
  <c r="C12" i="51"/>
  <c r="I15" i="51"/>
  <c r="D33" i="51"/>
  <c r="I33" i="51"/>
  <c r="C15" i="51"/>
  <c r="E15" i="51"/>
  <c r="F123" i="51"/>
  <c r="F38" i="51" s="1"/>
  <c r="F39" i="51" s="1"/>
  <c r="F16" i="51"/>
  <c r="F12" i="51"/>
  <c r="G33" i="51"/>
  <c r="G32" i="51"/>
  <c r="I32" i="51"/>
  <c r="G12" i="51"/>
  <c r="E16" i="51"/>
  <c r="E19" i="51" s="1"/>
  <c r="E20" i="51" s="1"/>
  <c r="G31" i="51"/>
  <c r="I31" i="51"/>
  <c r="D109" i="50"/>
  <c r="C14" i="50"/>
  <c r="C20" i="50"/>
  <c r="D14" i="50"/>
  <c r="D20" i="50"/>
  <c r="E20" i="50"/>
  <c r="G126" i="50"/>
  <c r="G128" i="50" s="1"/>
  <c r="G130" i="50" s="1"/>
  <c r="G38" i="50" s="1"/>
  <c r="D29" i="50"/>
  <c r="G11" i="50"/>
  <c r="I11" i="50"/>
  <c r="E15" i="50"/>
  <c r="E18" i="50" s="1"/>
  <c r="G11" i="24"/>
  <c r="F11" i="24"/>
  <c r="D11" i="24"/>
  <c r="E14" i="24"/>
  <c r="I11" i="24"/>
  <c r="C11" i="24"/>
  <c r="C14" i="24"/>
  <c r="I37" i="24"/>
  <c r="G14" i="24"/>
  <c r="F30" i="49"/>
  <c r="G44" i="49"/>
  <c r="D32" i="39"/>
  <c r="C29" i="39"/>
  <c r="C14" i="39"/>
  <c r="C31" i="39"/>
  <c r="G14" i="39"/>
  <c r="G32" i="39"/>
  <c r="F32" i="39"/>
  <c r="I20" i="19"/>
  <c r="I21" i="19"/>
  <c r="I13" i="19"/>
  <c r="I31" i="19"/>
  <c r="I23" i="19"/>
  <c r="I26" i="19"/>
  <c r="C14" i="40"/>
  <c r="G30" i="40"/>
  <c r="I44" i="40"/>
  <c r="I52" i="40" s="1"/>
  <c r="I50" i="40"/>
  <c r="F45" i="40"/>
  <c r="F15" i="43"/>
  <c r="F18" i="43" s="1"/>
  <c r="F11" i="43"/>
  <c r="G11" i="43"/>
  <c r="I31" i="43"/>
  <c r="F44" i="42"/>
  <c r="F52" i="42" s="1"/>
  <c r="E110" i="42"/>
  <c r="F11" i="49"/>
  <c r="D17" i="41"/>
  <c r="D20" i="41" s="1"/>
  <c r="D23" i="41" s="1"/>
  <c r="H18" i="39"/>
  <c r="H41" i="39"/>
  <c r="H58" i="39"/>
  <c r="D18" i="39"/>
  <c r="D21" i="39"/>
  <c r="D41" i="39"/>
  <c r="D58" i="39"/>
  <c r="F18" i="39"/>
  <c r="F21" i="39"/>
  <c r="F41" i="39"/>
  <c r="F58" i="39"/>
  <c r="E18" i="39"/>
  <c r="E21" i="39"/>
  <c r="E41" i="39"/>
  <c r="E58" i="39"/>
  <c r="E14" i="39"/>
  <c r="E32" i="39"/>
  <c r="H32" i="39"/>
  <c r="G41" i="39"/>
  <c r="G58" i="39"/>
  <c r="I37" i="40"/>
  <c r="H30" i="40"/>
  <c r="F29" i="43"/>
  <c r="I11" i="43"/>
  <c r="C20" i="43"/>
  <c r="D14" i="43"/>
  <c r="E20" i="43"/>
  <c r="E30" i="43"/>
  <c r="I29" i="43"/>
  <c r="I37" i="43"/>
  <c r="F31" i="43"/>
  <c r="C15" i="42"/>
  <c r="C18" i="42" s="1"/>
  <c r="G14" i="44"/>
  <c r="D116" i="49"/>
  <c r="F116" i="49"/>
  <c r="G14" i="49"/>
  <c r="C14" i="49"/>
  <c r="D14" i="49"/>
  <c r="C116" i="49"/>
  <c r="G15" i="49"/>
  <c r="G18" i="49" s="1"/>
  <c r="H15" i="49"/>
  <c r="H18" i="49" s="1"/>
  <c r="G30" i="49"/>
  <c r="E30" i="49"/>
  <c r="I37" i="44"/>
  <c r="E15" i="44"/>
  <c r="E18" i="44" s="1"/>
  <c r="E21" i="44" s="1"/>
  <c r="F30" i="44"/>
  <c r="F14" i="44"/>
  <c r="G20" i="44"/>
  <c r="E29" i="44"/>
  <c r="F29" i="44"/>
  <c r="G29" i="44"/>
  <c r="E31" i="44"/>
  <c r="E11" i="44"/>
  <c r="H20" i="44"/>
  <c r="E30" i="44"/>
  <c r="H21" i="43"/>
  <c r="H22" i="43" s="1"/>
  <c r="C11" i="43"/>
  <c r="I20" i="43"/>
  <c r="F30" i="43"/>
  <c r="G30" i="43"/>
  <c r="H110" i="43"/>
  <c r="I39" i="43"/>
  <c r="H20" i="42"/>
  <c r="I20" i="42"/>
  <c r="F30" i="42"/>
  <c r="F14" i="42"/>
  <c r="G14" i="42"/>
  <c r="I14" i="42"/>
  <c r="F20" i="42"/>
  <c r="G30" i="42"/>
  <c r="I31" i="42"/>
  <c r="I22" i="41"/>
  <c r="C146" i="41"/>
  <c r="C40" i="41" s="1"/>
  <c r="I32" i="41"/>
  <c r="D31" i="41"/>
  <c r="H32" i="41"/>
  <c r="E146" i="41"/>
  <c r="E40" i="41" s="1"/>
  <c r="F146" i="41"/>
  <c r="F40" i="41" s="1"/>
  <c r="G38" i="41"/>
  <c r="H38" i="41"/>
  <c r="H39" i="41" s="1"/>
  <c r="D146" i="41"/>
  <c r="D40" i="41" s="1"/>
  <c r="D41" i="41" s="1"/>
  <c r="D22" i="41"/>
  <c r="I31" i="41"/>
  <c r="I41" i="24"/>
  <c r="H31" i="40"/>
  <c r="D20" i="40"/>
  <c r="E20" i="40"/>
  <c r="E22" i="40" s="1"/>
  <c r="I20" i="40"/>
  <c r="C20" i="40"/>
  <c r="G39" i="39"/>
  <c r="H20" i="39"/>
  <c r="I20" i="39"/>
  <c r="C20" i="39"/>
  <c r="C22" i="39"/>
  <c r="D20" i="39"/>
  <c r="D22" i="39"/>
  <c r="C37" i="39"/>
  <c r="E20" i="39"/>
  <c r="I37" i="39"/>
  <c r="I39" i="39"/>
  <c r="I23" i="39"/>
  <c r="I25" i="39"/>
  <c r="I26" i="39"/>
  <c r="I24" i="39"/>
  <c r="I27" i="39"/>
  <c r="G21" i="39"/>
  <c r="H21" i="39"/>
  <c r="I21" i="39"/>
  <c r="I22" i="39"/>
  <c r="F20" i="39"/>
  <c r="G20" i="39"/>
  <c r="C32" i="39"/>
  <c r="H22" i="51"/>
  <c r="F19" i="51"/>
  <c r="F20" i="51" s="1"/>
  <c r="H22" i="39"/>
  <c r="E22" i="39"/>
  <c r="F22" i="39"/>
  <c r="G41" i="41"/>
  <c r="G22" i="39"/>
  <c r="C41" i="39"/>
  <c r="C39" i="39"/>
  <c r="E24" i="39"/>
  <c r="E27" i="39"/>
  <c r="E23" i="39"/>
  <c r="E25" i="39"/>
  <c r="E26" i="39"/>
  <c r="H23" i="39"/>
  <c r="H25" i="39"/>
  <c r="H24" i="39"/>
  <c r="H27" i="39"/>
  <c r="H26" i="39" s="1"/>
  <c r="C42" i="39"/>
  <c r="H44" i="1" s="1"/>
  <c r="C58" i="39"/>
  <c r="F24" i="39"/>
  <c r="F27" i="39"/>
  <c r="F23" i="39"/>
  <c r="F25" i="39"/>
  <c r="G24" i="39"/>
  <c r="G27" i="39"/>
  <c r="G23" i="39"/>
  <c r="G25" i="39"/>
  <c r="G26" i="39"/>
  <c r="D24" i="39"/>
  <c r="D27" i="39"/>
  <c r="D23" i="39"/>
  <c r="D25" i="39"/>
  <c r="C23" i="39"/>
  <c r="C25" i="39"/>
  <c r="C24" i="39"/>
  <c r="C27" i="39"/>
  <c r="C26" i="39"/>
  <c r="F26" i="39"/>
  <c r="D26" i="39"/>
  <c r="D7" i="38"/>
  <c r="E7" i="38"/>
  <c r="F7" i="38"/>
  <c r="G7" i="38"/>
  <c r="H7" i="38"/>
  <c r="I7" i="38"/>
  <c r="D10" i="38"/>
  <c r="E10" i="38"/>
  <c r="F10" i="38"/>
  <c r="G10" i="38"/>
  <c r="H10" i="38"/>
  <c r="I10" i="38"/>
  <c r="D11" i="38"/>
  <c r="E11" i="38"/>
  <c r="F11" i="38"/>
  <c r="G11" i="38"/>
  <c r="H11" i="38"/>
  <c r="I11" i="38"/>
  <c r="D13" i="38"/>
  <c r="E13" i="38"/>
  <c r="F13" i="38"/>
  <c r="G13" i="38"/>
  <c r="H13" i="38"/>
  <c r="I13" i="38"/>
  <c r="D14" i="38"/>
  <c r="E14" i="38"/>
  <c r="F14" i="38"/>
  <c r="G14" i="38"/>
  <c r="H14" i="38"/>
  <c r="I14" i="38"/>
  <c r="D15" i="38"/>
  <c r="E15" i="38"/>
  <c r="F15" i="38"/>
  <c r="G15" i="38"/>
  <c r="H15" i="38"/>
  <c r="I15" i="38"/>
  <c r="C15" i="38"/>
  <c r="C14" i="38"/>
  <c r="C13" i="38"/>
  <c r="C11" i="38"/>
  <c r="C10" i="38"/>
  <c r="C7" i="38"/>
  <c r="C42" i="38"/>
  <c r="D40" i="38"/>
  <c r="D42" i="38" s="1"/>
  <c r="D58" i="38" s="1"/>
  <c r="E40" i="38"/>
  <c r="E42" i="38" s="1"/>
  <c r="F40" i="38"/>
  <c r="F42" i="38" s="1"/>
  <c r="F58" i="38" s="1"/>
  <c r="G40" i="38"/>
  <c r="I40" i="38"/>
  <c r="I42" i="38" s="1"/>
  <c r="I58" i="38" s="1"/>
  <c r="H40" i="38"/>
  <c r="C118" i="38"/>
  <c r="C120" i="38" s="1"/>
  <c r="D118" i="38"/>
  <c r="D120" i="38" s="1"/>
  <c r="E118" i="38"/>
  <c r="E120" i="38"/>
  <c r="F118" i="38"/>
  <c r="F120" i="38" s="1"/>
  <c r="G118" i="38"/>
  <c r="G120" i="38" s="1"/>
  <c r="I118" i="38"/>
  <c r="I120" i="38" s="1"/>
  <c r="H118" i="38"/>
  <c r="H120" i="38" s="1"/>
  <c r="C111" i="38"/>
  <c r="C16" i="38" s="1"/>
  <c r="D111" i="38"/>
  <c r="D16" i="38" s="1"/>
  <c r="E111" i="38"/>
  <c r="E16" i="38" s="1"/>
  <c r="F111" i="38"/>
  <c r="F16" i="38" s="1"/>
  <c r="G111" i="38"/>
  <c r="G16" i="38" s="1"/>
  <c r="I111" i="38"/>
  <c r="I16" i="38" s="1"/>
  <c r="H111" i="38"/>
  <c r="H16" i="38" s="1"/>
  <c r="C12" i="38"/>
  <c r="D91" i="38"/>
  <c r="D12" i="38" s="1"/>
  <c r="E91" i="38"/>
  <c r="E12" i="38" s="1"/>
  <c r="F91" i="38"/>
  <c r="F12" i="38" s="1"/>
  <c r="G91" i="38"/>
  <c r="G12" i="38" s="1"/>
  <c r="I12" i="38"/>
  <c r="H91" i="38"/>
  <c r="H12" i="38" s="1"/>
  <c r="C47" i="37"/>
  <c r="D47" i="37"/>
  <c r="E47" i="37"/>
  <c r="F47" i="37"/>
  <c r="G47" i="37"/>
  <c r="H47" i="37"/>
  <c r="H45" i="38"/>
  <c r="G45" i="38"/>
  <c r="F45" i="38"/>
  <c r="E45" i="38"/>
  <c r="D45" i="38"/>
  <c r="C45" i="38"/>
  <c r="H109" i="38"/>
  <c r="G109" i="38"/>
  <c r="F109" i="38"/>
  <c r="E109" i="38"/>
  <c r="D109" i="38"/>
  <c r="C109" i="38"/>
  <c r="H103" i="38"/>
  <c r="G103" i="38"/>
  <c r="F103" i="38"/>
  <c r="E103" i="38"/>
  <c r="D103" i="38"/>
  <c r="C103" i="38"/>
  <c r="H89" i="38"/>
  <c r="G89" i="38"/>
  <c r="F89" i="38"/>
  <c r="E89" i="38"/>
  <c r="D89" i="38"/>
  <c r="C89" i="38"/>
  <c r="H78" i="38"/>
  <c r="G78" i="38"/>
  <c r="F78" i="38"/>
  <c r="E78" i="38"/>
  <c r="D78" i="38"/>
  <c r="C78" i="38"/>
  <c r="I46" i="38"/>
  <c r="H46" i="38"/>
  <c r="G46" i="38"/>
  <c r="F46" i="38"/>
  <c r="E46" i="38"/>
  <c r="D46" i="38"/>
  <c r="C46" i="38"/>
  <c r="I45" i="38"/>
  <c r="I38" i="38"/>
  <c r="I37" i="38"/>
  <c r="H37" i="38"/>
  <c r="G37" i="38"/>
  <c r="F37" i="38"/>
  <c r="E37" i="38"/>
  <c r="D37" i="38"/>
  <c r="C37" i="38"/>
  <c r="C41" i="38" s="1"/>
  <c r="H31" i="38"/>
  <c r="F31" i="38"/>
  <c r="D35" i="37"/>
  <c r="E35" i="37"/>
  <c r="F35" i="37"/>
  <c r="G35" i="37"/>
  <c r="H35" i="37"/>
  <c r="I35" i="37"/>
  <c r="I36" i="37"/>
  <c r="I37" i="37" s="1"/>
  <c r="I38" i="37"/>
  <c r="D40" i="37"/>
  <c r="E40" i="37"/>
  <c r="F40" i="37"/>
  <c r="G40" i="37"/>
  <c r="H40" i="37"/>
  <c r="H20" i="37" s="1"/>
  <c r="I40" i="37"/>
  <c r="I43" i="37"/>
  <c r="C40" i="37"/>
  <c r="C40" i="24"/>
  <c r="C35" i="24"/>
  <c r="C35" i="37"/>
  <c r="D7" i="37"/>
  <c r="E7" i="37"/>
  <c r="F7" i="37"/>
  <c r="G7" i="37"/>
  <c r="H7" i="37"/>
  <c r="I7" i="37"/>
  <c r="D8" i="37"/>
  <c r="E8" i="37"/>
  <c r="F8" i="37"/>
  <c r="G8" i="37"/>
  <c r="H8" i="37"/>
  <c r="I8" i="37"/>
  <c r="D9" i="37"/>
  <c r="E9" i="37"/>
  <c r="F9" i="37"/>
  <c r="G9" i="37"/>
  <c r="H9" i="37"/>
  <c r="I9" i="37"/>
  <c r="D10" i="37"/>
  <c r="D11" i="37" s="1"/>
  <c r="E10" i="37"/>
  <c r="E11" i="37" s="1"/>
  <c r="F10" i="37"/>
  <c r="G10" i="37"/>
  <c r="H10" i="37"/>
  <c r="I10" i="37"/>
  <c r="D12" i="37"/>
  <c r="E12" i="37"/>
  <c r="E31" i="37"/>
  <c r="F12" i="37"/>
  <c r="G12" i="37"/>
  <c r="H12" i="37"/>
  <c r="H31" i="37" s="1"/>
  <c r="I12" i="37"/>
  <c r="I30" i="37" s="1"/>
  <c r="D13" i="37"/>
  <c r="E13" i="37"/>
  <c r="F13" i="37"/>
  <c r="G13" i="37"/>
  <c r="H13" i="37"/>
  <c r="I13" i="37"/>
  <c r="I18" i="37"/>
  <c r="I21" i="37" s="1"/>
  <c r="C13" i="37"/>
  <c r="C12" i="37"/>
  <c r="C10" i="37"/>
  <c r="C9" i="37"/>
  <c r="C8" i="37"/>
  <c r="C7" i="37"/>
  <c r="H147" i="37"/>
  <c r="H43" i="37" s="1"/>
  <c r="G147" i="37"/>
  <c r="G43" i="37" s="1"/>
  <c r="F147" i="37"/>
  <c r="F43" i="37" s="1"/>
  <c r="E147" i="37"/>
  <c r="E43" i="37" s="1"/>
  <c r="D147" i="37"/>
  <c r="D43" i="37" s="1"/>
  <c r="C147" i="37"/>
  <c r="C43" i="37" s="1"/>
  <c r="H120" i="37"/>
  <c r="H125" i="37"/>
  <c r="H131" i="37" s="1"/>
  <c r="H133" i="37" s="1"/>
  <c r="H38" i="37" s="1"/>
  <c r="G120" i="37"/>
  <c r="G125" i="37"/>
  <c r="G131" i="37" s="1"/>
  <c r="G133" i="37" s="1"/>
  <c r="G38" i="37" s="1"/>
  <c r="F120" i="37"/>
  <c r="F125" i="37" s="1"/>
  <c r="E120" i="37"/>
  <c r="E125" i="37" s="1"/>
  <c r="D120" i="37"/>
  <c r="D125" i="37" s="1"/>
  <c r="C120" i="37"/>
  <c r="C125" i="37" s="1"/>
  <c r="H114" i="37"/>
  <c r="H15" i="37" s="1"/>
  <c r="H18" i="37" s="1"/>
  <c r="G114" i="37"/>
  <c r="G15" i="37" s="1"/>
  <c r="G18" i="37" s="1"/>
  <c r="F114" i="37"/>
  <c r="F15" i="37" s="1"/>
  <c r="F18" i="37" s="1"/>
  <c r="F21" i="37" s="1"/>
  <c r="E114" i="37"/>
  <c r="E15" i="37" s="1"/>
  <c r="E18" i="37" s="1"/>
  <c r="D114" i="37"/>
  <c r="D15" i="37" s="1"/>
  <c r="D18" i="37" s="1"/>
  <c r="C114" i="37"/>
  <c r="C15" i="37" s="1"/>
  <c r="C18" i="37" s="1"/>
  <c r="H107" i="37"/>
  <c r="G107" i="37"/>
  <c r="F107" i="37"/>
  <c r="E107" i="37"/>
  <c r="D107" i="37"/>
  <c r="C107" i="37"/>
  <c r="H106" i="37"/>
  <c r="G106" i="37"/>
  <c r="F106" i="37"/>
  <c r="E106" i="37"/>
  <c r="D106" i="37"/>
  <c r="C106" i="37"/>
  <c r="H100" i="37"/>
  <c r="G100" i="37"/>
  <c r="F100" i="37"/>
  <c r="E100" i="37"/>
  <c r="D100" i="37"/>
  <c r="C100" i="37"/>
  <c r="H88" i="37"/>
  <c r="G88" i="37"/>
  <c r="F88" i="37"/>
  <c r="E88" i="37"/>
  <c r="D88" i="37"/>
  <c r="C88" i="37"/>
  <c r="H87" i="37"/>
  <c r="G87" i="37"/>
  <c r="F87" i="37"/>
  <c r="E87" i="37"/>
  <c r="D87" i="37"/>
  <c r="C87" i="37"/>
  <c r="H76" i="37"/>
  <c r="G76" i="37"/>
  <c r="F76" i="37"/>
  <c r="E76" i="37"/>
  <c r="D76" i="37"/>
  <c r="C76" i="37"/>
  <c r="I58" i="37"/>
  <c r="E44" i="37"/>
  <c r="E58" i="37" s="1"/>
  <c r="C44" i="37"/>
  <c r="C58" i="37" s="1"/>
  <c r="D31" i="37"/>
  <c r="E30" i="37"/>
  <c r="D30" i="37"/>
  <c r="F20" i="37"/>
  <c r="C20" i="37"/>
  <c r="C150" i="14"/>
  <c r="D150" i="14"/>
  <c r="E150" i="14"/>
  <c r="F150" i="14"/>
  <c r="G150" i="14"/>
  <c r="G43" i="14" s="1"/>
  <c r="H150" i="14"/>
  <c r="I50" i="24"/>
  <c r="I52" i="24" s="1"/>
  <c r="H47" i="26"/>
  <c r="H45" i="26" s="1"/>
  <c r="D35" i="26"/>
  <c r="E35" i="26"/>
  <c r="F35" i="26"/>
  <c r="G35" i="26"/>
  <c r="H35" i="26"/>
  <c r="I35" i="26"/>
  <c r="I36" i="26"/>
  <c r="I38" i="26"/>
  <c r="D40" i="26"/>
  <c r="D50" i="26" s="1"/>
  <c r="E40" i="26"/>
  <c r="E50" i="26" s="1"/>
  <c r="F40" i="26"/>
  <c r="F50" i="26" s="1"/>
  <c r="G40" i="26"/>
  <c r="G50" i="26" s="1"/>
  <c r="H40" i="26"/>
  <c r="I40" i="26"/>
  <c r="I50" i="26" s="1"/>
  <c r="I43" i="26"/>
  <c r="C40" i="26"/>
  <c r="C50" i="26" s="1"/>
  <c r="C35" i="26"/>
  <c r="D7" i="26"/>
  <c r="E7" i="26"/>
  <c r="F7" i="26"/>
  <c r="G7" i="26"/>
  <c r="H7" i="26"/>
  <c r="H31" i="26" s="1"/>
  <c r="I7" i="26"/>
  <c r="D8" i="26"/>
  <c r="E8" i="26"/>
  <c r="F8" i="26"/>
  <c r="G8" i="26"/>
  <c r="H8" i="26"/>
  <c r="I8" i="26"/>
  <c r="D9" i="26"/>
  <c r="E9" i="26"/>
  <c r="F9" i="26"/>
  <c r="G9" i="26"/>
  <c r="H9" i="26"/>
  <c r="I9" i="26"/>
  <c r="D10" i="26"/>
  <c r="E10" i="26"/>
  <c r="F10" i="26"/>
  <c r="G10" i="26"/>
  <c r="H10" i="26"/>
  <c r="I10" i="26"/>
  <c r="D12" i="26"/>
  <c r="E12" i="26"/>
  <c r="F12" i="26"/>
  <c r="G12" i="26"/>
  <c r="H12" i="26"/>
  <c r="I12" i="26"/>
  <c r="I29" i="26" s="1"/>
  <c r="D13" i="26"/>
  <c r="E13" i="26"/>
  <c r="E14" i="26" s="1"/>
  <c r="F13" i="26"/>
  <c r="G13" i="26"/>
  <c r="H13" i="26"/>
  <c r="H14" i="26" s="1"/>
  <c r="I13" i="26"/>
  <c r="I15" i="26"/>
  <c r="I18" i="26" s="1"/>
  <c r="I21" i="26" s="1"/>
  <c r="C13" i="26"/>
  <c r="C12" i="26"/>
  <c r="C10" i="26"/>
  <c r="C9" i="26"/>
  <c r="C8" i="26"/>
  <c r="C7" i="26"/>
  <c r="C30" i="26" s="1"/>
  <c r="E31" i="38"/>
  <c r="G11" i="37"/>
  <c r="I39" i="37"/>
  <c r="H11" i="26"/>
  <c r="D20" i="37"/>
  <c r="H11" i="37"/>
  <c r="F14" i="37"/>
  <c r="E14" i="37"/>
  <c r="H17" i="38"/>
  <c r="H20" i="38"/>
  <c r="C17" i="38"/>
  <c r="C20" i="38" s="1"/>
  <c r="F17" i="38"/>
  <c r="F20" i="38" s="1"/>
  <c r="F23" i="38" s="1"/>
  <c r="E17" i="38"/>
  <c r="E20" i="38" s="1"/>
  <c r="I39" i="38"/>
  <c r="I41" i="38"/>
  <c r="G20" i="37"/>
  <c r="C14" i="37"/>
  <c r="G14" i="37"/>
  <c r="G32" i="37" s="1"/>
  <c r="G29" i="37"/>
  <c r="H142" i="26"/>
  <c r="H43" i="26" s="1"/>
  <c r="G142" i="26"/>
  <c r="G43" i="26" s="1"/>
  <c r="H115" i="26"/>
  <c r="H120" i="26" s="1"/>
  <c r="G115" i="26"/>
  <c r="G120" i="26" s="1"/>
  <c r="H108" i="26"/>
  <c r="H15" i="26" s="1"/>
  <c r="H18" i="26" s="1"/>
  <c r="G108" i="26"/>
  <c r="G15" i="26" s="1"/>
  <c r="G18" i="26" s="1"/>
  <c r="H101" i="26"/>
  <c r="G101" i="26"/>
  <c r="H100" i="26"/>
  <c r="G100" i="26"/>
  <c r="H93" i="26"/>
  <c r="G93" i="26"/>
  <c r="H81" i="26"/>
  <c r="G81" i="26"/>
  <c r="H80" i="26"/>
  <c r="G80" i="26"/>
  <c r="H69" i="26"/>
  <c r="G69" i="26"/>
  <c r="C115" i="26"/>
  <c r="C120" i="26" s="1"/>
  <c r="D115" i="26"/>
  <c r="D120" i="26" s="1"/>
  <c r="E115" i="26"/>
  <c r="E120" i="26" s="1"/>
  <c r="F115" i="26"/>
  <c r="F120" i="26" s="1"/>
  <c r="F126" i="26" s="1"/>
  <c r="F128" i="26" s="1"/>
  <c r="F38" i="26" s="1"/>
  <c r="C100" i="26"/>
  <c r="D100" i="26"/>
  <c r="E100" i="26"/>
  <c r="F100" i="26"/>
  <c r="F142" i="26"/>
  <c r="F43" i="26"/>
  <c r="E142" i="26"/>
  <c r="E43" i="26" s="1"/>
  <c r="D142" i="26"/>
  <c r="D43" i="26" s="1"/>
  <c r="C142" i="26"/>
  <c r="C43" i="26" s="1"/>
  <c r="F108" i="26"/>
  <c r="F15" i="26" s="1"/>
  <c r="F18" i="26" s="1"/>
  <c r="F21" i="26" s="1"/>
  <c r="E108" i="26"/>
  <c r="E15" i="26" s="1"/>
  <c r="E18" i="26" s="1"/>
  <c r="D108" i="26"/>
  <c r="D15" i="26" s="1"/>
  <c r="D18" i="26" s="1"/>
  <c r="C108" i="26"/>
  <c r="C15" i="26" s="1"/>
  <c r="C18" i="26" s="1"/>
  <c r="F101" i="26"/>
  <c r="E101" i="26"/>
  <c r="D101" i="26"/>
  <c r="C101" i="26"/>
  <c r="F93" i="26"/>
  <c r="E93" i="26"/>
  <c r="D93" i="26"/>
  <c r="C93" i="26"/>
  <c r="F81" i="26"/>
  <c r="E81" i="26"/>
  <c r="D81" i="26"/>
  <c r="C81" i="26"/>
  <c r="F80" i="26"/>
  <c r="E80" i="26"/>
  <c r="D80" i="26"/>
  <c r="C80" i="26"/>
  <c r="F69" i="26"/>
  <c r="E69" i="26"/>
  <c r="D69" i="26"/>
  <c r="C69" i="26"/>
  <c r="I44" i="26"/>
  <c r="I52" i="26" s="1"/>
  <c r="G44" i="26"/>
  <c r="G52" i="26" s="1"/>
  <c r="F44" i="26"/>
  <c r="F52" i="26" s="1"/>
  <c r="E44" i="26"/>
  <c r="E52" i="26" s="1"/>
  <c r="D44" i="26"/>
  <c r="D52" i="26"/>
  <c r="C44" i="26"/>
  <c r="C52" i="26" s="1"/>
  <c r="F31" i="26"/>
  <c r="D31" i="26"/>
  <c r="F30" i="26"/>
  <c r="F29" i="26"/>
  <c r="H20" i="26"/>
  <c r="F20" i="26"/>
  <c r="D12" i="23"/>
  <c r="E12" i="23"/>
  <c r="F12" i="23"/>
  <c r="G12" i="23"/>
  <c r="H12" i="23"/>
  <c r="I12" i="23"/>
  <c r="D13" i="23"/>
  <c r="D14" i="23" s="1"/>
  <c r="E13" i="23"/>
  <c r="F13" i="23"/>
  <c r="G13" i="23"/>
  <c r="G14" i="23" s="1"/>
  <c r="H13" i="23"/>
  <c r="I13" i="23"/>
  <c r="C13" i="23"/>
  <c r="C12" i="23"/>
  <c r="D7" i="23"/>
  <c r="E7" i="23"/>
  <c r="F7" i="23"/>
  <c r="G7" i="23"/>
  <c r="H7" i="23"/>
  <c r="H29" i="23" s="1"/>
  <c r="I7" i="23"/>
  <c r="D8" i="23"/>
  <c r="E8" i="23"/>
  <c r="F8" i="23"/>
  <c r="G8" i="23"/>
  <c r="H8" i="23"/>
  <c r="I8" i="23"/>
  <c r="D9" i="23"/>
  <c r="E9" i="23"/>
  <c r="F9" i="23"/>
  <c r="G9" i="23"/>
  <c r="H9" i="23"/>
  <c r="I9" i="23"/>
  <c r="D10" i="23"/>
  <c r="E10" i="23"/>
  <c r="E11" i="23" s="1"/>
  <c r="F10" i="23"/>
  <c r="G10" i="23"/>
  <c r="G11" i="23" s="1"/>
  <c r="H10" i="23"/>
  <c r="I10" i="23"/>
  <c r="I11" i="23" s="1"/>
  <c r="C10" i="23"/>
  <c r="C9" i="23"/>
  <c r="C8" i="23"/>
  <c r="C7" i="23"/>
  <c r="D35" i="23"/>
  <c r="E35" i="23"/>
  <c r="F35" i="23"/>
  <c r="G35" i="23"/>
  <c r="H35" i="23"/>
  <c r="I35" i="23"/>
  <c r="D40" i="23"/>
  <c r="D56" i="23" s="1"/>
  <c r="E40" i="23"/>
  <c r="E56" i="23" s="1"/>
  <c r="F40" i="23"/>
  <c r="F56" i="23" s="1"/>
  <c r="G40" i="23"/>
  <c r="G56" i="23" s="1"/>
  <c r="H40" i="23"/>
  <c r="H56" i="23" s="1"/>
  <c r="I40" i="23"/>
  <c r="I56" i="23" s="1"/>
  <c r="C40" i="23"/>
  <c r="C56" i="23" s="1"/>
  <c r="C35" i="23"/>
  <c r="I43" i="23"/>
  <c r="I134" i="23"/>
  <c r="I120" i="23"/>
  <c r="I122" i="23" s="1"/>
  <c r="C120" i="23"/>
  <c r="C122" i="23"/>
  <c r="D120" i="23"/>
  <c r="D122" i="23" s="1"/>
  <c r="E120" i="23"/>
  <c r="E122" i="23"/>
  <c r="F120" i="23"/>
  <c r="F15" i="23" s="1"/>
  <c r="F18" i="23" s="1"/>
  <c r="F21" i="23" s="1"/>
  <c r="G120" i="23"/>
  <c r="G122" i="23" s="1"/>
  <c r="H120" i="23"/>
  <c r="H122" i="23" s="1"/>
  <c r="C113" i="23"/>
  <c r="D113" i="23"/>
  <c r="E113" i="23"/>
  <c r="F113" i="23"/>
  <c r="G113" i="23"/>
  <c r="I113" i="23"/>
  <c r="H113" i="23"/>
  <c r="C92" i="23"/>
  <c r="D92" i="23"/>
  <c r="E92" i="23"/>
  <c r="F92" i="23"/>
  <c r="G92" i="23"/>
  <c r="I92" i="23"/>
  <c r="H92" i="23"/>
  <c r="C78" i="23"/>
  <c r="D78" i="23"/>
  <c r="E78" i="23"/>
  <c r="F78" i="23"/>
  <c r="G78" i="23"/>
  <c r="H78" i="23"/>
  <c r="D36" i="25"/>
  <c r="E36" i="25"/>
  <c r="F36" i="25"/>
  <c r="G36" i="25"/>
  <c r="H36" i="25"/>
  <c r="I36" i="25"/>
  <c r="I39" i="25"/>
  <c r="I41" i="25"/>
  <c r="I52" i="25" s="1"/>
  <c r="C36" i="25"/>
  <c r="I16" i="25"/>
  <c r="I19" i="25" s="1"/>
  <c r="D13" i="25"/>
  <c r="E13" i="25"/>
  <c r="F13" i="25"/>
  <c r="G13" i="25"/>
  <c r="H13" i="25"/>
  <c r="I13" i="25"/>
  <c r="D14" i="25"/>
  <c r="E14" i="25"/>
  <c r="F14" i="25"/>
  <c r="G14" i="25"/>
  <c r="H14" i="25"/>
  <c r="I14" i="25"/>
  <c r="C14" i="25"/>
  <c r="C13" i="25"/>
  <c r="D8" i="25"/>
  <c r="E8" i="25"/>
  <c r="F8" i="25"/>
  <c r="G8" i="25"/>
  <c r="H8" i="25"/>
  <c r="I8" i="25"/>
  <c r="C8" i="25"/>
  <c r="C9" i="25"/>
  <c r="D9" i="25"/>
  <c r="E9" i="25"/>
  <c r="F9" i="25"/>
  <c r="G9" i="25"/>
  <c r="H9" i="25"/>
  <c r="I9" i="25"/>
  <c r="D7" i="25"/>
  <c r="E7" i="25"/>
  <c r="F7" i="25"/>
  <c r="G7" i="25"/>
  <c r="H7" i="25"/>
  <c r="I7" i="25"/>
  <c r="I30" i="25" s="1"/>
  <c r="D11" i="25"/>
  <c r="E11" i="25"/>
  <c r="F11" i="25"/>
  <c r="G11" i="25"/>
  <c r="H11" i="25"/>
  <c r="I11" i="25"/>
  <c r="C11" i="25"/>
  <c r="C12" i="25" s="1"/>
  <c r="C7" i="25"/>
  <c r="I44" i="25"/>
  <c r="G44" i="25"/>
  <c r="F44" i="25"/>
  <c r="E44" i="25"/>
  <c r="D44" i="25"/>
  <c r="C44" i="25"/>
  <c r="H133" i="25"/>
  <c r="H41" i="25" s="1"/>
  <c r="H52" i="25" s="1"/>
  <c r="G133" i="25"/>
  <c r="G41" i="25" s="1"/>
  <c r="G52" i="25" s="1"/>
  <c r="F133" i="25"/>
  <c r="F41" i="25" s="1"/>
  <c r="F52" i="25" s="1"/>
  <c r="E133" i="25"/>
  <c r="E41" i="25" s="1"/>
  <c r="D133" i="25"/>
  <c r="D41" i="25" s="1"/>
  <c r="D52" i="25" s="1"/>
  <c r="C133" i="25"/>
  <c r="C41" i="25" s="1"/>
  <c r="H132" i="25"/>
  <c r="H39" i="25" s="1"/>
  <c r="G132" i="25"/>
  <c r="G39" i="25" s="1"/>
  <c r="F132" i="25"/>
  <c r="F39" i="25" s="1"/>
  <c r="E132" i="25"/>
  <c r="E39" i="25" s="1"/>
  <c r="E40" i="25" s="1"/>
  <c r="D132" i="25"/>
  <c r="D39" i="25" s="1"/>
  <c r="C132" i="25"/>
  <c r="C39" i="25" s="1"/>
  <c r="I116" i="25"/>
  <c r="H116" i="25"/>
  <c r="H122" i="25" s="1"/>
  <c r="H37" i="25" s="1"/>
  <c r="H38" i="25" s="1"/>
  <c r="G116" i="25"/>
  <c r="G122" i="25" s="1"/>
  <c r="G37" i="25" s="1"/>
  <c r="G38" i="25" s="1"/>
  <c r="F116" i="25"/>
  <c r="F122" i="25" s="1"/>
  <c r="F37" i="25" s="1"/>
  <c r="E116" i="25"/>
  <c r="E122" i="25" s="1"/>
  <c r="E37" i="25" s="1"/>
  <c r="E38" i="25" s="1"/>
  <c r="D116" i="25"/>
  <c r="D122" i="25" s="1"/>
  <c r="D37" i="25" s="1"/>
  <c r="C116" i="25"/>
  <c r="C122" i="25" s="1"/>
  <c r="C37" i="25" s="1"/>
  <c r="H110" i="25"/>
  <c r="G110" i="25"/>
  <c r="F110" i="25"/>
  <c r="E110" i="25"/>
  <c r="D110" i="25"/>
  <c r="C110" i="25"/>
  <c r="H108" i="25"/>
  <c r="H16" i="25" s="1"/>
  <c r="H19" i="25" s="1"/>
  <c r="G108" i="25"/>
  <c r="G16" i="25" s="1"/>
  <c r="G19" i="25" s="1"/>
  <c r="F108" i="25"/>
  <c r="F16" i="25" s="1"/>
  <c r="F19" i="25" s="1"/>
  <c r="E108" i="25"/>
  <c r="E16" i="25" s="1"/>
  <c r="E19" i="25" s="1"/>
  <c r="E22" i="25" s="1"/>
  <c r="D108" i="25"/>
  <c r="D16" i="25" s="1"/>
  <c r="D19" i="25" s="1"/>
  <c r="C108" i="25"/>
  <c r="C16" i="25" s="1"/>
  <c r="C19" i="25" s="1"/>
  <c r="H101" i="25"/>
  <c r="G101" i="25"/>
  <c r="F101" i="25"/>
  <c r="E101" i="25"/>
  <c r="D101" i="25"/>
  <c r="C101" i="25"/>
  <c r="I83" i="25"/>
  <c r="H83" i="25"/>
  <c r="G83" i="25"/>
  <c r="F83" i="25"/>
  <c r="E83" i="25"/>
  <c r="D83" i="25"/>
  <c r="C83" i="25"/>
  <c r="H82" i="25"/>
  <c r="G82" i="25"/>
  <c r="F82" i="25"/>
  <c r="E82" i="25"/>
  <c r="D82" i="25"/>
  <c r="C82" i="25"/>
  <c r="H72" i="25"/>
  <c r="G72" i="25"/>
  <c r="F72" i="25"/>
  <c r="E72" i="25"/>
  <c r="D72" i="25"/>
  <c r="C72" i="25"/>
  <c r="C47" i="25"/>
  <c r="C46" i="25" s="1"/>
  <c r="H54" i="25"/>
  <c r="G54" i="25"/>
  <c r="F54" i="25"/>
  <c r="I14" i="23"/>
  <c r="C15" i="23"/>
  <c r="C18" i="23" s="1"/>
  <c r="C21" i="23" s="1"/>
  <c r="E14" i="23"/>
  <c r="H15" i="23"/>
  <c r="H18" i="23" s="1"/>
  <c r="E15" i="23"/>
  <c r="E18" i="23" s="1"/>
  <c r="E21" i="23" s="1"/>
  <c r="D15" i="23"/>
  <c r="F14" i="23"/>
  <c r="D41" i="38"/>
  <c r="E41" i="38"/>
  <c r="E12" i="25"/>
  <c r="C14" i="23"/>
  <c r="H30" i="23"/>
  <c r="I29" i="23"/>
  <c r="H139" i="24"/>
  <c r="H43" i="24"/>
  <c r="G139" i="24"/>
  <c r="G43" i="24"/>
  <c r="F139" i="24"/>
  <c r="F43" i="24"/>
  <c r="E139" i="24"/>
  <c r="E43" i="24"/>
  <c r="D139" i="24"/>
  <c r="D43" i="24"/>
  <c r="C139" i="24"/>
  <c r="C43" i="24"/>
  <c r="H111" i="24"/>
  <c r="H116" i="24"/>
  <c r="H36" i="24"/>
  <c r="H37" i="24"/>
  <c r="G111" i="24"/>
  <c r="G116" i="24"/>
  <c r="G36" i="24"/>
  <c r="G37" i="24"/>
  <c r="F111" i="24"/>
  <c r="F116" i="24"/>
  <c r="F36" i="24"/>
  <c r="F37" i="24"/>
  <c r="E111" i="24"/>
  <c r="E116" i="24"/>
  <c r="E36" i="24"/>
  <c r="E37" i="24"/>
  <c r="D111" i="24"/>
  <c r="D116" i="24"/>
  <c r="D36" i="24"/>
  <c r="D37" i="24"/>
  <c r="C111" i="24"/>
  <c r="C116" i="24"/>
  <c r="H104" i="24"/>
  <c r="G104" i="24"/>
  <c r="F104" i="24"/>
  <c r="E104" i="24"/>
  <c r="D104" i="24"/>
  <c r="C104" i="24"/>
  <c r="H97" i="24"/>
  <c r="G97" i="24"/>
  <c r="F97" i="24"/>
  <c r="E97" i="24"/>
  <c r="D97" i="24"/>
  <c r="C97" i="24"/>
  <c r="H96" i="24"/>
  <c r="G96" i="24"/>
  <c r="F96" i="24"/>
  <c r="E96" i="24"/>
  <c r="D96" i="24"/>
  <c r="C96" i="24"/>
  <c r="H90" i="24"/>
  <c r="G90" i="24"/>
  <c r="F90" i="24"/>
  <c r="E90" i="24"/>
  <c r="D90" i="24"/>
  <c r="C90" i="24"/>
  <c r="H78" i="24"/>
  <c r="G78" i="24"/>
  <c r="F78" i="24"/>
  <c r="E78" i="24"/>
  <c r="D78" i="24"/>
  <c r="C78" i="24"/>
  <c r="H77" i="24"/>
  <c r="G77" i="24"/>
  <c r="F77" i="24"/>
  <c r="E77" i="24"/>
  <c r="D77" i="24"/>
  <c r="C77" i="24"/>
  <c r="H66" i="24"/>
  <c r="G66" i="24"/>
  <c r="F66" i="24"/>
  <c r="E66" i="24"/>
  <c r="D66" i="24"/>
  <c r="C66" i="24"/>
  <c r="H50" i="24"/>
  <c r="G50" i="24"/>
  <c r="F50" i="24"/>
  <c r="E50" i="24"/>
  <c r="D50" i="24"/>
  <c r="C50" i="24"/>
  <c r="I44" i="24"/>
  <c r="I51" i="24"/>
  <c r="H44" i="24"/>
  <c r="H51" i="24"/>
  <c r="G44" i="24"/>
  <c r="G51" i="24"/>
  <c r="F44" i="24"/>
  <c r="F51" i="24"/>
  <c r="E44" i="24"/>
  <c r="E51" i="24"/>
  <c r="D44" i="24"/>
  <c r="D51" i="24"/>
  <c r="C44" i="24"/>
  <c r="I23" i="24"/>
  <c r="I32" i="24"/>
  <c r="H32" i="24"/>
  <c r="G32" i="24"/>
  <c r="F32" i="24"/>
  <c r="E32" i="24"/>
  <c r="D32" i="24"/>
  <c r="C32" i="24"/>
  <c r="I31" i="24"/>
  <c r="H31" i="24"/>
  <c r="G31" i="24"/>
  <c r="F31" i="24"/>
  <c r="E31" i="24"/>
  <c r="D31" i="24"/>
  <c r="C31" i="24"/>
  <c r="I30" i="24"/>
  <c r="H30" i="24"/>
  <c r="G30" i="24"/>
  <c r="F30" i="24"/>
  <c r="E30" i="24"/>
  <c r="D30" i="24"/>
  <c r="C30" i="24"/>
  <c r="I29" i="24"/>
  <c r="H29" i="24"/>
  <c r="G29" i="24"/>
  <c r="F29" i="24"/>
  <c r="E29" i="24"/>
  <c r="D29" i="24"/>
  <c r="C29" i="24"/>
  <c r="I20" i="24"/>
  <c r="H20" i="24"/>
  <c r="G20" i="24"/>
  <c r="F20" i="24"/>
  <c r="E20" i="24"/>
  <c r="D20" i="24"/>
  <c r="C20" i="24"/>
  <c r="I18" i="24"/>
  <c r="I21" i="24"/>
  <c r="H157" i="23"/>
  <c r="H43" i="23" s="1"/>
  <c r="G157" i="23"/>
  <c r="G43" i="23" s="1"/>
  <c r="F157" i="23"/>
  <c r="F43" i="23" s="1"/>
  <c r="E157" i="23"/>
  <c r="E43" i="23" s="1"/>
  <c r="D157" i="23"/>
  <c r="D43" i="23" s="1"/>
  <c r="C157" i="23"/>
  <c r="C43" i="23" s="1"/>
  <c r="H128" i="23"/>
  <c r="G128" i="23"/>
  <c r="G134" i="23" s="1"/>
  <c r="F128" i="23"/>
  <c r="E128" i="23"/>
  <c r="E134" i="23" s="1"/>
  <c r="D128" i="23"/>
  <c r="C128" i="23"/>
  <c r="H114" i="23"/>
  <c r="G114" i="23"/>
  <c r="F114" i="23"/>
  <c r="E114" i="23"/>
  <c r="D114" i="23"/>
  <c r="C114" i="23"/>
  <c r="H105" i="23"/>
  <c r="G105" i="23"/>
  <c r="F105" i="23"/>
  <c r="E105" i="23"/>
  <c r="D105" i="23"/>
  <c r="C105" i="23"/>
  <c r="H93" i="23"/>
  <c r="G93" i="23"/>
  <c r="F93" i="23"/>
  <c r="E93" i="23"/>
  <c r="D93" i="23"/>
  <c r="C93" i="23"/>
  <c r="E3" i="23"/>
  <c r="D30" i="23"/>
  <c r="G20" i="23"/>
  <c r="E20" i="23"/>
  <c r="D20" i="23"/>
  <c r="C20" i="23"/>
  <c r="D18" i="23"/>
  <c r="D21" i="23" s="1"/>
  <c r="G31" i="23"/>
  <c r="C30" i="23"/>
  <c r="G42" i="22"/>
  <c r="G58" i="22" s="1"/>
  <c r="E40" i="22"/>
  <c r="E42" i="22"/>
  <c r="E58" i="22" s="1"/>
  <c r="F40" i="22"/>
  <c r="F42" i="22" s="1"/>
  <c r="G40" i="22"/>
  <c r="H40" i="22"/>
  <c r="D7" i="22"/>
  <c r="E7" i="22"/>
  <c r="F7" i="22"/>
  <c r="G7" i="22"/>
  <c r="H7" i="22"/>
  <c r="I7" i="22"/>
  <c r="D8" i="22"/>
  <c r="E8" i="22"/>
  <c r="F8" i="22"/>
  <c r="G8" i="22"/>
  <c r="H8" i="22"/>
  <c r="I8" i="22"/>
  <c r="D9" i="22"/>
  <c r="E9" i="22"/>
  <c r="F9" i="22"/>
  <c r="G9" i="22"/>
  <c r="H9" i="22"/>
  <c r="I9" i="22"/>
  <c r="D10" i="22"/>
  <c r="E10" i="22"/>
  <c r="F10" i="22"/>
  <c r="F11" i="22" s="1"/>
  <c r="G10" i="22"/>
  <c r="H10" i="22"/>
  <c r="H11" i="22" s="1"/>
  <c r="I10" i="22"/>
  <c r="D12" i="22"/>
  <c r="E12" i="22"/>
  <c r="F12" i="22"/>
  <c r="G12" i="22"/>
  <c r="H12" i="22"/>
  <c r="I12" i="22"/>
  <c r="D13" i="22"/>
  <c r="E13" i="22"/>
  <c r="F13" i="22"/>
  <c r="G13" i="22"/>
  <c r="H13" i="22"/>
  <c r="H14" i="22" s="1"/>
  <c r="I13" i="22"/>
  <c r="D36" i="22"/>
  <c r="E36" i="22"/>
  <c r="F36" i="22"/>
  <c r="G36" i="22"/>
  <c r="H36" i="22"/>
  <c r="I36" i="22"/>
  <c r="H42" i="22"/>
  <c r="I42" i="22"/>
  <c r="C36" i="22"/>
  <c r="C13" i="22"/>
  <c r="C12" i="22"/>
  <c r="C14" i="22" s="1"/>
  <c r="C10" i="22"/>
  <c r="C9" i="22"/>
  <c r="C8" i="22"/>
  <c r="C7" i="22"/>
  <c r="I45" i="22"/>
  <c r="H45" i="22"/>
  <c r="G45" i="22"/>
  <c r="F45" i="22"/>
  <c r="E45" i="22"/>
  <c r="D45" i="22"/>
  <c r="C45" i="22"/>
  <c r="I124" i="22"/>
  <c r="I130" i="22" s="1"/>
  <c r="H124" i="22"/>
  <c r="H130" i="22" s="1"/>
  <c r="G124" i="22"/>
  <c r="G130" i="22" s="1"/>
  <c r="G37" i="22" s="1"/>
  <c r="G38" i="22" s="1"/>
  <c r="F124" i="22"/>
  <c r="F130" i="22" s="1"/>
  <c r="E124" i="22"/>
  <c r="E130" i="22" s="1"/>
  <c r="D124" i="22"/>
  <c r="D130" i="22" s="1"/>
  <c r="D137" i="22" s="1"/>
  <c r="D139" i="22" s="1"/>
  <c r="C124" i="22"/>
  <c r="C130" i="22" s="1"/>
  <c r="C137" i="22" s="1"/>
  <c r="C139" i="22" s="1"/>
  <c r="I117" i="22"/>
  <c r="H117" i="22"/>
  <c r="H118" i="22" s="1"/>
  <c r="H15" i="22" s="1"/>
  <c r="H19" i="22" s="1"/>
  <c r="G117" i="22"/>
  <c r="G118" i="22" s="1"/>
  <c r="G15" i="22" s="1"/>
  <c r="G19" i="22" s="1"/>
  <c r="F117" i="22"/>
  <c r="F118" i="22" s="1"/>
  <c r="F15" i="22" s="1"/>
  <c r="F19" i="22" s="1"/>
  <c r="E117" i="22"/>
  <c r="E118" i="22" s="1"/>
  <c r="E15" i="22" s="1"/>
  <c r="E19" i="22" s="1"/>
  <c r="D117" i="22"/>
  <c r="D118" i="22" s="1"/>
  <c r="D15" i="22" s="1"/>
  <c r="D19" i="22" s="1"/>
  <c r="C113" i="22"/>
  <c r="C117" i="22" s="1"/>
  <c r="H110" i="22"/>
  <c r="G110" i="22"/>
  <c r="F110" i="22"/>
  <c r="E110" i="22"/>
  <c r="D110" i="22"/>
  <c r="C110" i="22"/>
  <c r="I109" i="22"/>
  <c r="H109" i="22"/>
  <c r="G109" i="22"/>
  <c r="F109" i="22"/>
  <c r="E109" i="22"/>
  <c r="D109" i="22"/>
  <c r="C109" i="22"/>
  <c r="I101" i="22"/>
  <c r="H101" i="22"/>
  <c r="G101" i="22"/>
  <c r="F101" i="22"/>
  <c r="E101" i="22"/>
  <c r="D101" i="22"/>
  <c r="C101" i="22"/>
  <c r="I89" i="22"/>
  <c r="H89" i="22"/>
  <c r="G89" i="22"/>
  <c r="F89" i="22"/>
  <c r="E89" i="22"/>
  <c r="D89" i="22"/>
  <c r="C89" i="22"/>
  <c r="H88" i="22"/>
  <c r="G88" i="22"/>
  <c r="F88" i="22"/>
  <c r="E88" i="22"/>
  <c r="D88" i="22"/>
  <c r="C81" i="22"/>
  <c r="C88" i="22" s="1"/>
  <c r="H77" i="22"/>
  <c r="G77" i="22"/>
  <c r="F77" i="22"/>
  <c r="E77" i="22"/>
  <c r="D77" i="22"/>
  <c r="C77" i="22"/>
  <c r="F46" i="22"/>
  <c r="F60" i="22" s="1"/>
  <c r="I46" i="22"/>
  <c r="I60" i="22" s="1"/>
  <c r="H46" i="22"/>
  <c r="H60" i="22" s="1"/>
  <c r="G46" i="22"/>
  <c r="E46" i="22"/>
  <c r="E60" i="22"/>
  <c r="D60" i="22"/>
  <c r="D16" i="20"/>
  <c r="D18" i="20"/>
  <c r="D15" i="20"/>
  <c r="D11" i="20"/>
  <c r="D12" i="20" s="1"/>
  <c r="D20" i="20" s="1"/>
  <c r="D22" i="20" s="1"/>
  <c r="D24" i="20" s="1"/>
  <c r="D25" i="20" s="1"/>
  <c r="D10" i="20"/>
  <c r="D34" i="19"/>
  <c r="E34" i="19"/>
  <c r="F34" i="19"/>
  <c r="G34" i="19"/>
  <c r="H34" i="19"/>
  <c r="D37" i="19"/>
  <c r="D38" i="19"/>
  <c r="E37" i="19"/>
  <c r="F37" i="19"/>
  <c r="F38" i="19"/>
  <c r="G37" i="19"/>
  <c r="G38" i="19"/>
  <c r="H37" i="19"/>
  <c r="D39" i="19"/>
  <c r="D50" i="19"/>
  <c r="E39" i="19"/>
  <c r="E50" i="19"/>
  <c r="F39" i="19"/>
  <c r="F19" i="19"/>
  <c r="G39" i="19"/>
  <c r="H39" i="19"/>
  <c r="H19" i="19"/>
  <c r="C39" i="19"/>
  <c r="C37" i="19"/>
  <c r="C34" i="19"/>
  <c r="D11" i="19"/>
  <c r="E11" i="19"/>
  <c r="E13" i="19"/>
  <c r="F11" i="19"/>
  <c r="G11" i="19"/>
  <c r="H11" i="19"/>
  <c r="D12" i="19"/>
  <c r="D13" i="19"/>
  <c r="E12" i="19"/>
  <c r="F12" i="19"/>
  <c r="G12" i="19"/>
  <c r="H12" i="19"/>
  <c r="C12" i="19"/>
  <c r="C13" i="19"/>
  <c r="C11" i="19"/>
  <c r="D7" i="19"/>
  <c r="D28" i="19"/>
  <c r="E7" i="19"/>
  <c r="E29" i="19"/>
  <c r="F7" i="19"/>
  <c r="F10" i="19"/>
  <c r="G7" i="19"/>
  <c r="H7" i="19"/>
  <c r="D8" i="19"/>
  <c r="E8" i="19"/>
  <c r="F8" i="19"/>
  <c r="G8" i="19"/>
  <c r="H8" i="19"/>
  <c r="D9" i="19"/>
  <c r="E9" i="19"/>
  <c r="F9" i="19"/>
  <c r="G9" i="19"/>
  <c r="H9" i="19"/>
  <c r="C9" i="19"/>
  <c r="C10" i="19"/>
  <c r="C8" i="19"/>
  <c r="C7" i="19"/>
  <c r="I138" i="19"/>
  <c r="I42" i="19"/>
  <c r="G138" i="19"/>
  <c r="G42" i="19"/>
  <c r="F138" i="19"/>
  <c r="F42" i="19"/>
  <c r="E138" i="19"/>
  <c r="E42" i="19"/>
  <c r="D138" i="19"/>
  <c r="D42" i="19"/>
  <c r="C138" i="19"/>
  <c r="C42" i="19"/>
  <c r="H126" i="19"/>
  <c r="G126" i="19"/>
  <c r="F126" i="19"/>
  <c r="E126" i="19"/>
  <c r="D126" i="19"/>
  <c r="C126" i="19"/>
  <c r="I110" i="19"/>
  <c r="I116" i="19"/>
  <c r="I35" i="19"/>
  <c r="I36" i="19"/>
  <c r="H110" i="19"/>
  <c r="H116" i="19"/>
  <c r="H35" i="19"/>
  <c r="H36" i="19"/>
  <c r="G110" i="19"/>
  <c r="G116" i="19"/>
  <c r="G35" i="19"/>
  <c r="G36" i="19"/>
  <c r="F110" i="19"/>
  <c r="F116" i="19"/>
  <c r="F35" i="19"/>
  <c r="F36" i="19"/>
  <c r="E110" i="19"/>
  <c r="E116" i="19"/>
  <c r="E35" i="19"/>
  <c r="D110" i="19"/>
  <c r="D116" i="19"/>
  <c r="D35" i="19"/>
  <c r="D36" i="19"/>
  <c r="C110" i="19"/>
  <c r="C116" i="19"/>
  <c r="C35" i="19"/>
  <c r="I104" i="19"/>
  <c r="H104" i="19"/>
  <c r="G104" i="19"/>
  <c r="F104" i="19"/>
  <c r="E104" i="19"/>
  <c r="D104" i="19"/>
  <c r="C104" i="19"/>
  <c r="H102" i="19"/>
  <c r="H14" i="19"/>
  <c r="G102" i="19"/>
  <c r="G14" i="19"/>
  <c r="G40" i="19"/>
  <c r="F102" i="19"/>
  <c r="F14" i="19"/>
  <c r="E102" i="19"/>
  <c r="E14" i="19"/>
  <c r="D102" i="19"/>
  <c r="D14" i="19"/>
  <c r="C102" i="19"/>
  <c r="C14" i="19"/>
  <c r="C17" i="19"/>
  <c r="H94" i="19"/>
  <c r="G94" i="19"/>
  <c r="F94" i="19"/>
  <c r="E94" i="19"/>
  <c r="D94" i="19"/>
  <c r="C94" i="19"/>
  <c r="H89" i="19"/>
  <c r="H95" i="19"/>
  <c r="G89" i="19"/>
  <c r="G95" i="19"/>
  <c r="F89" i="19"/>
  <c r="F95" i="19"/>
  <c r="E89" i="19"/>
  <c r="E95" i="19"/>
  <c r="D89" i="19"/>
  <c r="D95" i="19"/>
  <c r="C89" i="19"/>
  <c r="C95" i="19"/>
  <c r="I78" i="19"/>
  <c r="H78" i="19"/>
  <c r="G78" i="19"/>
  <c r="F78" i="19"/>
  <c r="E78" i="19"/>
  <c r="D78" i="19"/>
  <c r="C78" i="19"/>
  <c r="I77" i="19"/>
  <c r="H77" i="19"/>
  <c r="G77" i="19"/>
  <c r="F77" i="19"/>
  <c r="E77" i="19"/>
  <c r="D77" i="19"/>
  <c r="C77" i="19"/>
  <c r="I67" i="19"/>
  <c r="H67" i="19"/>
  <c r="G67" i="19"/>
  <c r="F67" i="19"/>
  <c r="E67" i="19"/>
  <c r="D67" i="19"/>
  <c r="C67" i="19"/>
  <c r="I50" i="19"/>
  <c r="I43" i="19"/>
  <c r="I51" i="19"/>
  <c r="H43" i="19"/>
  <c r="H51" i="19"/>
  <c r="G43" i="19"/>
  <c r="G51" i="19"/>
  <c r="F43" i="19"/>
  <c r="F51" i="19"/>
  <c r="E43" i="19"/>
  <c r="E51" i="19"/>
  <c r="D43" i="19"/>
  <c r="D51" i="19"/>
  <c r="C43" i="19"/>
  <c r="G19" i="19"/>
  <c r="C38" i="19"/>
  <c r="C29" i="19"/>
  <c r="D35" i="18"/>
  <c r="E35" i="18"/>
  <c r="F35" i="18"/>
  <c r="G35" i="18"/>
  <c r="H35" i="18"/>
  <c r="I35" i="18"/>
  <c r="D40" i="18"/>
  <c r="D57" i="18" s="1"/>
  <c r="E40" i="18"/>
  <c r="E57" i="18" s="1"/>
  <c r="E20" i="18"/>
  <c r="F40" i="18"/>
  <c r="F57" i="18" s="1"/>
  <c r="G40" i="18"/>
  <c r="G57" i="18" s="1"/>
  <c r="H40" i="18"/>
  <c r="H57" i="18" s="1"/>
  <c r="I40" i="18"/>
  <c r="I57" i="18" s="1"/>
  <c r="C40" i="18"/>
  <c r="C57" i="18" s="1"/>
  <c r="C20" i="18"/>
  <c r="C35" i="18"/>
  <c r="D7" i="18"/>
  <c r="E7" i="18"/>
  <c r="F7" i="18"/>
  <c r="G7" i="18"/>
  <c r="H7" i="18"/>
  <c r="I7" i="18"/>
  <c r="D8" i="18"/>
  <c r="E8" i="18"/>
  <c r="F8" i="18"/>
  <c r="G8" i="18"/>
  <c r="H8" i="18"/>
  <c r="I8" i="18"/>
  <c r="D9" i="18"/>
  <c r="E9" i="18"/>
  <c r="F9" i="18"/>
  <c r="G9" i="18"/>
  <c r="H9" i="18"/>
  <c r="I9" i="18"/>
  <c r="D10" i="18"/>
  <c r="E10" i="18"/>
  <c r="F10" i="18"/>
  <c r="G10" i="18"/>
  <c r="H10" i="18"/>
  <c r="H11" i="18" s="1"/>
  <c r="I10" i="18"/>
  <c r="I11" i="18" s="1"/>
  <c r="D12" i="18"/>
  <c r="E12" i="18"/>
  <c r="F12" i="18"/>
  <c r="F30" i="18" s="1"/>
  <c r="G12" i="18"/>
  <c r="H12" i="18"/>
  <c r="I12" i="18"/>
  <c r="D13" i="18"/>
  <c r="E13" i="18"/>
  <c r="F13" i="18"/>
  <c r="F14" i="18" s="1"/>
  <c r="G13" i="18"/>
  <c r="H13" i="18"/>
  <c r="H14" i="18" s="1"/>
  <c r="I13" i="18"/>
  <c r="I14" i="18" s="1"/>
  <c r="C13" i="18"/>
  <c r="C12" i="18"/>
  <c r="C10" i="18"/>
  <c r="C9" i="18"/>
  <c r="C8" i="18"/>
  <c r="C7" i="18"/>
  <c r="I43" i="18"/>
  <c r="H161" i="18"/>
  <c r="H43" i="18" s="1"/>
  <c r="G161" i="18"/>
  <c r="G43" i="18" s="1"/>
  <c r="F161" i="18"/>
  <c r="F43" i="18"/>
  <c r="E161" i="18"/>
  <c r="E43" i="18" s="1"/>
  <c r="D161" i="18"/>
  <c r="D43" i="18"/>
  <c r="C161" i="18"/>
  <c r="C43" i="18" s="1"/>
  <c r="I145" i="18"/>
  <c r="I147" i="18" s="1"/>
  <c r="I38" i="18" s="1"/>
  <c r="I36" i="18"/>
  <c r="H129" i="18"/>
  <c r="H136" i="18" s="1"/>
  <c r="G129" i="18"/>
  <c r="G136" i="18"/>
  <c r="G36" i="18" s="1"/>
  <c r="G37" i="18" s="1"/>
  <c r="F129" i="18"/>
  <c r="F136" i="18" s="1"/>
  <c r="F143" i="18" s="1"/>
  <c r="F145" i="18" s="1"/>
  <c r="F147" i="18" s="1"/>
  <c r="F38" i="18" s="1"/>
  <c r="E129" i="18"/>
  <c r="E136" i="18"/>
  <c r="E36" i="18" s="1"/>
  <c r="E37" i="18" s="1"/>
  <c r="D129" i="18"/>
  <c r="D136" i="18" s="1"/>
  <c r="C129" i="18"/>
  <c r="C136" i="18"/>
  <c r="C36" i="18" s="1"/>
  <c r="C143" i="18"/>
  <c r="C145" i="18" s="1"/>
  <c r="C147" i="18" s="1"/>
  <c r="C38" i="18" s="1"/>
  <c r="I122" i="18"/>
  <c r="I15" i="18" s="1"/>
  <c r="H122" i="18"/>
  <c r="H15" i="18"/>
  <c r="H18" i="18" s="1"/>
  <c r="G122" i="18"/>
  <c r="G15" i="18" s="1"/>
  <c r="G18" i="18" s="1"/>
  <c r="G21" i="18" s="1"/>
  <c r="F122" i="18"/>
  <c r="F15" i="18" s="1"/>
  <c r="F18" i="18" s="1"/>
  <c r="E122" i="18"/>
  <c r="E15" i="18" s="1"/>
  <c r="E18" i="18" s="1"/>
  <c r="C122" i="18"/>
  <c r="C15" i="18" s="1"/>
  <c r="C18" i="18" s="1"/>
  <c r="D118" i="18"/>
  <c r="D122" i="18" s="1"/>
  <c r="D15" i="18" s="1"/>
  <c r="D18" i="18" s="1"/>
  <c r="H115" i="18"/>
  <c r="G115" i="18"/>
  <c r="F115" i="18"/>
  <c r="E115" i="18"/>
  <c r="D115" i="18"/>
  <c r="C115" i="18"/>
  <c r="H114" i="18"/>
  <c r="G114" i="18"/>
  <c r="F114" i="18"/>
  <c r="E114" i="18"/>
  <c r="D114" i="18"/>
  <c r="C114" i="18"/>
  <c r="I104" i="18"/>
  <c r="H104" i="18"/>
  <c r="G104" i="18"/>
  <c r="F104" i="18"/>
  <c r="E104" i="18"/>
  <c r="D104" i="18"/>
  <c r="C104" i="18"/>
  <c r="I92" i="18"/>
  <c r="H92" i="18"/>
  <c r="G92" i="18"/>
  <c r="F92" i="18"/>
  <c r="E92" i="18"/>
  <c r="D92" i="18"/>
  <c r="C92" i="18"/>
  <c r="H91" i="18"/>
  <c r="G91" i="18"/>
  <c r="F91" i="18"/>
  <c r="E91" i="18"/>
  <c r="D91" i="18"/>
  <c r="C91" i="18"/>
  <c r="I78" i="18"/>
  <c r="H78" i="18"/>
  <c r="G78" i="18"/>
  <c r="F78" i="18"/>
  <c r="E78" i="18"/>
  <c r="D78" i="18"/>
  <c r="C78" i="18"/>
  <c r="G44" i="18"/>
  <c r="G59" i="18" s="1"/>
  <c r="I44" i="18"/>
  <c r="I59" i="18" s="1"/>
  <c r="H44" i="18"/>
  <c r="H59" i="18" s="1"/>
  <c r="E44" i="18"/>
  <c r="E59" i="18"/>
  <c r="C51" i="24"/>
  <c r="C51" i="19"/>
  <c r="E3" i="19"/>
  <c r="E105" i="24"/>
  <c r="E15" i="24"/>
  <c r="E18" i="24"/>
  <c r="G105" i="24"/>
  <c r="G15" i="24"/>
  <c r="G18" i="24"/>
  <c r="G21" i="24"/>
  <c r="G22" i="24"/>
  <c r="F105" i="24"/>
  <c r="F15" i="24"/>
  <c r="F18" i="24"/>
  <c r="F21" i="24"/>
  <c r="F22" i="24"/>
  <c r="H105" i="24"/>
  <c r="H15" i="24"/>
  <c r="H18" i="24"/>
  <c r="H21" i="24"/>
  <c r="H22" i="24"/>
  <c r="D105" i="24"/>
  <c r="D15" i="24"/>
  <c r="D18" i="24"/>
  <c r="G30" i="19"/>
  <c r="H10" i="19"/>
  <c r="H30" i="19"/>
  <c r="E38" i="19"/>
  <c r="H50" i="19"/>
  <c r="H29" i="18"/>
  <c r="F44" i="18"/>
  <c r="F59" i="18" s="1"/>
  <c r="F45" i="18"/>
  <c r="F31" i="18"/>
  <c r="F29" i="18"/>
  <c r="E21" i="22"/>
  <c r="D29" i="19"/>
  <c r="F29" i="19"/>
  <c r="H13" i="19"/>
  <c r="H38" i="19"/>
  <c r="E19" i="19"/>
  <c r="D30" i="19"/>
  <c r="E36" i="19"/>
  <c r="G10" i="19"/>
  <c r="I30" i="18"/>
  <c r="H30" i="18"/>
  <c r="H31" i="18"/>
  <c r="D40" i="19"/>
  <c r="D17" i="19"/>
  <c r="D20" i="19"/>
  <c r="E40" i="19"/>
  <c r="E22" i="19"/>
  <c r="E17" i="19"/>
  <c r="E20" i="19"/>
  <c r="H40" i="19"/>
  <c r="H17" i="19"/>
  <c r="H20" i="19"/>
  <c r="H21" i="19"/>
  <c r="F40" i="19"/>
  <c r="F17" i="19"/>
  <c r="F20" i="19"/>
  <c r="F21" i="19"/>
  <c r="G17" i="19"/>
  <c r="G20" i="19"/>
  <c r="E10" i="19"/>
  <c r="E31" i="19"/>
  <c r="D19" i="19"/>
  <c r="D10" i="19"/>
  <c r="D31" i="19"/>
  <c r="G13" i="19"/>
  <c r="G31" i="19"/>
  <c r="F13" i="19"/>
  <c r="F31" i="19"/>
  <c r="I25" i="24"/>
  <c r="I26" i="24"/>
  <c r="C15" i="24"/>
  <c r="C18" i="24"/>
  <c r="C21" i="24"/>
  <c r="C105" i="24"/>
  <c r="C122" i="24"/>
  <c r="C124" i="24"/>
  <c r="C126" i="24"/>
  <c r="C38" i="24"/>
  <c r="C36" i="24"/>
  <c r="C37" i="24"/>
  <c r="D122" i="24"/>
  <c r="D124" i="24"/>
  <c r="D126" i="24"/>
  <c r="D38" i="24"/>
  <c r="H122" i="24"/>
  <c r="H124" i="24"/>
  <c r="H126" i="24"/>
  <c r="H38" i="24"/>
  <c r="I24" i="24"/>
  <c r="I27" i="24"/>
  <c r="E122" i="24"/>
  <c r="E124" i="24"/>
  <c r="E126" i="24"/>
  <c r="E38" i="24"/>
  <c r="F122" i="24"/>
  <c r="F124" i="24"/>
  <c r="F126" i="24"/>
  <c r="F38" i="24"/>
  <c r="G122" i="24"/>
  <c r="G124" i="24"/>
  <c r="G126" i="24"/>
  <c r="G38" i="24"/>
  <c r="C134" i="23"/>
  <c r="C140" i="23" s="1"/>
  <c r="C142" i="23" s="1"/>
  <c r="C144" i="23" s="1"/>
  <c r="C38" i="23" s="1"/>
  <c r="D134" i="23"/>
  <c r="D140" i="23" s="1"/>
  <c r="D142" i="23" s="1"/>
  <c r="D144" i="23" s="1"/>
  <c r="D38" i="23" s="1"/>
  <c r="F134" i="23"/>
  <c r="H134" i="23"/>
  <c r="H140" i="23" s="1"/>
  <c r="H142" i="23" s="1"/>
  <c r="H144" i="23" s="1"/>
  <c r="H38" i="23" s="1"/>
  <c r="I22" i="24"/>
  <c r="D21" i="24"/>
  <c r="E21" i="24"/>
  <c r="E22" i="24"/>
  <c r="E30" i="23"/>
  <c r="G30" i="23"/>
  <c r="C29" i="23"/>
  <c r="D29" i="23"/>
  <c r="E29" i="23"/>
  <c r="C31" i="23"/>
  <c r="D31" i="23"/>
  <c r="G29" i="23"/>
  <c r="E31" i="23"/>
  <c r="F14" i="22"/>
  <c r="E11" i="22"/>
  <c r="F16" i="22"/>
  <c r="H32" i="22"/>
  <c r="F32" i="22"/>
  <c r="E32" i="22"/>
  <c r="F30" i="22"/>
  <c r="H31" i="22"/>
  <c r="H30" i="22"/>
  <c r="E31" i="22"/>
  <c r="F31" i="22"/>
  <c r="E30" i="22"/>
  <c r="D19" i="20"/>
  <c r="C31" i="19"/>
  <c r="C20" i="19"/>
  <c r="C50" i="19"/>
  <c r="C19" i="19"/>
  <c r="F50" i="19"/>
  <c r="H29" i="19"/>
  <c r="G50" i="19"/>
  <c r="C28" i="19"/>
  <c r="C30" i="19"/>
  <c r="C36" i="19"/>
  <c r="C40" i="19"/>
  <c r="E28" i="19"/>
  <c r="E30" i="19"/>
  <c r="F28" i="19"/>
  <c r="F30" i="19"/>
  <c r="G29" i="19"/>
  <c r="G28" i="19"/>
  <c r="H28" i="19"/>
  <c r="D44" i="18"/>
  <c r="D59" i="18" s="1"/>
  <c r="E24" i="19"/>
  <c r="H31" i="19"/>
  <c r="H39" i="24"/>
  <c r="H41" i="24"/>
  <c r="H52" i="24"/>
  <c r="D39" i="24"/>
  <c r="D41" i="24"/>
  <c r="D52" i="24"/>
  <c r="E39" i="24"/>
  <c r="E41" i="24"/>
  <c r="E52" i="24"/>
  <c r="F39" i="24"/>
  <c r="F41" i="24"/>
  <c r="F52" i="24"/>
  <c r="G39" i="24"/>
  <c r="G41" i="24"/>
  <c r="G52" i="24"/>
  <c r="E23" i="19"/>
  <c r="E26" i="19"/>
  <c r="E25" i="19"/>
  <c r="H36" i="23"/>
  <c r="H37" i="23" s="1"/>
  <c r="F140" i="23"/>
  <c r="F142" i="23" s="1"/>
  <c r="F144" i="23" s="1"/>
  <c r="F38" i="23" s="1"/>
  <c r="F36" i="23"/>
  <c r="F37" i="23" s="1"/>
  <c r="D36" i="23"/>
  <c r="D37" i="23" s="1"/>
  <c r="G21" i="19"/>
  <c r="C21" i="19"/>
  <c r="D21" i="19"/>
  <c r="H22" i="19"/>
  <c r="H24" i="19"/>
  <c r="C41" i="24"/>
  <c r="C39" i="24"/>
  <c r="D22" i="24"/>
  <c r="C22" i="24"/>
  <c r="C22" i="19"/>
  <c r="C24" i="19"/>
  <c r="C23" i="19"/>
  <c r="C26" i="19"/>
  <c r="E21" i="19"/>
  <c r="D22" i="19"/>
  <c r="D24" i="19"/>
  <c r="D23" i="19"/>
  <c r="D26" i="19"/>
  <c r="C52" i="24"/>
  <c r="C42" i="24"/>
  <c r="C25" i="19"/>
  <c r="F23" i="19"/>
  <c r="F26" i="19"/>
  <c r="H23" i="19"/>
  <c r="H26" i="19"/>
  <c r="H25" i="19"/>
  <c r="F22" i="19"/>
  <c r="F24" i="19"/>
  <c r="F25" i="19"/>
  <c r="H23" i="24"/>
  <c r="H25" i="24"/>
  <c r="H26" i="24"/>
  <c r="H24" i="24"/>
  <c r="H27" i="24"/>
  <c r="C24" i="24"/>
  <c r="C27" i="24"/>
  <c r="C23" i="24"/>
  <c r="C25" i="24"/>
  <c r="C26" i="24"/>
  <c r="D23" i="24"/>
  <c r="D25" i="24"/>
  <c r="D26" i="24"/>
  <c r="D24" i="24"/>
  <c r="D27" i="24"/>
  <c r="F24" i="24"/>
  <c r="F27" i="24"/>
  <c r="F23" i="24"/>
  <c r="F25" i="24"/>
  <c r="F26" i="24"/>
  <c r="E24" i="24"/>
  <c r="E27" i="24"/>
  <c r="E23" i="24"/>
  <c r="E25" i="24"/>
  <c r="E26" i="24"/>
  <c r="G23" i="24"/>
  <c r="G25" i="24"/>
  <c r="G26" i="24"/>
  <c r="G24" i="24"/>
  <c r="G27" i="24"/>
  <c r="D25" i="19"/>
  <c r="G23" i="19"/>
  <c r="G26" i="19"/>
  <c r="G22" i="19"/>
  <c r="G24" i="19"/>
  <c r="G25" i="19"/>
  <c r="D40" i="17"/>
  <c r="D41" i="17" s="1"/>
  <c r="D58" i="17" s="1"/>
  <c r="E40" i="17"/>
  <c r="E41" i="17" s="1"/>
  <c r="E58" i="17" s="1"/>
  <c r="F40" i="17"/>
  <c r="F41" i="17" s="1"/>
  <c r="F58" i="17" s="1"/>
  <c r="G40" i="17"/>
  <c r="G41" i="17" s="1"/>
  <c r="G58" i="17" s="1"/>
  <c r="H40" i="17"/>
  <c r="H41" i="17" s="1"/>
  <c r="H58" i="17" s="1"/>
  <c r="I40" i="17"/>
  <c r="I41" i="17" s="1"/>
  <c r="I58" i="17" s="1"/>
  <c r="C40" i="17"/>
  <c r="C41" i="17" s="1"/>
  <c r="C58" i="17" s="1"/>
  <c r="E35" i="17"/>
  <c r="F35" i="17"/>
  <c r="G35" i="17"/>
  <c r="H35" i="17"/>
  <c r="I35" i="17"/>
  <c r="D35" i="17"/>
  <c r="C35" i="17"/>
  <c r="D32" i="17"/>
  <c r="E32" i="17"/>
  <c r="G32" i="17"/>
  <c r="H32" i="17"/>
  <c r="I32" i="17"/>
  <c r="C8" i="17"/>
  <c r="C13" i="17"/>
  <c r="C12" i="17"/>
  <c r="C10" i="17"/>
  <c r="C7" i="17"/>
  <c r="I128" i="17"/>
  <c r="H128" i="17"/>
  <c r="H131" i="17" s="1"/>
  <c r="G128" i="17"/>
  <c r="F128" i="17"/>
  <c r="E128" i="17"/>
  <c r="D128" i="17"/>
  <c r="C128" i="17"/>
  <c r="I119" i="17"/>
  <c r="I15" i="17" s="1"/>
  <c r="H119" i="17"/>
  <c r="G119" i="17"/>
  <c r="G15" i="17" s="1"/>
  <c r="F119" i="17"/>
  <c r="E119" i="17"/>
  <c r="D119" i="17"/>
  <c r="D15" i="17" s="1"/>
  <c r="D18" i="17" s="1"/>
  <c r="D19" i="17" s="1"/>
  <c r="D22" i="17" s="1"/>
  <c r="C119" i="17"/>
  <c r="C15" i="17" s="1"/>
  <c r="C18" i="17" s="1"/>
  <c r="H112" i="17"/>
  <c r="G112" i="17"/>
  <c r="F112" i="17"/>
  <c r="E112" i="17"/>
  <c r="D112" i="17"/>
  <c r="C112" i="17"/>
  <c r="H111" i="17"/>
  <c r="G111" i="17"/>
  <c r="F111" i="17"/>
  <c r="E111" i="17"/>
  <c r="D111" i="17"/>
  <c r="C111" i="17"/>
  <c r="H102" i="17"/>
  <c r="G102" i="17"/>
  <c r="F102" i="17"/>
  <c r="E102" i="17"/>
  <c r="D102" i="17"/>
  <c r="C102" i="17"/>
  <c r="I90" i="17"/>
  <c r="H90" i="17"/>
  <c r="G90" i="17"/>
  <c r="F90" i="17"/>
  <c r="E90" i="17"/>
  <c r="D90" i="17"/>
  <c r="C90" i="17"/>
  <c r="H89" i="17"/>
  <c r="G89" i="17"/>
  <c r="F89" i="17"/>
  <c r="E89" i="17"/>
  <c r="D89" i="17"/>
  <c r="C89" i="17"/>
  <c r="H78" i="17"/>
  <c r="G78" i="17"/>
  <c r="F78" i="17"/>
  <c r="E78" i="17"/>
  <c r="D78" i="17"/>
  <c r="C78" i="17"/>
  <c r="C48" i="17"/>
  <c r="C46" i="17" s="1"/>
  <c r="C60" i="17" s="1"/>
  <c r="I46" i="17"/>
  <c r="I60" i="17" s="1"/>
  <c r="H46" i="17"/>
  <c r="F46" i="17"/>
  <c r="F60" i="17" s="1"/>
  <c r="E46" i="17"/>
  <c r="E60" i="17" s="1"/>
  <c r="D46" i="17"/>
  <c r="D60" i="17" s="1"/>
  <c r="C47" i="16"/>
  <c r="C45" i="16" s="1"/>
  <c r="D47" i="16"/>
  <c r="D45" i="16" s="1"/>
  <c r="E47" i="16"/>
  <c r="E45" i="16" s="1"/>
  <c r="F47" i="16"/>
  <c r="F44" i="16" s="1"/>
  <c r="E58" i="16" s="1"/>
  <c r="G47" i="16"/>
  <c r="H47" i="16"/>
  <c r="H45" i="16" s="1"/>
  <c r="C47" i="15"/>
  <c r="C45" i="15" s="1"/>
  <c r="D47" i="15"/>
  <c r="D45" i="15" s="1"/>
  <c r="C58" i="15" s="1"/>
  <c r="E47" i="15"/>
  <c r="F47" i="15"/>
  <c r="G47" i="15"/>
  <c r="G44" i="15" s="1"/>
  <c r="H47" i="15"/>
  <c r="H44" i="15" s="1"/>
  <c r="H45" i="15"/>
  <c r="H151" i="16"/>
  <c r="H43" i="16" s="1"/>
  <c r="G151" i="16"/>
  <c r="G43" i="16" s="1"/>
  <c r="F151" i="16"/>
  <c r="F43" i="16" s="1"/>
  <c r="E151" i="16"/>
  <c r="E43" i="16" s="1"/>
  <c r="D151" i="16"/>
  <c r="D43" i="16" s="1"/>
  <c r="C151" i="16"/>
  <c r="C43" i="16"/>
  <c r="H123" i="16"/>
  <c r="H129" i="16" s="1"/>
  <c r="G123" i="16"/>
  <c r="G129" i="16" s="1"/>
  <c r="F123" i="16"/>
  <c r="F129" i="16" s="1"/>
  <c r="E123" i="16"/>
  <c r="E129" i="16"/>
  <c r="E135" i="16" s="1"/>
  <c r="E137" i="16" s="1"/>
  <c r="E38" i="16" s="1"/>
  <c r="D123" i="16"/>
  <c r="D129" i="16" s="1"/>
  <c r="C123" i="16"/>
  <c r="C129" i="16" s="1"/>
  <c r="C36" i="16" s="1"/>
  <c r="H117" i="16"/>
  <c r="H15" i="16" s="1"/>
  <c r="H18" i="16" s="1"/>
  <c r="G117" i="16"/>
  <c r="F117" i="16"/>
  <c r="F15" i="16" s="1"/>
  <c r="F18" i="16" s="1"/>
  <c r="E117" i="16"/>
  <c r="E15" i="16" s="1"/>
  <c r="E18" i="16" s="1"/>
  <c r="D117" i="16"/>
  <c r="D15" i="16" s="1"/>
  <c r="D18" i="16" s="1"/>
  <c r="D21" i="16" s="1"/>
  <c r="C117" i="16"/>
  <c r="C15" i="16" s="1"/>
  <c r="C18" i="16" s="1"/>
  <c r="H110" i="16"/>
  <c r="G110" i="16"/>
  <c r="F110" i="16"/>
  <c r="E110" i="16"/>
  <c r="D110" i="16"/>
  <c r="C110" i="16"/>
  <c r="H109" i="16"/>
  <c r="G109" i="16"/>
  <c r="F109" i="16"/>
  <c r="E109" i="16"/>
  <c r="D109" i="16"/>
  <c r="C109" i="16"/>
  <c r="H100" i="16"/>
  <c r="G100" i="16"/>
  <c r="F100" i="16"/>
  <c r="E100" i="16"/>
  <c r="D100" i="16"/>
  <c r="C100" i="16"/>
  <c r="H88" i="16"/>
  <c r="G88" i="16"/>
  <c r="F88" i="16"/>
  <c r="E88" i="16"/>
  <c r="D88" i="16"/>
  <c r="C88" i="16"/>
  <c r="H87" i="16"/>
  <c r="G87" i="16"/>
  <c r="F87" i="16"/>
  <c r="E87" i="16"/>
  <c r="D87" i="16"/>
  <c r="C87" i="16"/>
  <c r="H76" i="16"/>
  <c r="G76" i="16"/>
  <c r="F76" i="16"/>
  <c r="E76" i="16"/>
  <c r="D76" i="16"/>
  <c r="C76" i="16"/>
  <c r="E44" i="16"/>
  <c r="D58" i="16" s="1"/>
  <c r="H40" i="16"/>
  <c r="H56" i="16" s="1"/>
  <c r="I57" i="16" s="1"/>
  <c r="G40" i="16"/>
  <c r="G56" i="16" s="1"/>
  <c r="C57" i="16" s="1"/>
  <c r="F40" i="16"/>
  <c r="E40" i="16"/>
  <c r="D40" i="16"/>
  <c r="D56" i="16" s="1"/>
  <c r="C40" i="16"/>
  <c r="H35" i="16"/>
  <c r="G35" i="16"/>
  <c r="F35" i="16"/>
  <c r="E35" i="16"/>
  <c r="D35" i="16"/>
  <c r="C35" i="16"/>
  <c r="H20" i="16"/>
  <c r="G20" i="16"/>
  <c r="G15" i="16"/>
  <c r="G18" i="16" s="1"/>
  <c r="H13" i="16"/>
  <c r="G13" i="16"/>
  <c r="F13" i="16"/>
  <c r="E13" i="16"/>
  <c r="D13" i="16"/>
  <c r="C13" i="16"/>
  <c r="H12" i="16"/>
  <c r="G12" i="16"/>
  <c r="F12" i="16"/>
  <c r="E12" i="16"/>
  <c r="E30" i="16" s="1"/>
  <c r="D12" i="16"/>
  <c r="D30" i="16" s="1"/>
  <c r="C12" i="16"/>
  <c r="C29" i="16" s="1"/>
  <c r="H10" i="16"/>
  <c r="G10" i="16"/>
  <c r="G11" i="16" s="1"/>
  <c r="F10" i="16"/>
  <c r="F11" i="16" s="1"/>
  <c r="E10" i="16"/>
  <c r="D10" i="16"/>
  <c r="D11" i="16" s="1"/>
  <c r="C10" i="16"/>
  <c r="H9" i="16"/>
  <c r="G9" i="16"/>
  <c r="F9" i="16"/>
  <c r="F31" i="16" s="1"/>
  <c r="E9" i="16"/>
  <c r="D9" i="16"/>
  <c r="D31" i="16" s="1"/>
  <c r="C9" i="16"/>
  <c r="C31" i="16" s="1"/>
  <c r="C109" i="15"/>
  <c r="D109" i="15"/>
  <c r="E109" i="15"/>
  <c r="F109" i="15"/>
  <c r="C100" i="15"/>
  <c r="D100" i="15"/>
  <c r="E100" i="15"/>
  <c r="F100" i="15"/>
  <c r="C87" i="15"/>
  <c r="D87" i="15"/>
  <c r="E87" i="15"/>
  <c r="F87" i="15"/>
  <c r="C76" i="15"/>
  <c r="D76" i="15"/>
  <c r="E76" i="15"/>
  <c r="F76" i="15"/>
  <c r="G76" i="15"/>
  <c r="C44" i="16"/>
  <c r="C32" i="17"/>
  <c r="F31" i="17"/>
  <c r="D31" i="17"/>
  <c r="E31" i="17"/>
  <c r="G33" i="17"/>
  <c r="F33" i="17"/>
  <c r="E33" i="17"/>
  <c r="F32" i="17"/>
  <c r="G31" i="17"/>
  <c r="D33" i="17"/>
  <c r="H31" i="17"/>
  <c r="D30" i="17"/>
  <c r="I31" i="17"/>
  <c r="E30" i="17"/>
  <c r="F30" i="17"/>
  <c r="G30" i="17"/>
  <c r="H30" i="17"/>
  <c r="I30" i="17"/>
  <c r="E11" i="16"/>
  <c r="D20" i="16"/>
  <c r="G30" i="16"/>
  <c r="F29" i="16"/>
  <c r="G29" i="16"/>
  <c r="H109" i="15"/>
  <c r="G109" i="15"/>
  <c r="H151" i="15"/>
  <c r="H43" i="15" s="1"/>
  <c r="G151" i="15"/>
  <c r="G43" i="15" s="1"/>
  <c r="F43" i="15"/>
  <c r="E43" i="15"/>
  <c r="D151" i="15"/>
  <c r="D43" i="15" s="1"/>
  <c r="C151" i="15"/>
  <c r="C43" i="15"/>
  <c r="H123" i="15"/>
  <c r="H129" i="15" s="1"/>
  <c r="G123" i="15"/>
  <c r="G129" i="15" s="1"/>
  <c r="F123" i="15"/>
  <c r="E123" i="15"/>
  <c r="E129" i="15" s="1"/>
  <c r="D123" i="15"/>
  <c r="D129" i="15" s="1"/>
  <c r="C123" i="15"/>
  <c r="H117" i="15"/>
  <c r="H15" i="15" s="1"/>
  <c r="H18" i="15" s="1"/>
  <c r="G117" i="15"/>
  <c r="G15" i="15" s="1"/>
  <c r="G18" i="15" s="1"/>
  <c r="G25" i="15" s="1"/>
  <c r="F117" i="15"/>
  <c r="F15" i="15" s="1"/>
  <c r="F18" i="15" s="1"/>
  <c r="E117" i="15"/>
  <c r="E15" i="15" s="1"/>
  <c r="E18" i="15" s="1"/>
  <c r="D117" i="15"/>
  <c r="D15" i="15"/>
  <c r="D18" i="15" s="1"/>
  <c r="C117" i="15"/>
  <c r="C15" i="15"/>
  <c r="H110" i="15"/>
  <c r="G110" i="15"/>
  <c r="F110" i="15"/>
  <c r="E110" i="15"/>
  <c r="D110" i="15"/>
  <c r="C110" i="15"/>
  <c r="H100" i="15"/>
  <c r="G100" i="15"/>
  <c r="H88" i="15"/>
  <c r="G88" i="15"/>
  <c r="F88" i="15"/>
  <c r="E88" i="15"/>
  <c r="D88" i="15"/>
  <c r="C88" i="15"/>
  <c r="H87" i="15"/>
  <c r="G87" i="15"/>
  <c r="H76" i="15"/>
  <c r="E44" i="15"/>
  <c r="D44" i="15"/>
  <c r="C44" i="15"/>
  <c r="I40" i="15"/>
  <c r="I56" i="15" s="1"/>
  <c r="I20" i="15"/>
  <c r="H40" i="15"/>
  <c r="H56" i="15" s="1"/>
  <c r="G40" i="15"/>
  <c r="F40" i="15"/>
  <c r="F56" i="15" s="1"/>
  <c r="E40" i="15"/>
  <c r="E56" i="15" s="1"/>
  <c r="D40" i="15"/>
  <c r="D56" i="15" s="1"/>
  <c r="I38" i="15"/>
  <c r="I36" i="15"/>
  <c r="E14" i="87" s="1"/>
  <c r="I35" i="15"/>
  <c r="H35" i="15"/>
  <c r="G35" i="15"/>
  <c r="F35" i="15"/>
  <c r="E35" i="15"/>
  <c r="D35" i="15"/>
  <c r="C35" i="15"/>
  <c r="I15" i="15"/>
  <c r="I18" i="15" s="1"/>
  <c r="I13" i="15"/>
  <c r="H13" i="15"/>
  <c r="G13" i="15"/>
  <c r="F13" i="15"/>
  <c r="E13" i="15"/>
  <c r="D13" i="15"/>
  <c r="C13" i="15"/>
  <c r="I12" i="15"/>
  <c r="I14" i="15" s="1"/>
  <c r="H12" i="15"/>
  <c r="H14" i="15" s="1"/>
  <c r="G12" i="15"/>
  <c r="F12" i="15"/>
  <c r="E12" i="15"/>
  <c r="D12" i="15"/>
  <c r="C12" i="15"/>
  <c r="I10" i="15"/>
  <c r="G10" i="15"/>
  <c r="F10" i="15"/>
  <c r="E10" i="15"/>
  <c r="D10" i="15"/>
  <c r="C10" i="15"/>
  <c r="I9" i="15"/>
  <c r="H9" i="15"/>
  <c r="G9" i="15"/>
  <c r="F9" i="15"/>
  <c r="E9" i="15"/>
  <c r="D9" i="15"/>
  <c r="C9" i="15"/>
  <c r="I8" i="15"/>
  <c r="H8" i="15"/>
  <c r="G8" i="15"/>
  <c r="F8" i="15"/>
  <c r="E8" i="15"/>
  <c r="D8" i="15"/>
  <c r="C8" i="15"/>
  <c r="I7" i="15"/>
  <c r="H7" i="15"/>
  <c r="G7" i="15"/>
  <c r="F7" i="15"/>
  <c r="F30" i="15" s="1"/>
  <c r="E7" i="15"/>
  <c r="D7" i="15"/>
  <c r="D11" i="15" s="1"/>
  <c r="C7" i="15"/>
  <c r="C29" i="15" s="1"/>
  <c r="I43" i="14"/>
  <c r="D40" i="14"/>
  <c r="D20" i="14" s="1"/>
  <c r="E40" i="14"/>
  <c r="F40" i="14"/>
  <c r="F20" i="14" s="1"/>
  <c r="G40" i="14"/>
  <c r="G20" i="14" s="1"/>
  <c r="H40" i="14"/>
  <c r="H20" i="14" s="1"/>
  <c r="I40" i="14"/>
  <c r="I56" i="14" s="1"/>
  <c r="C40" i="14"/>
  <c r="C20" i="14" s="1"/>
  <c r="D38" i="14"/>
  <c r="E38" i="14"/>
  <c r="F38" i="14"/>
  <c r="G38" i="14"/>
  <c r="H38" i="14"/>
  <c r="C38" i="14"/>
  <c r="D35" i="14"/>
  <c r="E35" i="14"/>
  <c r="F35" i="14"/>
  <c r="G35" i="14"/>
  <c r="G39" i="14" s="1"/>
  <c r="H35" i="14"/>
  <c r="I35" i="14"/>
  <c r="I39" i="14" s="1"/>
  <c r="I36" i="14"/>
  <c r="C35" i="14"/>
  <c r="E20" i="14"/>
  <c r="D7" i="14"/>
  <c r="E7" i="14"/>
  <c r="F7" i="14"/>
  <c r="G7" i="14"/>
  <c r="H7" i="14"/>
  <c r="I7" i="14"/>
  <c r="D8" i="14"/>
  <c r="E8" i="14"/>
  <c r="F8" i="14"/>
  <c r="G8" i="14"/>
  <c r="H8" i="14"/>
  <c r="I8" i="14"/>
  <c r="D9" i="14"/>
  <c r="E9" i="14"/>
  <c r="F9" i="14"/>
  <c r="G9" i="14"/>
  <c r="H9" i="14"/>
  <c r="I9" i="14"/>
  <c r="D10" i="14"/>
  <c r="E10" i="14"/>
  <c r="F10" i="14"/>
  <c r="F11" i="14" s="1"/>
  <c r="G10" i="14"/>
  <c r="H10" i="14"/>
  <c r="I10" i="14"/>
  <c r="D12" i="14"/>
  <c r="E12" i="14"/>
  <c r="F12" i="14"/>
  <c r="G12" i="14"/>
  <c r="H12" i="14"/>
  <c r="I12" i="14"/>
  <c r="D13" i="14"/>
  <c r="E13" i="14"/>
  <c r="F13" i="14"/>
  <c r="G13" i="14"/>
  <c r="H13" i="14"/>
  <c r="I13" i="14"/>
  <c r="C13" i="14"/>
  <c r="C12" i="14"/>
  <c r="C10" i="14"/>
  <c r="C9" i="14"/>
  <c r="C8" i="14"/>
  <c r="C7" i="14"/>
  <c r="C29" i="14" s="1"/>
  <c r="H43" i="14"/>
  <c r="F43" i="14"/>
  <c r="E43" i="14"/>
  <c r="D43" i="14"/>
  <c r="C43" i="14"/>
  <c r="H121" i="14"/>
  <c r="H126" i="14" s="1"/>
  <c r="G121" i="14"/>
  <c r="G126" i="14" s="1"/>
  <c r="G36" i="14" s="1"/>
  <c r="G37" i="14" s="1"/>
  <c r="F121" i="14"/>
  <c r="F126" i="14" s="1"/>
  <c r="E121" i="14"/>
  <c r="E126" i="14" s="1"/>
  <c r="D121" i="14"/>
  <c r="D126" i="14" s="1"/>
  <c r="C121" i="14"/>
  <c r="C126" i="14" s="1"/>
  <c r="I15" i="14"/>
  <c r="H115" i="14"/>
  <c r="H15" i="14" s="1"/>
  <c r="H18" i="14" s="1"/>
  <c r="G115" i="14"/>
  <c r="G15" i="14" s="1"/>
  <c r="F115" i="14"/>
  <c r="F15" i="14" s="1"/>
  <c r="F18" i="14" s="1"/>
  <c r="E115" i="14"/>
  <c r="E15" i="14" s="1"/>
  <c r="D115" i="14"/>
  <c r="D15" i="14" s="1"/>
  <c r="C115" i="14"/>
  <c r="C15" i="14" s="1"/>
  <c r="C18" i="14" s="1"/>
  <c r="H108" i="14"/>
  <c r="G108" i="14"/>
  <c r="F108" i="14"/>
  <c r="E108" i="14"/>
  <c r="D108" i="14"/>
  <c r="C108" i="14"/>
  <c r="H107" i="14"/>
  <c r="G107" i="14"/>
  <c r="F107" i="14"/>
  <c r="E107" i="14"/>
  <c r="D107" i="14"/>
  <c r="C107" i="14"/>
  <c r="I100" i="14"/>
  <c r="H100" i="14"/>
  <c r="G100" i="14"/>
  <c r="F100" i="14"/>
  <c r="E100" i="14"/>
  <c r="D100" i="14"/>
  <c r="C100" i="14"/>
  <c r="I88" i="14"/>
  <c r="H88" i="14"/>
  <c r="G88" i="14"/>
  <c r="F88" i="14"/>
  <c r="E88" i="14"/>
  <c r="D88" i="14"/>
  <c r="C88" i="14"/>
  <c r="I87" i="14"/>
  <c r="H87" i="14"/>
  <c r="G87" i="14"/>
  <c r="F87" i="14"/>
  <c r="E87" i="14"/>
  <c r="D87" i="14"/>
  <c r="C87" i="14"/>
  <c r="H76" i="14"/>
  <c r="G76" i="14"/>
  <c r="F76" i="14"/>
  <c r="E76" i="14"/>
  <c r="D76" i="14"/>
  <c r="C76" i="14"/>
  <c r="H47" i="14"/>
  <c r="H44" i="14" s="1"/>
  <c r="G47" i="14"/>
  <c r="F47" i="14"/>
  <c r="F45" i="14" s="1"/>
  <c r="E47" i="14"/>
  <c r="E56" i="14" s="1"/>
  <c r="D47" i="14"/>
  <c r="C47" i="14"/>
  <c r="C56" i="14" s="1"/>
  <c r="E46" i="14"/>
  <c r="E45" i="14" s="1"/>
  <c r="D44" i="14"/>
  <c r="D58" i="14" s="1"/>
  <c r="I44" i="14"/>
  <c r="I58" i="14" s="1"/>
  <c r="I45" i="14"/>
  <c r="F129" i="15"/>
  <c r="F135" i="15"/>
  <c r="F137" i="15" s="1"/>
  <c r="F38" i="15" s="1"/>
  <c r="F39" i="15" s="1"/>
  <c r="H30" i="14"/>
  <c r="E30" i="14"/>
  <c r="H31" i="14"/>
  <c r="H29" i="14"/>
  <c r="G29" i="14"/>
  <c r="F31" i="14"/>
  <c r="E31" i="14"/>
  <c r="E29" i="14"/>
  <c r="C129" i="15"/>
  <c r="C36" i="15" s="1"/>
  <c r="C37" i="15" s="1"/>
  <c r="C135" i="15"/>
  <c r="C137" i="15" s="1"/>
  <c r="C38" i="15" s="1"/>
  <c r="C41" i="15" s="1"/>
  <c r="C20" i="15"/>
  <c r="F14" i="15"/>
  <c r="F20" i="15"/>
  <c r="C30" i="15"/>
  <c r="F36" i="15"/>
  <c r="F37" i="15" s="1"/>
  <c r="C11" i="15"/>
  <c r="E14" i="14"/>
  <c r="E44" i="14"/>
  <c r="E58" i="14" s="1"/>
  <c r="E11" i="14"/>
  <c r="H14" i="14"/>
  <c r="C31" i="14"/>
  <c r="I48" i="13"/>
  <c r="C43" i="13"/>
  <c r="C41" i="13"/>
  <c r="C38" i="13"/>
  <c r="D8" i="13"/>
  <c r="E8" i="13"/>
  <c r="F8" i="13"/>
  <c r="G8" i="13"/>
  <c r="H8" i="13"/>
  <c r="I8" i="13"/>
  <c r="D9" i="13"/>
  <c r="E9" i="13"/>
  <c r="F9" i="13"/>
  <c r="G9" i="13"/>
  <c r="H9" i="13"/>
  <c r="I9" i="13"/>
  <c r="D10" i="13"/>
  <c r="E10" i="13"/>
  <c r="F10" i="13"/>
  <c r="G10" i="13"/>
  <c r="H10" i="13"/>
  <c r="I10" i="13"/>
  <c r="D11" i="13"/>
  <c r="E11" i="13"/>
  <c r="F11" i="13"/>
  <c r="G11" i="13"/>
  <c r="H11" i="13"/>
  <c r="H12" i="13" s="1"/>
  <c r="I11" i="13"/>
  <c r="D13" i="13"/>
  <c r="E13" i="13"/>
  <c r="F13" i="13"/>
  <c r="G13" i="13"/>
  <c r="H13" i="13"/>
  <c r="H32" i="13" s="1"/>
  <c r="I13" i="13"/>
  <c r="I33" i="13" s="1"/>
  <c r="D14" i="13"/>
  <c r="E14" i="13"/>
  <c r="F14" i="13"/>
  <c r="G14" i="13"/>
  <c r="H14" i="13"/>
  <c r="H15" i="13" s="1"/>
  <c r="I14" i="13"/>
  <c r="I16" i="13"/>
  <c r="C14" i="13"/>
  <c r="C13" i="13"/>
  <c r="C10" i="13"/>
  <c r="C9" i="13"/>
  <c r="C11" i="13"/>
  <c r="C8" i="13"/>
  <c r="C33" i="13" s="1"/>
  <c r="G48" i="13"/>
  <c r="F48" i="13"/>
  <c r="E48" i="13"/>
  <c r="D48" i="13"/>
  <c r="C48" i="13"/>
  <c r="H126" i="13"/>
  <c r="H131" i="13" s="1"/>
  <c r="H39" i="13" s="1"/>
  <c r="H40" i="13" s="1"/>
  <c r="G126" i="13"/>
  <c r="G131" i="13" s="1"/>
  <c r="G39" i="13" s="1"/>
  <c r="G40" i="13" s="1"/>
  <c r="F126" i="13"/>
  <c r="F131" i="13" s="1"/>
  <c r="F39" i="13" s="1"/>
  <c r="F40" i="13" s="1"/>
  <c r="E126" i="13"/>
  <c r="E131" i="13" s="1"/>
  <c r="E39" i="13" s="1"/>
  <c r="E40" i="13" s="1"/>
  <c r="D126" i="13"/>
  <c r="D131" i="13" s="1"/>
  <c r="D39" i="13" s="1"/>
  <c r="D40" i="13" s="1"/>
  <c r="C126" i="13"/>
  <c r="C39" i="13" s="1"/>
  <c r="H120" i="13"/>
  <c r="H16" i="13" s="1"/>
  <c r="H46" i="13" s="1"/>
  <c r="H78" i="13" s="1"/>
  <c r="G120" i="13"/>
  <c r="G16" i="13" s="1"/>
  <c r="G46" i="13" s="1"/>
  <c r="G78" i="13" s="1"/>
  <c r="F120" i="13"/>
  <c r="F16" i="13" s="1"/>
  <c r="F46" i="13" s="1"/>
  <c r="F78" i="13" s="1"/>
  <c r="E120" i="13"/>
  <c r="E16" i="13" s="1"/>
  <c r="E46" i="13" s="1"/>
  <c r="E78" i="13" s="1"/>
  <c r="D120" i="13"/>
  <c r="D16" i="13" s="1"/>
  <c r="D46" i="13" s="1"/>
  <c r="D78" i="13" s="1"/>
  <c r="C120" i="13"/>
  <c r="C16" i="13" s="1"/>
  <c r="C19" i="13" s="1"/>
  <c r="C20" i="13" s="1"/>
  <c r="C24" i="13" s="1"/>
  <c r="H113" i="13"/>
  <c r="G113" i="13"/>
  <c r="F113" i="13"/>
  <c r="E113" i="13"/>
  <c r="D113" i="13"/>
  <c r="C113" i="13"/>
  <c r="H112" i="13"/>
  <c r="G112" i="13"/>
  <c r="F112" i="13"/>
  <c r="E112" i="13"/>
  <c r="D112" i="13"/>
  <c r="C112" i="13"/>
  <c r="H107" i="13"/>
  <c r="G107" i="13"/>
  <c r="F107" i="13"/>
  <c r="E107" i="13"/>
  <c r="D107" i="13"/>
  <c r="C107" i="13"/>
  <c r="H97" i="13"/>
  <c r="G97" i="13"/>
  <c r="F97" i="13"/>
  <c r="E97" i="13"/>
  <c r="D97" i="13"/>
  <c r="C97" i="13"/>
  <c r="H96" i="13"/>
  <c r="G96" i="13"/>
  <c r="F96" i="13"/>
  <c r="E96" i="13"/>
  <c r="D96" i="13"/>
  <c r="C96" i="13"/>
  <c r="H90" i="13"/>
  <c r="G90" i="13"/>
  <c r="F90" i="13"/>
  <c r="E90" i="13"/>
  <c r="D90" i="13"/>
  <c r="C90" i="13"/>
  <c r="H34" i="13"/>
  <c r="G34" i="13"/>
  <c r="E12" i="13"/>
  <c r="H33" i="13"/>
  <c r="G33" i="13"/>
  <c r="H146" i="12"/>
  <c r="H43" i="12" s="1"/>
  <c r="G146" i="12"/>
  <c r="G43" i="12" s="1"/>
  <c r="F146" i="12"/>
  <c r="F43" i="12" s="1"/>
  <c r="E146" i="12"/>
  <c r="E43" i="12" s="1"/>
  <c r="D146" i="12"/>
  <c r="D43" i="12" s="1"/>
  <c r="C146" i="12"/>
  <c r="C43" i="12" s="1"/>
  <c r="H119" i="12"/>
  <c r="H124" i="12" s="1"/>
  <c r="G119" i="12"/>
  <c r="G124" i="12"/>
  <c r="G36" i="12" s="1"/>
  <c r="F119" i="12"/>
  <c r="F124" i="12" s="1"/>
  <c r="F130" i="12" s="1"/>
  <c r="F132" i="12" s="1"/>
  <c r="F38" i="12" s="1"/>
  <c r="E119" i="12"/>
  <c r="E124" i="12" s="1"/>
  <c r="D119" i="12"/>
  <c r="D124" i="12" s="1"/>
  <c r="C119" i="12"/>
  <c r="C124" i="12" s="1"/>
  <c r="C130" i="12" s="1"/>
  <c r="C132" i="12" s="1"/>
  <c r="C38" i="12" s="1"/>
  <c r="H113" i="12"/>
  <c r="H15" i="12" s="1"/>
  <c r="H18" i="12" s="1"/>
  <c r="G113" i="12"/>
  <c r="F113" i="12"/>
  <c r="F15" i="12" s="1"/>
  <c r="F18" i="12" s="1"/>
  <c r="E113" i="12"/>
  <c r="E15" i="12" s="1"/>
  <c r="E18" i="12" s="1"/>
  <c r="E21" i="12" s="1"/>
  <c r="D113" i="12"/>
  <c r="D15" i="12" s="1"/>
  <c r="D18" i="12" s="1"/>
  <c r="C113" i="12"/>
  <c r="C15" i="12" s="1"/>
  <c r="C18" i="12" s="1"/>
  <c r="H106" i="12"/>
  <c r="G106" i="12"/>
  <c r="F106" i="12"/>
  <c r="E106" i="12"/>
  <c r="D106" i="12"/>
  <c r="C106" i="12"/>
  <c r="H105" i="12"/>
  <c r="G105" i="12"/>
  <c r="F105" i="12"/>
  <c r="E105" i="12"/>
  <c r="D105" i="12"/>
  <c r="C105" i="12"/>
  <c r="H99" i="12"/>
  <c r="G99" i="12"/>
  <c r="F99" i="12"/>
  <c r="E99" i="12"/>
  <c r="D99" i="12"/>
  <c r="C99" i="12"/>
  <c r="H87" i="12"/>
  <c r="G87" i="12"/>
  <c r="F87" i="12"/>
  <c r="E87" i="12"/>
  <c r="D87" i="12"/>
  <c r="C87" i="12"/>
  <c r="H86" i="12"/>
  <c r="G86" i="12"/>
  <c r="F86" i="12"/>
  <c r="E86" i="12"/>
  <c r="D86" i="12"/>
  <c r="C86" i="12"/>
  <c r="H75" i="12"/>
  <c r="G75" i="12"/>
  <c r="F75" i="12"/>
  <c r="E75" i="12"/>
  <c r="D75" i="12"/>
  <c r="C75" i="12"/>
  <c r="H44" i="12"/>
  <c r="H58" i="12"/>
  <c r="G44" i="12"/>
  <c r="E3" i="12" s="1"/>
  <c r="F44" i="12"/>
  <c r="F58" i="12" s="1"/>
  <c r="E44" i="12"/>
  <c r="E58" i="12" s="1"/>
  <c r="D44" i="12"/>
  <c r="D58" i="12" s="1"/>
  <c r="C44" i="12"/>
  <c r="I40" i="12"/>
  <c r="H40" i="12"/>
  <c r="H20" i="12"/>
  <c r="G40" i="12"/>
  <c r="F40" i="12"/>
  <c r="E40" i="12"/>
  <c r="D40" i="12"/>
  <c r="C40" i="12"/>
  <c r="I38" i="12"/>
  <c r="I36" i="12"/>
  <c r="I35" i="12"/>
  <c r="H35" i="12"/>
  <c r="G35" i="12"/>
  <c r="F35" i="12"/>
  <c r="E35" i="12"/>
  <c r="D35" i="12"/>
  <c r="C35" i="12"/>
  <c r="I15" i="12"/>
  <c r="I18" i="12" s="1"/>
  <c r="G15" i="12"/>
  <c r="G18" i="12" s="1"/>
  <c r="I13" i="12"/>
  <c r="H13" i="12"/>
  <c r="G13" i="12"/>
  <c r="F13" i="12"/>
  <c r="E13" i="12"/>
  <c r="D13" i="12"/>
  <c r="C13" i="12"/>
  <c r="I12" i="12"/>
  <c r="H12" i="12"/>
  <c r="G12" i="12"/>
  <c r="F12" i="12"/>
  <c r="E12" i="12"/>
  <c r="D12" i="12"/>
  <c r="C12" i="12"/>
  <c r="I10" i="12"/>
  <c r="H10" i="12"/>
  <c r="G10" i="12"/>
  <c r="F10" i="12"/>
  <c r="E10" i="12"/>
  <c r="D10" i="12"/>
  <c r="C10" i="12"/>
  <c r="I9" i="12"/>
  <c r="H9" i="12"/>
  <c r="G9" i="12"/>
  <c r="F9" i="12"/>
  <c r="E9" i="12"/>
  <c r="D9" i="12"/>
  <c r="C9" i="12"/>
  <c r="I8" i="12"/>
  <c r="H8" i="12"/>
  <c r="G8" i="12"/>
  <c r="F8" i="12"/>
  <c r="E8" i="12"/>
  <c r="D8" i="12"/>
  <c r="C8" i="12"/>
  <c r="I7" i="12"/>
  <c r="I11" i="12" s="1"/>
  <c r="H7" i="12"/>
  <c r="G7" i="12"/>
  <c r="G30" i="12" s="1"/>
  <c r="F7" i="12"/>
  <c r="F11" i="12" s="1"/>
  <c r="E7" i="12"/>
  <c r="D7" i="12"/>
  <c r="C7" i="12"/>
  <c r="C11" i="12" s="1"/>
  <c r="D35" i="11"/>
  <c r="E35" i="11"/>
  <c r="F35" i="11"/>
  <c r="G35" i="11"/>
  <c r="H35" i="11"/>
  <c r="D40" i="11"/>
  <c r="D56" i="11" s="1"/>
  <c r="E40" i="11"/>
  <c r="E56" i="11" s="1"/>
  <c r="F40" i="11"/>
  <c r="F56" i="11" s="1"/>
  <c r="G40" i="11"/>
  <c r="G56" i="11" s="1"/>
  <c r="H40" i="11"/>
  <c r="H56" i="11" s="1"/>
  <c r="C57" i="11" s="1"/>
  <c r="C40" i="11"/>
  <c r="C56" i="11" s="1"/>
  <c r="C35" i="11"/>
  <c r="D7" i="11"/>
  <c r="E7" i="11"/>
  <c r="F7" i="11"/>
  <c r="G7" i="11"/>
  <c r="H7" i="11"/>
  <c r="D8" i="11"/>
  <c r="E8" i="11"/>
  <c r="F8" i="11"/>
  <c r="G8" i="11"/>
  <c r="H8" i="11"/>
  <c r="D9" i="11"/>
  <c r="E9" i="11"/>
  <c r="F9" i="11"/>
  <c r="G9" i="11"/>
  <c r="H9" i="11"/>
  <c r="D10" i="11"/>
  <c r="E10" i="11"/>
  <c r="F10" i="11"/>
  <c r="G10" i="11"/>
  <c r="H10" i="11"/>
  <c r="D12" i="11"/>
  <c r="E12" i="11"/>
  <c r="F12" i="11"/>
  <c r="F30" i="11" s="1"/>
  <c r="G12" i="11"/>
  <c r="H12" i="11"/>
  <c r="D13" i="11"/>
  <c r="E13" i="11"/>
  <c r="F13" i="11"/>
  <c r="G13" i="11"/>
  <c r="H13" i="11"/>
  <c r="C13" i="11"/>
  <c r="C12" i="11"/>
  <c r="C10" i="11"/>
  <c r="C9" i="11"/>
  <c r="C8" i="11"/>
  <c r="C7" i="11"/>
  <c r="C30" i="11" s="1"/>
  <c r="H147" i="11"/>
  <c r="H43" i="11" s="1"/>
  <c r="G147" i="11"/>
  <c r="G43" i="11" s="1"/>
  <c r="F147" i="11"/>
  <c r="F43" i="11" s="1"/>
  <c r="E147" i="11"/>
  <c r="E43" i="11" s="1"/>
  <c r="D147" i="11"/>
  <c r="D43" i="11" s="1"/>
  <c r="C147" i="11"/>
  <c r="C43" i="11" s="1"/>
  <c r="H120" i="11"/>
  <c r="H125" i="11"/>
  <c r="H131" i="11" s="1"/>
  <c r="H133" i="11" s="1"/>
  <c r="H38" i="11" s="1"/>
  <c r="G120" i="11"/>
  <c r="G125" i="11" s="1"/>
  <c r="F120" i="11"/>
  <c r="F125" i="11"/>
  <c r="F131" i="11" s="1"/>
  <c r="F133" i="11" s="1"/>
  <c r="F38" i="11" s="1"/>
  <c r="E120" i="11"/>
  <c r="E125" i="11" s="1"/>
  <c r="D120" i="11"/>
  <c r="D125" i="11" s="1"/>
  <c r="D36" i="11" s="1"/>
  <c r="C120" i="11"/>
  <c r="C125" i="11" s="1"/>
  <c r="H114" i="11"/>
  <c r="H15" i="11" s="1"/>
  <c r="H18" i="11" s="1"/>
  <c r="G114" i="11"/>
  <c r="G15" i="11"/>
  <c r="G18" i="11" s="1"/>
  <c r="F114" i="11"/>
  <c r="F15" i="11"/>
  <c r="F18" i="11" s="1"/>
  <c r="E114" i="11"/>
  <c r="E15" i="11" s="1"/>
  <c r="E18" i="11" s="1"/>
  <c r="D114" i="11"/>
  <c r="D15" i="11" s="1"/>
  <c r="D18" i="11" s="1"/>
  <c r="D21" i="11" s="1"/>
  <c r="C114" i="11"/>
  <c r="C15" i="11" s="1"/>
  <c r="C18" i="11" s="1"/>
  <c r="C21" i="11" s="1"/>
  <c r="H107" i="11"/>
  <c r="G107" i="11"/>
  <c r="F107" i="11"/>
  <c r="E107" i="11"/>
  <c r="D107" i="11"/>
  <c r="H106" i="11"/>
  <c r="G106" i="11"/>
  <c r="F106" i="11"/>
  <c r="E106" i="11"/>
  <c r="D106" i="11"/>
  <c r="C106" i="11"/>
  <c r="H100" i="11"/>
  <c r="G100" i="11"/>
  <c r="F100" i="11"/>
  <c r="E100" i="11"/>
  <c r="D100" i="11"/>
  <c r="C100" i="11"/>
  <c r="H88" i="11"/>
  <c r="G88" i="11"/>
  <c r="F88" i="11"/>
  <c r="D88" i="11"/>
  <c r="C88" i="11"/>
  <c r="H87" i="11"/>
  <c r="G87" i="11"/>
  <c r="F87" i="11"/>
  <c r="E87" i="11"/>
  <c r="D87" i="11"/>
  <c r="C87" i="11"/>
  <c r="H76" i="11"/>
  <c r="G76" i="11"/>
  <c r="F76" i="11"/>
  <c r="E76" i="11"/>
  <c r="D76" i="11"/>
  <c r="C76" i="11"/>
  <c r="G11" i="11"/>
  <c r="F11" i="11"/>
  <c r="C58" i="12"/>
  <c r="E20" i="12"/>
  <c r="G20" i="12"/>
  <c r="H11" i="11"/>
  <c r="G11" i="12"/>
  <c r="G130" i="12"/>
  <c r="G132" i="12" s="1"/>
  <c r="G38" i="12" s="1"/>
  <c r="H44" i="11"/>
  <c r="G44" i="11"/>
  <c r="F44" i="11"/>
  <c r="F58" i="11" s="1"/>
  <c r="E44" i="11"/>
  <c r="E58" i="11" s="1"/>
  <c r="D44" i="11"/>
  <c r="D58" i="11" s="1"/>
  <c r="C44" i="11"/>
  <c r="C58" i="11" s="1"/>
  <c r="H42" i="9"/>
  <c r="I42" i="9"/>
  <c r="D34" i="9"/>
  <c r="E34" i="9"/>
  <c r="F34" i="9"/>
  <c r="H34" i="9"/>
  <c r="I34" i="9"/>
  <c r="I37" i="9"/>
  <c r="D39" i="9"/>
  <c r="D55" i="9" s="1"/>
  <c r="E39" i="9"/>
  <c r="E55" i="9" s="1"/>
  <c r="F39" i="9"/>
  <c r="F55" i="9" s="1"/>
  <c r="G39" i="9"/>
  <c r="G55" i="9" s="1"/>
  <c r="H39" i="9"/>
  <c r="H55" i="9" s="1"/>
  <c r="I39" i="9"/>
  <c r="I55" i="9" s="1"/>
  <c r="C34" i="9"/>
  <c r="D7" i="9"/>
  <c r="E7" i="9"/>
  <c r="F7" i="9"/>
  <c r="G7" i="9"/>
  <c r="H7" i="9"/>
  <c r="I7" i="9"/>
  <c r="G11" i="9"/>
  <c r="D12" i="9"/>
  <c r="E12" i="9"/>
  <c r="F12" i="9"/>
  <c r="F30" i="9" s="1"/>
  <c r="G12" i="9"/>
  <c r="H12" i="9"/>
  <c r="I12" i="9"/>
  <c r="I30" i="9" s="1"/>
  <c r="E8" i="88" s="1"/>
  <c r="D13" i="9"/>
  <c r="E13" i="9"/>
  <c r="F13" i="9"/>
  <c r="G13" i="9"/>
  <c r="H13" i="9"/>
  <c r="I13" i="9"/>
  <c r="I15" i="9"/>
  <c r="I18" i="9" s="1"/>
  <c r="I21" i="9" s="1"/>
  <c r="C13" i="9"/>
  <c r="C12" i="9"/>
  <c r="C7" i="9"/>
  <c r="C11" i="9" s="1"/>
  <c r="G42" i="9"/>
  <c r="F42" i="9"/>
  <c r="E42" i="9"/>
  <c r="C42" i="9"/>
  <c r="H124" i="9"/>
  <c r="H37" i="9" s="1"/>
  <c r="G124" i="9"/>
  <c r="G37" i="9" s="1"/>
  <c r="F124" i="9"/>
  <c r="F37" i="9" s="1"/>
  <c r="F38" i="9" s="1"/>
  <c r="E124" i="9"/>
  <c r="E37" i="9" s="1"/>
  <c r="D124" i="9"/>
  <c r="D37" i="9" s="1"/>
  <c r="C124" i="9"/>
  <c r="C37" i="9" s="1"/>
  <c r="H110" i="9"/>
  <c r="F110" i="9"/>
  <c r="E110" i="9"/>
  <c r="D110" i="9"/>
  <c r="H108" i="9"/>
  <c r="H114" i="9" s="1"/>
  <c r="H35" i="9" s="1"/>
  <c r="F108" i="9"/>
  <c r="F114" i="9" s="1"/>
  <c r="F35" i="9" s="1"/>
  <c r="F36" i="9" s="1"/>
  <c r="E108" i="9"/>
  <c r="E114" i="9" s="1"/>
  <c r="E35" i="9" s="1"/>
  <c r="E36" i="9" s="1"/>
  <c r="D108" i="9"/>
  <c r="D114" i="9" s="1"/>
  <c r="D35" i="9" s="1"/>
  <c r="D36" i="9" s="1"/>
  <c r="G105" i="9"/>
  <c r="H101" i="9"/>
  <c r="H15" i="9" s="1"/>
  <c r="H18" i="9" s="1"/>
  <c r="G101" i="9"/>
  <c r="G15" i="9" s="1"/>
  <c r="G18" i="9" s="1"/>
  <c r="F101" i="9"/>
  <c r="F15" i="9" s="1"/>
  <c r="F18" i="9" s="1"/>
  <c r="E101" i="9"/>
  <c r="E15" i="9" s="1"/>
  <c r="E18" i="9" s="1"/>
  <c r="D101" i="9"/>
  <c r="D15" i="9" s="1"/>
  <c r="D18" i="9" s="1"/>
  <c r="C101" i="9"/>
  <c r="H94" i="9"/>
  <c r="G94" i="9"/>
  <c r="F94" i="9"/>
  <c r="E94" i="9"/>
  <c r="D94" i="9"/>
  <c r="C94" i="9"/>
  <c r="H93" i="9"/>
  <c r="G93" i="9"/>
  <c r="F93" i="9"/>
  <c r="E93" i="9"/>
  <c r="D93" i="9"/>
  <c r="C93" i="9"/>
  <c r="H88" i="9"/>
  <c r="G88" i="9"/>
  <c r="F88" i="9"/>
  <c r="E88" i="9"/>
  <c r="D88" i="9"/>
  <c r="C88" i="9"/>
  <c r="H81" i="9"/>
  <c r="G81" i="9"/>
  <c r="F81" i="9"/>
  <c r="E81" i="9"/>
  <c r="D81" i="9"/>
  <c r="C81" i="9"/>
  <c r="H80" i="9"/>
  <c r="G80" i="9"/>
  <c r="F80" i="9"/>
  <c r="E80" i="9"/>
  <c r="D80" i="9"/>
  <c r="C80" i="9"/>
  <c r="H73" i="9"/>
  <c r="G73" i="9"/>
  <c r="F73" i="9"/>
  <c r="E73" i="9"/>
  <c r="D73" i="9"/>
  <c r="C73" i="9"/>
  <c r="E45" i="9"/>
  <c r="E44" i="9" s="1"/>
  <c r="H43" i="9"/>
  <c r="H57" i="9" s="1"/>
  <c r="G43" i="9"/>
  <c r="F43" i="9"/>
  <c r="F57" i="9" s="1"/>
  <c r="D43" i="9"/>
  <c r="D57" i="9" s="1"/>
  <c r="C57" i="9"/>
  <c r="F11" i="9"/>
  <c r="I11" i="9"/>
  <c r="G34" i="9"/>
  <c r="D20" i="11"/>
  <c r="E20" i="11"/>
  <c r="F20" i="11"/>
  <c r="H20" i="11"/>
  <c r="G20" i="9"/>
  <c r="H20" i="9"/>
  <c r="G29" i="9"/>
  <c r="I43" i="8"/>
  <c r="D35" i="8"/>
  <c r="E35" i="8"/>
  <c r="F35" i="8"/>
  <c r="G35" i="8"/>
  <c r="H35" i="8"/>
  <c r="I35" i="8"/>
  <c r="D36" i="8"/>
  <c r="E36" i="8"/>
  <c r="F36" i="8"/>
  <c r="G36" i="8"/>
  <c r="H36" i="8"/>
  <c r="H37" i="8" s="1"/>
  <c r="I36" i="8"/>
  <c r="D38" i="8"/>
  <c r="D39" i="8" s="1"/>
  <c r="E38" i="8"/>
  <c r="F38" i="8"/>
  <c r="G38" i="8"/>
  <c r="H38" i="8"/>
  <c r="H39" i="8" s="1"/>
  <c r="I38" i="8"/>
  <c r="D40" i="8"/>
  <c r="D20" i="8" s="1"/>
  <c r="E40" i="8"/>
  <c r="F40" i="8"/>
  <c r="F20" i="8" s="1"/>
  <c r="G40" i="8"/>
  <c r="G20" i="8" s="1"/>
  <c r="H40" i="8"/>
  <c r="H20" i="8" s="1"/>
  <c r="I40" i="8"/>
  <c r="I56" i="8" s="1"/>
  <c r="C40" i="8"/>
  <c r="C20" i="8" s="1"/>
  <c r="C38" i="8"/>
  <c r="C36" i="8"/>
  <c r="C35" i="8"/>
  <c r="D7" i="8"/>
  <c r="E7" i="8"/>
  <c r="F7" i="8"/>
  <c r="G7" i="8"/>
  <c r="H7" i="8"/>
  <c r="I7" i="8"/>
  <c r="D8" i="8"/>
  <c r="E8" i="8"/>
  <c r="F8" i="8"/>
  <c r="G8" i="8"/>
  <c r="H8" i="8"/>
  <c r="I8" i="8"/>
  <c r="D10" i="8"/>
  <c r="E10" i="8"/>
  <c r="F10" i="8"/>
  <c r="G10" i="8"/>
  <c r="H10" i="8"/>
  <c r="I10" i="8"/>
  <c r="D12" i="8"/>
  <c r="E12" i="8"/>
  <c r="F12" i="8"/>
  <c r="G12" i="8"/>
  <c r="H12" i="8"/>
  <c r="I12" i="8"/>
  <c r="D13" i="8"/>
  <c r="E13" i="8"/>
  <c r="F13" i="8"/>
  <c r="G13" i="8"/>
  <c r="H13" i="8"/>
  <c r="I13" i="8"/>
  <c r="C8" i="8"/>
  <c r="C13" i="8"/>
  <c r="C12" i="8"/>
  <c r="C10" i="8"/>
  <c r="C7" i="8"/>
  <c r="G43" i="8"/>
  <c r="F43" i="8"/>
  <c r="E43" i="8"/>
  <c r="D43" i="8"/>
  <c r="C43" i="8"/>
  <c r="I106" i="8"/>
  <c r="I109" i="8" s="1"/>
  <c r="H106" i="8"/>
  <c r="H109" i="8" s="1"/>
  <c r="G106" i="8"/>
  <c r="G109" i="8" s="1"/>
  <c r="F106" i="8"/>
  <c r="F109" i="8"/>
  <c r="E106" i="8"/>
  <c r="E109" i="8" s="1"/>
  <c r="D106" i="8"/>
  <c r="D109" i="8" s="1"/>
  <c r="C106" i="8"/>
  <c r="C109" i="8" s="1"/>
  <c r="I100" i="8"/>
  <c r="I15" i="8" s="1"/>
  <c r="H100" i="8"/>
  <c r="H15" i="8" s="1"/>
  <c r="H18" i="8" s="1"/>
  <c r="G100" i="8"/>
  <c r="G15" i="8" s="1"/>
  <c r="F100" i="8"/>
  <c r="F15" i="8" s="1"/>
  <c r="E100" i="8"/>
  <c r="E15" i="8" s="1"/>
  <c r="E18" i="8" s="1"/>
  <c r="D100" i="8"/>
  <c r="D15" i="8" s="1"/>
  <c r="C100" i="8"/>
  <c r="C15" i="8"/>
  <c r="C18" i="8" s="1"/>
  <c r="H93" i="8"/>
  <c r="G93" i="8"/>
  <c r="F93" i="8"/>
  <c r="E93" i="8"/>
  <c r="D93" i="8"/>
  <c r="C93" i="8"/>
  <c r="I92" i="8"/>
  <c r="H92" i="8"/>
  <c r="G92" i="8"/>
  <c r="F92" i="8"/>
  <c r="E92" i="8"/>
  <c r="D92" i="8"/>
  <c r="C92" i="8"/>
  <c r="H87" i="8"/>
  <c r="G87" i="8"/>
  <c r="F87" i="8"/>
  <c r="E87" i="8"/>
  <c r="D87" i="8"/>
  <c r="C87" i="8"/>
  <c r="I80" i="8"/>
  <c r="H80" i="8"/>
  <c r="G80" i="8"/>
  <c r="F80" i="8"/>
  <c r="E80" i="8"/>
  <c r="D80" i="8"/>
  <c r="C80" i="8"/>
  <c r="I79" i="8"/>
  <c r="H79" i="8"/>
  <c r="G79" i="8"/>
  <c r="F79" i="8"/>
  <c r="E79" i="8"/>
  <c r="D79" i="8"/>
  <c r="C79" i="8"/>
  <c r="I72" i="8"/>
  <c r="H72" i="8"/>
  <c r="G72" i="8"/>
  <c r="F72" i="8"/>
  <c r="E72" i="8"/>
  <c r="D72" i="8"/>
  <c r="C72" i="8"/>
  <c r="I46" i="8"/>
  <c r="H46" i="8"/>
  <c r="G56" i="8" s="1"/>
  <c r="H45" i="8"/>
  <c r="G46" i="8"/>
  <c r="F46" i="8"/>
  <c r="E56" i="8" s="1"/>
  <c r="F45" i="8"/>
  <c r="E46" i="8"/>
  <c r="D46" i="8"/>
  <c r="C46" i="8"/>
  <c r="C45" i="8" s="1"/>
  <c r="F11" i="8"/>
  <c r="I11" i="8"/>
  <c r="F44" i="8"/>
  <c r="F58" i="8" s="1"/>
  <c r="H44" i="8"/>
  <c r="J35" i="7"/>
  <c r="I35" i="7"/>
  <c r="H35" i="7"/>
  <c r="G35" i="7"/>
  <c r="J62" i="7"/>
  <c r="I62" i="7"/>
  <c r="H62" i="7"/>
  <c r="G62" i="7"/>
  <c r="J45" i="7"/>
  <c r="J46" i="7" s="1"/>
  <c r="I45" i="7"/>
  <c r="H45" i="7"/>
  <c r="G45" i="7"/>
  <c r="G24" i="7"/>
  <c r="J61" i="7"/>
  <c r="I61" i="7"/>
  <c r="H61" i="7"/>
  <c r="G61" i="7"/>
  <c r="J43" i="7"/>
  <c r="I43" i="7"/>
  <c r="H43" i="7"/>
  <c r="G43" i="7"/>
  <c r="J41" i="7"/>
  <c r="I41" i="7"/>
  <c r="H41" i="7"/>
  <c r="G40" i="7"/>
  <c r="G41" i="7"/>
  <c r="J34" i="7"/>
  <c r="I34" i="7"/>
  <c r="H34" i="7"/>
  <c r="G34" i="7"/>
  <c r="J33" i="7"/>
  <c r="H33" i="7"/>
  <c r="G33" i="7"/>
  <c r="J22" i="7"/>
  <c r="I22" i="7"/>
  <c r="H22" i="7"/>
  <c r="G22" i="7"/>
  <c r="J31" i="7"/>
  <c r="I20" i="7"/>
  <c r="I25" i="7"/>
  <c r="H20" i="7"/>
  <c r="G20" i="7"/>
  <c r="G29" i="7"/>
  <c r="J21" i="7"/>
  <c r="I21" i="7"/>
  <c r="H17" i="7"/>
  <c r="H21" i="7"/>
  <c r="G21" i="7"/>
  <c r="G15" i="7"/>
  <c r="H26" i="7"/>
  <c r="I26" i="7"/>
  <c r="G36" i="7"/>
  <c r="H46" i="7"/>
  <c r="I46" i="7"/>
  <c r="I36" i="7"/>
  <c r="H36" i="7"/>
  <c r="H29" i="7"/>
  <c r="J29" i="7"/>
  <c r="J30" i="7" s="1"/>
  <c r="I29" i="7"/>
  <c r="G31" i="7"/>
  <c r="G30" i="7"/>
  <c r="I31" i="7"/>
  <c r="H31" i="7"/>
  <c r="G25" i="7"/>
  <c r="G46" i="7"/>
  <c r="G26" i="7"/>
  <c r="I30" i="7"/>
  <c r="H30" i="7"/>
  <c r="D38" i="3"/>
  <c r="E38" i="3"/>
  <c r="F38" i="3"/>
  <c r="G38" i="3"/>
  <c r="H38" i="3"/>
  <c r="I38" i="3"/>
  <c r="D39" i="3"/>
  <c r="E39" i="3"/>
  <c r="F39" i="3"/>
  <c r="G39" i="3"/>
  <c r="H39" i="3"/>
  <c r="I39" i="3"/>
  <c r="D41" i="3"/>
  <c r="E41" i="3"/>
  <c r="F41" i="3"/>
  <c r="G41" i="3"/>
  <c r="G42" i="3" s="1"/>
  <c r="H41" i="3"/>
  <c r="I41" i="3"/>
  <c r="D43" i="3"/>
  <c r="D59" i="3" s="1"/>
  <c r="E43" i="3"/>
  <c r="E59" i="3" s="1"/>
  <c r="F43" i="3"/>
  <c r="F59" i="3" s="1"/>
  <c r="G43" i="3"/>
  <c r="G59" i="3" s="1"/>
  <c r="H43" i="3"/>
  <c r="H59" i="3" s="1"/>
  <c r="I43" i="3"/>
  <c r="I59" i="3" s="1"/>
  <c r="C43" i="3"/>
  <c r="C59" i="3" s="1"/>
  <c r="C41" i="3"/>
  <c r="C39" i="3"/>
  <c r="C38" i="3"/>
  <c r="D39" i="5"/>
  <c r="E39" i="5"/>
  <c r="F39" i="5"/>
  <c r="G39" i="5"/>
  <c r="H39" i="5"/>
  <c r="I39" i="5"/>
  <c r="D40" i="5"/>
  <c r="E40" i="5"/>
  <c r="E41" i="5" s="1"/>
  <c r="F40" i="5"/>
  <c r="G40" i="5"/>
  <c r="H40" i="5"/>
  <c r="I40" i="5"/>
  <c r="I41" i="5" s="1"/>
  <c r="D42" i="5"/>
  <c r="E42" i="5"/>
  <c r="E43" i="5"/>
  <c r="F42" i="5"/>
  <c r="I42" i="5"/>
  <c r="I44" i="5"/>
  <c r="I64" i="5" s="1"/>
  <c r="C42" i="5"/>
  <c r="C40" i="5"/>
  <c r="C39" i="5"/>
  <c r="I46" i="6"/>
  <c r="D38" i="6"/>
  <c r="E38" i="6"/>
  <c r="F38" i="6"/>
  <c r="G38" i="6"/>
  <c r="H38" i="6"/>
  <c r="I38" i="6"/>
  <c r="D39" i="6"/>
  <c r="E39" i="6"/>
  <c r="F39" i="6"/>
  <c r="G39" i="6"/>
  <c r="H39" i="6"/>
  <c r="I39" i="6"/>
  <c r="D41" i="6"/>
  <c r="D42" i="6" s="1"/>
  <c r="E41" i="6"/>
  <c r="F41" i="6"/>
  <c r="G41" i="6"/>
  <c r="G42" i="6" s="1"/>
  <c r="H41" i="6"/>
  <c r="I41" i="6"/>
  <c r="D43" i="6"/>
  <c r="D24" i="6" s="1"/>
  <c r="E43" i="6"/>
  <c r="E24" i="6" s="1"/>
  <c r="F43" i="6"/>
  <c r="F24" i="6" s="1"/>
  <c r="G43" i="6"/>
  <c r="G24" i="6"/>
  <c r="H43" i="6"/>
  <c r="I43" i="6"/>
  <c r="C43" i="6"/>
  <c r="C24" i="6" s="1"/>
  <c r="C41" i="6"/>
  <c r="C39" i="6"/>
  <c r="C38" i="6"/>
  <c r="D7" i="6"/>
  <c r="E7" i="6"/>
  <c r="F7" i="6"/>
  <c r="G7" i="6"/>
  <c r="H7" i="6"/>
  <c r="I7" i="6"/>
  <c r="D9" i="6"/>
  <c r="E9" i="6"/>
  <c r="F9" i="6"/>
  <c r="G9" i="6"/>
  <c r="H9" i="6"/>
  <c r="I9" i="6"/>
  <c r="D10" i="6"/>
  <c r="D22" i="6" s="1"/>
  <c r="E10" i="6"/>
  <c r="E22" i="6" s="1"/>
  <c r="F10" i="6"/>
  <c r="F22" i="6" s="1"/>
  <c r="G10" i="6"/>
  <c r="G22" i="6" s="1"/>
  <c r="H10" i="6"/>
  <c r="H22" i="6" s="1"/>
  <c r="I10" i="6"/>
  <c r="I22" i="6" s="1"/>
  <c r="D11" i="6"/>
  <c r="E11" i="6"/>
  <c r="F11" i="6"/>
  <c r="G11" i="6"/>
  <c r="H11" i="6"/>
  <c r="I11" i="6"/>
  <c r="D13" i="6"/>
  <c r="E13" i="6"/>
  <c r="F13" i="6"/>
  <c r="F34" i="6" s="1"/>
  <c r="G13" i="6"/>
  <c r="H13" i="6"/>
  <c r="I13" i="6"/>
  <c r="I35" i="6" s="1"/>
  <c r="D14" i="6"/>
  <c r="E14" i="6"/>
  <c r="F14" i="6"/>
  <c r="G14" i="6"/>
  <c r="H14" i="6"/>
  <c r="I14" i="6"/>
  <c r="I16" i="6"/>
  <c r="I20" i="6" s="1"/>
  <c r="C14" i="6"/>
  <c r="C13" i="6"/>
  <c r="C11" i="6"/>
  <c r="C10" i="6"/>
  <c r="C22" i="6" s="1"/>
  <c r="C9" i="6"/>
  <c r="C7" i="6"/>
  <c r="H137" i="6"/>
  <c r="H46" i="6" s="1"/>
  <c r="G137" i="6"/>
  <c r="G46" i="6" s="1"/>
  <c r="F137" i="6"/>
  <c r="F46" i="6" s="1"/>
  <c r="E137" i="6"/>
  <c r="E46" i="6" s="1"/>
  <c r="D137" i="6"/>
  <c r="D46" i="6" s="1"/>
  <c r="C137" i="6"/>
  <c r="C46" i="6" s="1"/>
  <c r="H111" i="6"/>
  <c r="H114" i="6"/>
  <c r="G111" i="6"/>
  <c r="G114" i="6" s="1"/>
  <c r="F111" i="6"/>
  <c r="F114" i="6" s="1"/>
  <c r="E111" i="6"/>
  <c r="E114" i="6" s="1"/>
  <c r="D111" i="6"/>
  <c r="D114" i="6" s="1"/>
  <c r="C111" i="6"/>
  <c r="C114" i="6" s="1"/>
  <c r="H104" i="6"/>
  <c r="H16" i="6" s="1"/>
  <c r="H44" i="6" s="1"/>
  <c r="G104" i="6"/>
  <c r="G16" i="6" s="1"/>
  <c r="F104" i="6"/>
  <c r="F16" i="6"/>
  <c r="E104" i="6"/>
  <c r="E16" i="6" s="1"/>
  <c r="D104" i="6"/>
  <c r="D16" i="6" s="1"/>
  <c r="C104" i="6"/>
  <c r="C16" i="6" s="1"/>
  <c r="C20" i="6" s="1"/>
  <c r="H98" i="6"/>
  <c r="G98" i="6"/>
  <c r="F98" i="6"/>
  <c r="E98" i="6"/>
  <c r="D98" i="6"/>
  <c r="C98" i="6"/>
  <c r="G97" i="6"/>
  <c r="F97" i="6"/>
  <c r="E97" i="6"/>
  <c r="D97" i="6"/>
  <c r="C97" i="6"/>
  <c r="H88" i="6"/>
  <c r="G88" i="6"/>
  <c r="F88" i="6"/>
  <c r="E88" i="6"/>
  <c r="D88" i="6"/>
  <c r="C88" i="6"/>
  <c r="H84" i="6"/>
  <c r="G84" i="6"/>
  <c r="F84" i="6"/>
  <c r="E84" i="6"/>
  <c r="D84" i="6"/>
  <c r="C84" i="6"/>
  <c r="H83" i="6"/>
  <c r="G83" i="6"/>
  <c r="F83" i="6"/>
  <c r="E83" i="6"/>
  <c r="D83" i="6"/>
  <c r="C83" i="6"/>
  <c r="G76" i="6"/>
  <c r="F76" i="6"/>
  <c r="E76" i="6"/>
  <c r="D76" i="6"/>
  <c r="C76" i="6"/>
  <c r="D35" i="6"/>
  <c r="D40" i="6"/>
  <c r="H24" i="6"/>
  <c r="C40" i="6"/>
  <c r="G33" i="6"/>
  <c r="I47" i="5"/>
  <c r="D13" i="5"/>
  <c r="E13" i="5"/>
  <c r="F13" i="5"/>
  <c r="G13" i="5"/>
  <c r="H13" i="5"/>
  <c r="I13" i="5"/>
  <c r="D14" i="5"/>
  <c r="E14" i="5"/>
  <c r="F14" i="5"/>
  <c r="G14" i="5"/>
  <c r="H14" i="5"/>
  <c r="I14" i="5"/>
  <c r="I15" i="5"/>
  <c r="I16" i="5"/>
  <c r="I20" i="5" s="1"/>
  <c r="C14" i="5"/>
  <c r="C13" i="5"/>
  <c r="D7" i="5"/>
  <c r="D34" i="5" s="1"/>
  <c r="E7" i="5"/>
  <c r="E34" i="5" s="1"/>
  <c r="F7" i="5"/>
  <c r="G7" i="5"/>
  <c r="H7" i="5"/>
  <c r="I7" i="5"/>
  <c r="I35" i="5" s="1"/>
  <c r="D9" i="5"/>
  <c r="E9" i="5"/>
  <c r="F9" i="5"/>
  <c r="G9" i="5"/>
  <c r="H9" i="5"/>
  <c r="I9" i="5"/>
  <c r="D10" i="5"/>
  <c r="D22" i="5" s="1"/>
  <c r="E10" i="5"/>
  <c r="E22" i="5" s="1"/>
  <c r="F10" i="5"/>
  <c r="F22" i="5" s="1"/>
  <c r="G10" i="5"/>
  <c r="G22" i="5" s="1"/>
  <c r="H10" i="5"/>
  <c r="H22" i="5" s="1"/>
  <c r="I10" i="5"/>
  <c r="I22" i="5" s="1"/>
  <c r="D11" i="5"/>
  <c r="E11" i="5"/>
  <c r="F11" i="5"/>
  <c r="G11" i="5"/>
  <c r="H11" i="5"/>
  <c r="I11" i="5"/>
  <c r="I17" i="5" s="1"/>
  <c r="I21" i="5" s="1"/>
  <c r="C11" i="5"/>
  <c r="C10" i="5"/>
  <c r="C22" i="5" s="1"/>
  <c r="C9" i="5"/>
  <c r="C7" i="5"/>
  <c r="H47" i="5"/>
  <c r="G47" i="5"/>
  <c r="F47" i="5"/>
  <c r="E47" i="5"/>
  <c r="D47" i="5"/>
  <c r="C47" i="5"/>
  <c r="H132" i="5"/>
  <c r="G132" i="5"/>
  <c r="G44" i="5" s="1"/>
  <c r="G64" i="5" s="1"/>
  <c r="F132" i="5"/>
  <c r="F44" i="5" s="1"/>
  <c r="F64" i="5" s="1"/>
  <c r="E132" i="5"/>
  <c r="E44" i="5" s="1"/>
  <c r="D132" i="5"/>
  <c r="D44" i="5"/>
  <c r="D64" i="5" s="1"/>
  <c r="C132" i="5"/>
  <c r="C44" i="5" s="1"/>
  <c r="C64" i="5" s="1"/>
  <c r="H131" i="5"/>
  <c r="H42" i="5" s="1"/>
  <c r="G131" i="5"/>
  <c r="G42" i="5" s="1"/>
  <c r="H117" i="5"/>
  <c r="H120" i="5" s="1"/>
  <c r="G117" i="5"/>
  <c r="G120" i="5" s="1"/>
  <c r="F117" i="5"/>
  <c r="F120" i="5" s="1"/>
  <c r="E117" i="5"/>
  <c r="E120" i="5" s="1"/>
  <c r="D117" i="5"/>
  <c r="D120" i="5" s="1"/>
  <c r="C117" i="5"/>
  <c r="C120" i="5" s="1"/>
  <c r="H109" i="5"/>
  <c r="H16" i="5" s="1"/>
  <c r="G109" i="5"/>
  <c r="G16" i="5" s="1"/>
  <c r="G17" i="5" s="1"/>
  <c r="G21" i="5" s="1"/>
  <c r="F109" i="5"/>
  <c r="F16" i="5" s="1"/>
  <c r="E109" i="5"/>
  <c r="E16" i="5" s="1"/>
  <c r="D109" i="5"/>
  <c r="D16" i="5" s="1"/>
  <c r="C109" i="5"/>
  <c r="C16" i="5" s="1"/>
  <c r="H103" i="5"/>
  <c r="H15" i="5" s="1"/>
  <c r="G103" i="5"/>
  <c r="G15" i="5" s="1"/>
  <c r="F103" i="5"/>
  <c r="F15" i="5" s="1"/>
  <c r="E103" i="5"/>
  <c r="E15" i="5" s="1"/>
  <c r="D103" i="5"/>
  <c r="D15" i="5"/>
  <c r="C103" i="5"/>
  <c r="C15" i="5"/>
  <c r="H102" i="5"/>
  <c r="G102" i="5"/>
  <c r="F102" i="5"/>
  <c r="E102" i="5"/>
  <c r="D102" i="5"/>
  <c r="C102" i="5"/>
  <c r="H90" i="5"/>
  <c r="G90" i="5"/>
  <c r="F90" i="5"/>
  <c r="E90" i="5"/>
  <c r="D90" i="5"/>
  <c r="C90" i="5"/>
  <c r="H85" i="5"/>
  <c r="G85" i="5"/>
  <c r="F85" i="5"/>
  <c r="E85" i="5"/>
  <c r="D85" i="5"/>
  <c r="C85" i="5"/>
  <c r="H84" i="5"/>
  <c r="G84" i="5"/>
  <c r="F84" i="5"/>
  <c r="E84" i="5"/>
  <c r="D84" i="5"/>
  <c r="C84" i="5"/>
  <c r="H77" i="5"/>
  <c r="G77" i="5"/>
  <c r="F77" i="5"/>
  <c r="E77" i="5"/>
  <c r="D77" i="5"/>
  <c r="C77" i="5"/>
  <c r="I48" i="5"/>
  <c r="G48" i="5"/>
  <c r="F48" i="5"/>
  <c r="E48" i="5"/>
  <c r="D48" i="5"/>
  <c r="I46" i="3"/>
  <c r="I47" i="3"/>
  <c r="I61" i="3" s="1"/>
  <c r="G46" i="3"/>
  <c r="F46" i="3"/>
  <c r="E46" i="3"/>
  <c r="D46" i="3"/>
  <c r="C46" i="3"/>
  <c r="G119" i="3"/>
  <c r="F119" i="3"/>
  <c r="E119" i="3"/>
  <c r="D119" i="3"/>
  <c r="C119" i="3"/>
  <c r="H112" i="3"/>
  <c r="H115" i="3" s="1"/>
  <c r="G112" i="3"/>
  <c r="G115" i="3" s="1"/>
  <c r="F112" i="3"/>
  <c r="F115" i="3" s="1"/>
  <c r="E112" i="3"/>
  <c r="E115" i="3" s="1"/>
  <c r="D112" i="3"/>
  <c r="D115" i="3" s="1"/>
  <c r="C112" i="3"/>
  <c r="C115" i="3" s="1"/>
  <c r="D13" i="3"/>
  <c r="E13" i="3"/>
  <c r="F13" i="3"/>
  <c r="G13" i="3"/>
  <c r="H13" i="3"/>
  <c r="I13" i="3"/>
  <c r="D14" i="3"/>
  <c r="E14" i="3"/>
  <c r="F14" i="3"/>
  <c r="G14" i="3"/>
  <c r="H14" i="3"/>
  <c r="I14" i="3"/>
  <c r="C14" i="3"/>
  <c r="C13" i="3"/>
  <c r="D7" i="3"/>
  <c r="E7" i="3"/>
  <c r="F7" i="3"/>
  <c r="G7" i="3"/>
  <c r="H7" i="3"/>
  <c r="I7" i="3"/>
  <c r="D9" i="3"/>
  <c r="E9" i="3"/>
  <c r="F9" i="3"/>
  <c r="G9" i="3"/>
  <c r="H9" i="3"/>
  <c r="I9" i="3"/>
  <c r="D10" i="3"/>
  <c r="D22" i="3" s="1"/>
  <c r="E10" i="3"/>
  <c r="E22" i="3" s="1"/>
  <c r="F10" i="3"/>
  <c r="F22" i="3" s="1"/>
  <c r="G10" i="3"/>
  <c r="G22" i="3" s="1"/>
  <c r="H10" i="3"/>
  <c r="H22" i="3" s="1"/>
  <c r="I10" i="3"/>
  <c r="I22" i="3" s="1"/>
  <c r="D11" i="3"/>
  <c r="E11" i="3"/>
  <c r="F11" i="3"/>
  <c r="G11" i="3"/>
  <c r="H11" i="3"/>
  <c r="I11" i="3"/>
  <c r="C11" i="3"/>
  <c r="C10" i="3"/>
  <c r="C22" i="3" s="1"/>
  <c r="C9" i="3"/>
  <c r="C7" i="3"/>
  <c r="H47" i="3"/>
  <c r="H61" i="3" s="1"/>
  <c r="I105" i="3"/>
  <c r="I16" i="3" s="1"/>
  <c r="H105" i="3"/>
  <c r="H16" i="3" s="1"/>
  <c r="G105" i="3"/>
  <c r="G16" i="3" s="1"/>
  <c r="F105" i="3"/>
  <c r="F16" i="3" s="1"/>
  <c r="E105" i="3"/>
  <c r="E16" i="3" s="1"/>
  <c r="D105" i="3"/>
  <c r="D16" i="3" s="1"/>
  <c r="C105" i="3"/>
  <c r="C16" i="3" s="1"/>
  <c r="H99" i="3"/>
  <c r="G99" i="3"/>
  <c r="F99" i="3"/>
  <c r="E99" i="3"/>
  <c r="D99" i="3"/>
  <c r="C99" i="3"/>
  <c r="G98" i="3"/>
  <c r="F98" i="3"/>
  <c r="E98" i="3"/>
  <c r="D98" i="3"/>
  <c r="C98" i="3"/>
  <c r="G88" i="3"/>
  <c r="G92" i="3" s="1"/>
  <c r="F88" i="3"/>
  <c r="F92" i="3" s="1"/>
  <c r="E88" i="3"/>
  <c r="E92" i="3" s="1"/>
  <c r="D88" i="3"/>
  <c r="D92" i="3" s="1"/>
  <c r="C88" i="3"/>
  <c r="C92" i="3" s="1"/>
  <c r="I84" i="3"/>
  <c r="H84" i="3"/>
  <c r="G84" i="3"/>
  <c r="F84" i="3"/>
  <c r="E84" i="3"/>
  <c r="D84" i="3"/>
  <c r="C84" i="3"/>
  <c r="I83" i="3"/>
  <c r="H83" i="3"/>
  <c r="G83" i="3"/>
  <c r="F83" i="3"/>
  <c r="E83" i="3"/>
  <c r="D83" i="3"/>
  <c r="C83" i="3"/>
  <c r="G76" i="3"/>
  <c r="F76" i="3"/>
  <c r="E76" i="3"/>
  <c r="D76" i="3"/>
  <c r="C76" i="3"/>
  <c r="G47" i="3"/>
  <c r="G61" i="3" s="1"/>
  <c r="F47" i="3"/>
  <c r="F61" i="3" s="1"/>
  <c r="E47" i="3"/>
  <c r="E61" i="3" s="1"/>
  <c r="D47" i="3"/>
  <c r="D61" i="3" s="1"/>
  <c r="C47" i="3"/>
  <c r="C61" i="3" s="1"/>
  <c r="G24" i="3"/>
  <c r="I47" i="2"/>
  <c r="G47" i="2"/>
  <c r="F47" i="2"/>
  <c r="E47" i="2"/>
  <c r="D47" i="2"/>
  <c r="C47" i="2"/>
  <c r="H131" i="2"/>
  <c r="D44" i="2"/>
  <c r="D60" i="2" s="1"/>
  <c r="E44" i="2"/>
  <c r="E60" i="2" s="1"/>
  <c r="F44" i="2"/>
  <c r="G44" i="2"/>
  <c r="G60" i="2" s="1"/>
  <c r="I44" i="2"/>
  <c r="I60" i="2" s="1"/>
  <c r="E42" i="2"/>
  <c r="F42" i="2"/>
  <c r="G42" i="2"/>
  <c r="H42" i="2"/>
  <c r="I42" i="2"/>
  <c r="D42" i="2"/>
  <c r="C42" i="2"/>
  <c r="D39" i="2"/>
  <c r="E39" i="2"/>
  <c r="F39" i="2"/>
  <c r="G39" i="2"/>
  <c r="H39" i="2"/>
  <c r="I39" i="2"/>
  <c r="C39" i="2"/>
  <c r="D40" i="2"/>
  <c r="E40" i="2"/>
  <c r="F40" i="2"/>
  <c r="F41" i="2" s="1"/>
  <c r="G40" i="2"/>
  <c r="H40" i="2"/>
  <c r="I40" i="2"/>
  <c r="C40" i="2"/>
  <c r="I113" i="2"/>
  <c r="I116" i="2" s="1"/>
  <c r="H127" i="2"/>
  <c r="H44" i="2" s="1"/>
  <c r="H60" i="2" s="1"/>
  <c r="H113" i="2"/>
  <c r="H116" i="2" s="1"/>
  <c r="G113" i="2"/>
  <c r="G116" i="2" s="1"/>
  <c r="F113" i="2"/>
  <c r="F116" i="2" s="1"/>
  <c r="E113" i="2"/>
  <c r="E116" i="2" s="1"/>
  <c r="D113" i="2"/>
  <c r="D116" i="2" s="1"/>
  <c r="C113" i="2"/>
  <c r="C116" i="2" s="1"/>
  <c r="D14" i="2"/>
  <c r="E14" i="2"/>
  <c r="F14" i="2"/>
  <c r="G14" i="2"/>
  <c r="H14" i="2"/>
  <c r="I14" i="2"/>
  <c r="D15" i="2"/>
  <c r="E15" i="2"/>
  <c r="F15" i="2"/>
  <c r="G15" i="2"/>
  <c r="H15" i="2"/>
  <c r="I15" i="2"/>
  <c r="C15" i="2"/>
  <c r="C14" i="2"/>
  <c r="D11" i="2"/>
  <c r="D23" i="2" s="1"/>
  <c r="E11" i="2"/>
  <c r="E23" i="2" s="1"/>
  <c r="F11" i="2"/>
  <c r="F23" i="2" s="1"/>
  <c r="G11" i="2"/>
  <c r="G23" i="2" s="1"/>
  <c r="H11" i="2"/>
  <c r="H23" i="2" s="1"/>
  <c r="I11" i="2"/>
  <c r="I23" i="2" s="1"/>
  <c r="D12" i="2"/>
  <c r="E12" i="2"/>
  <c r="F12" i="2"/>
  <c r="G12" i="2"/>
  <c r="H12" i="2"/>
  <c r="I12" i="2"/>
  <c r="C12" i="2"/>
  <c r="C11" i="2"/>
  <c r="C23" i="2" s="1"/>
  <c r="D10" i="2"/>
  <c r="E10" i="2"/>
  <c r="F10" i="2"/>
  <c r="G10" i="2"/>
  <c r="H10" i="2"/>
  <c r="I10" i="2"/>
  <c r="C10" i="2"/>
  <c r="I106" i="2"/>
  <c r="I17" i="2" s="1"/>
  <c r="I100" i="2"/>
  <c r="I16" i="2" s="1"/>
  <c r="I84" i="2"/>
  <c r="I83" i="2"/>
  <c r="D7" i="2"/>
  <c r="E7" i="2"/>
  <c r="F7" i="2"/>
  <c r="G7" i="2"/>
  <c r="G35" i="2" s="1"/>
  <c r="H7" i="2"/>
  <c r="I7" i="2"/>
  <c r="C7" i="2"/>
  <c r="D70" i="2"/>
  <c r="E70" i="2"/>
  <c r="F70" i="2"/>
  <c r="G70" i="2"/>
  <c r="H70" i="2"/>
  <c r="C70" i="2"/>
  <c r="H106" i="2"/>
  <c r="H17" i="2" s="1"/>
  <c r="G106" i="2"/>
  <c r="G17" i="2" s="1"/>
  <c r="F106" i="2"/>
  <c r="F17" i="2" s="1"/>
  <c r="E106" i="2"/>
  <c r="E17" i="2" s="1"/>
  <c r="D106" i="2"/>
  <c r="D17" i="2" s="1"/>
  <c r="C106" i="2"/>
  <c r="C17" i="2" s="1"/>
  <c r="H100" i="2"/>
  <c r="H16" i="2" s="1"/>
  <c r="G100" i="2"/>
  <c r="G16" i="2" s="1"/>
  <c r="F100" i="2"/>
  <c r="F16" i="2" s="1"/>
  <c r="E100" i="2"/>
  <c r="E16" i="2" s="1"/>
  <c r="D100" i="2"/>
  <c r="D16" i="2" s="1"/>
  <c r="C100" i="2"/>
  <c r="C16" i="2" s="1"/>
  <c r="G99" i="2"/>
  <c r="F99" i="2"/>
  <c r="E99" i="2"/>
  <c r="D99" i="2"/>
  <c r="C99" i="2"/>
  <c r="G88" i="2"/>
  <c r="F88" i="2"/>
  <c r="E88" i="2"/>
  <c r="D88" i="2"/>
  <c r="C88" i="2"/>
  <c r="H84" i="2"/>
  <c r="G84" i="2"/>
  <c r="F84" i="2"/>
  <c r="E84" i="2"/>
  <c r="D84" i="2"/>
  <c r="C84" i="2"/>
  <c r="H83" i="2"/>
  <c r="G83" i="2"/>
  <c r="F83" i="2"/>
  <c r="E83" i="2"/>
  <c r="D83" i="2"/>
  <c r="C83" i="2"/>
  <c r="H76" i="2"/>
  <c r="G76" i="2"/>
  <c r="F76" i="2"/>
  <c r="E76" i="2"/>
  <c r="D76" i="2"/>
  <c r="C76" i="2"/>
  <c r="F43" i="2"/>
  <c r="H60" i="17" l="1"/>
  <c r="E3" i="17"/>
  <c r="D3" i="17"/>
  <c r="C57" i="15"/>
  <c r="O5" i="1" s="1"/>
  <c r="C18" i="15"/>
  <c r="C21" i="15" s="1"/>
  <c r="C29" i="87"/>
  <c r="E3" i="15"/>
  <c r="Y5" i="1"/>
  <c r="G20" i="49"/>
  <c r="G56" i="49"/>
  <c r="I20" i="49"/>
  <c r="I56" i="49"/>
  <c r="C57" i="49" s="1"/>
  <c r="H20" i="49"/>
  <c r="H56" i="49"/>
  <c r="F20" i="49"/>
  <c r="F56" i="49"/>
  <c r="C74" i="13"/>
  <c r="C23" i="13"/>
  <c r="Y20" i="1"/>
  <c r="T20" i="1"/>
  <c r="Y12" i="1"/>
  <c r="F17" i="1"/>
  <c r="C62" i="12"/>
  <c r="H58" i="11"/>
  <c r="C59" i="11" s="1"/>
  <c r="E3" i="11"/>
  <c r="Y9" i="1"/>
  <c r="C61" i="2"/>
  <c r="H134" i="17"/>
  <c r="H141" i="17" s="1"/>
  <c r="H144" i="17" s="1"/>
  <c r="H38" i="17" s="1"/>
  <c r="H36" i="17"/>
  <c r="H37" i="17" s="1"/>
  <c r="C59" i="17"/>
  <c r="E3" i="9"/>
  <c r="G57" i="9"/>
  <c r="H31" i="9"/>
  <c r="C20" i="16"/>
  <c r="C56" i="16"/>
  <c r="E20" i="16"/>
  <c r="E56" i="16"/>
  <c r="F20" i="16"/>
  <c r="F56" i="16"/>
  <c r="D3" i="16"/>
  <c r="G58" i="16"/>
  <c r="C59" i="16" s="1"/>
  <c r="Y17" i="1"/>
  <c r="T35" i="1"/>
  <c r="Y35" i="1"/>
  <c r="T25" i="1"/>
  <c r="Y25" i="1"/>
  <c r="Y42" i="1"/>
  <c r="T42" i="1"/>
  <c r="Y43" i="1"/>
  <c r="T43" i="1"/>
  <c r="T9" i="1"/>
  <c r="T12" i="1"/>
  <c r="T5" i="1"/>
  <c r="T49" i="1"/>
  <c r="H54" i="58"/>
  <c r="H46" i="41"/>
  <c r="H60" i="41" s="1"/>
  <c r="H47" i="41"/>
  <c r="G46" i="41"/>
  <c r="G47" i="41"/>
  <c r="E46" i="41"/>
  <c r="E60" i="41" s="1"/>
  <c r="E47" i="41"/>
  <c r="D46" i="41"/>
  <c r="D47" i="41"/>
  <c r="F22" i="41"/>
  <c r="F58" i="41"/>
  <c r="E22" i="41"/>
  <c r="E58" i="41"/>
  <c r="F47" i="1"/>
  <c r="AA5" i="1" s="1"/>
  <c r="C60" i="58"/>
  <c r="G13" i="58"/>
  <c r="F35" i="58"/>
  <c r="H35" i="58"/>
  <c r="I35" i="58"/>
  <c r="F16" i="1"/>
  <c r="C62" i="37"/>
  <c r="D44" i="37"/>
  <c r="D58" i="37" s="1"/>
  <c r="F18" i="1"/>
  <c r="C62" i="49"/>
  <c r="C11" i="49"/>
  <c r="H11" i="49"/>
  <c r="D30" i="49"/>
  <c r="E14" i="49"/>
  <c r="I14" i="49"/>
  <c r="I37" i="49"/>
  <c r="H58" i="49"/>
  <c r="F15" i="1"/>
  <c r="C80" i="13"/>
  <c r="C44" i="13"/>
  <c r="I41" i="37"/>
  <c r="E33" i="13"/>
  <c r="E31" i="41"/>
  <c r="F30" i="1"/>
  <c r="C63" i="18"/>
  <c r="C11" i="18"/>
  <c r="D29" i="18"/>
  <c r="H58" i="15"/>
  <c r="E22" i="23"/>
  <c r="C22" i="23"/>
  <c r="F20" i="23"/>
  <c r="E32" i="23"/>
  <c r="F24" i="1"/>
  <c r="T23" i="1" s="1"/>
  <c r="E14" i="22"/>
  <c r="D14" i="22"/>
  <c r="F33" i="22"/>
  <c r="D11" i="22"/>
  <c r="F39" i="1"/>
  <c r="C3" i="44"/>
  <c r="F31" i="44"/>
  <c r="G31" i="44"/>
  <c r="C11" i="44"/>
  <c r="G30" i="44"/>
  <c r="F8" i="1"/>
  <c r="Y8" i="1" s="1"/>
  <c r="C66" i="5"/>
  <c r="F10" i="1"/>
  <c r="C65" i="6"/>
  <c r="H15" i="6"/>
  <c r="D15" i="6"/>
  <c r="I12" i="6"/>
  <c r="C42" i="6"/>
  <c r="Y41" i="1"/>
  <c r="C65" i="3"/>
  <c r="H35" i="5"/>
  <c r="I43" i="5"/>
  <c r="D41" i="5"/>
  <c r="C56" i="9"/>
  <c r="C61" i="38"/>
  <c r="C32" i="38"/>
  <c r="C33" i="38"/>
  <c r="I32" i="38"/>
  <c r="I33" i="38"/>
  <c r="H32" i="38"/>
  <c r="H33" i="38"/>
  <c r="G32" i="38"/>
  <c r="G33" i="38"/>
  <c r="F32" i="38"/>
  <c r="F33" i="38"/>
  <c r="E32" i="38"/>
  <c r="E33" i="38"/>
  <c r="D32" i="38"/>
  <c r="D33" i="38"/>
  <c r="F11" i="1"/>
  <c r="C66" i="2"/>
  <c r="I25" i="2"/>
  <c r="F25" i="2"/>
  <c r="F60" i="2"/>
  <c r="E25" i="2"/>
  <c r="D25" i="2"/>
  <c r="J32" i="2"/>
  <c r="J30" i="2"/>
  <c r="J31" i="2" s="1"/>
  <c r="H63" i="7"/>
  <c r="I63" i="7"/>
  <c r="J63" i="7"/>
  <c r="F34" i="1"/>
  <c r="C32" i="46"/>
  <c r="F21" i="1"/>
  <c r="C62" i="8"/>
  <c r="F7" i="1"/>
  <c r="F27" i="1"/>
  <c r="C62" i="11"/>
  <c r="C62" i="14"/>
  <c r="F19" i="1"/>
  <c r="F14" i="1"/>
  <c r="V14" i="38"/>
  <c r="F13" i="1"/>
  <c r="Y13" i="1" s="1"/>
  <c r="H41" i="38"/>
  <c r="H42" i="38"/>
  <c r="H58" i="38" s="1"/>
  <c r="C59" i="38" s="1"/>
  <c r="H43" i="38"/>
  <c r="I31" i="38"/>
  <c r="C30" i="8"/>
  <c r="I14" i="8"/>
  <c r="F14" i="8"/>
  <c r="F32" i="8" s="1"/>
  <c r="H11" i="8"/>
  <c r="C39" i="8"/>
  <c r="E37" i="8"/>
  <c r="E32" i="14"/>
  <c r="D56" i="14"/>
  <c r="H58" i="14"/>
  <c r="C59" i="14" s="1"/>
  <c r="E3" i="14"/>
  <c r="Y23" i="1" s="1"/>
  <c r="C14" i="14"/>
  <c r="G14" i="14"/>
  <c r="G30" i="14"/>
  <c r="E39" i="14"/>
  <c r="D39" i="14"/>
  <c r="H3" i="7"/>
  <c r="D22" i="11"/>
  <c r="H14" i="11"/>
  <c r="H32" i="11" s="1"/>
  <c r="G14" i="11"/>
  <c r="G32" i="11" s="1"/>
  <c r="D31" i="11"/>
  <c r="E29" i="11"/>
  <c r="D11" i="11"/>
  <c r="E30" i="12"/>
  <c r="D14" i="12"/>
  <c r="G14" i="12"/>
  <c r="G32" i="12" s="1"/>
  <c r="H14" i="12"/>
  <c r="I37" i="12"/>
  <c r="I39" i="12"/>
  <c r="G37" i="12"/>
  <c r="H139" i="2"/>
  <c r="H47" i="2" s="1"/>
  <c r="H36" i="9"/>
  <c r="D15" i="88" s="1"/>
  <c r="D14" i="88"/>
  <c r="G14" i="88" s="1"/>
  <c r="D30" i="88"/>
  <c r="E16" i="88"/>
  <c r="C30" i="88"/>
  <c r="F30" i="88" s="1"/>
  <c r="C36" i="88" s="1"/>
  <c r="C37" i="88" s="1"/>
  <c r="D16" i="88"/>
  <c r="G16" i="88" s="1"/>
  <c r="F29" i="88"/>
  <c r="C131" i="17"/>
  <c r="D131" i="17"/>
  <c r="D36" i="17" s="1"/>
  <c r="E131" i="17"/>
  <c r="F131" i="17"/>
  <c r="F36" i="17" s="1"/>
  <c r="G131" i="17"/>
  <c r="G36" i="17" s="1"/>
  <c r="I131" i="17"/>
  <c r="I36" i="17" s="1"/>
  <c r="C21" i="17"/>
  <c r="H21" i="17"/>
  <c r="D59" i="17"/>
  <c r="G21" i="17"/>
  <c r="C62" i="15"/>
  <c r="C62" i="16"/>
  <c r="D20" i="15"/>
  <c r="E20" i="15"/>
  <c r="G20" i="15"/>
  <c r="G56" i="15"/>
  <c r="G58" i="15"/>
  <c r="D22" i="16"/>
  <c r="C11" i="16"/>
  <c r="G31" i="15"/>
  <c r="E29" i="15"/>
  <c r="H20" i="15"/>
  <c r="D16" i="87"/>
  <c r="E16" i="87"/>
  <c r="D30" i="87"/>
  <c r="C22" i="15"/>
  <c r="D21" i="88"/>
  <c r="D21" i="87"/>
  <c r="E21" i="88"/>
  <c r="E21" i="87"/>
  <c r="H14" i="9"/>
  <c r="D30" i="9"/>
  <c r="M13" i="1"/>
  <c r="D3" i="9"/>
  <c r="C15" i="9"/>
  <c r="C18" i="9" s="1"/>
  <c r="I38" i="46"/>
  <c r="V48" i="1"/>
  <c r="V61" i="1"/>
  <c r="X61" i="1" s="1"/>
  <c r="T53" i="1"/>
  <c r="Y53" i="1"/>
  <c r="Y50" i="1"/>
  <c r="T50" i="1"/>
  <c r="Y52" i="1"/>
  <c r="T52" i="1"/>
  <c r="Y61" i="1"/>
  <c r="T61" i="1"/>
  <c r="Y49" i="1"/>
  <c r="T56" i="1"/>
  <c r="Y56" i="1"/>
  <c r="C25" i="48"/>
  <c r="F26" i="48"/>
  <c r="C27" i="48" s="1"/>
  <c r="K36" i="1" s="1"/>
  <c r="F38" i="46"/>
  <c r="M26" i="3"/>
  <c r="L26" i="3"/>
  <c r="E34" i="13"/>
  <c r="E15" i="13"/>
  <c r="E32" i="13"/>
  <c r="C40" i="13"/>
  <c r="H12" i="25"/>
  <c r="H15" i="25"/>
  <c r="E39" i="8"/>
  <c r="D45" i="8"/>
  <c r="C56" i="8"/>
  <c r="E44" i="8"/>
  <c r="E58" i="8" s="1"/>
  <c r="D56" i="8"/>
  <c r="E14" i="8"/>
  <c r="E31" i="8"/>
  <c r="G44" i="8"/>
  <c r="G58" i="8" s="1"/>
  <c r="F56" i="8"/>
  <c r="G29" i="8"/>
  <c r="H30" i="8"/>
  <c r="F31" i="8"/>
  <c r="H56" i="8"/>
  <c r="D29" i="8"/>
  <c r="H29" i="8"/>
  <c r="J26" i="2"/>
  <c r="J27" i="2" s="1"/>
  <c r="L64" i="2"/>
  <c r="E24" i="5"/>
  <c r="E64" i="5"/>
  <c r="G43" i="5"/>
  <c r="F12" i="5"/>
  <c r="E12" i="5"/>
  <c r="F41" i="5"/>
  <c r="E35" i="5"/>
  <c r="I34" i="5"/>
  <c r="C40" i="9"/>
  <c r="D11" i="9"/>
  <c r="E20" i="9"/>
  <c r="E43" i="9"/>
  <c r="E57" i="9" s="1"/>
  <c r="I36" i="9"/>
  <c r="E15" i="88" s="1"/>
  <c r="S54" i="1"/>
  <c r="Y54" i="1"/>
  <c r="T54" i="1"/>
  <c r="S55" i="1"/>
  <c r="Y55" i="1"/>
  <c r="Y57" i="1"/>
  <c r="T57" i="1"/>
  <c r="S57" i="1"/>
  <c r="S26" i="1"/>
  <c r="Y58" i="1"/>
  <c r="T58" i="1"/>
  <c r="S58" i="1"/>
  <c r="T59" i="1"/>
  <c r="Y59" i="1"/>
  <c r="S59" i="1"/>
  <c r="T60" i="1"/>
  <c r="Y60" i="1"/>
  <c r="S60" i="1"/>
  <c r="H32" i="59"/>
  <c r="F32" i="59"/>
  <c r="I27" i="59"/>
  <c r="I26" i="59" s="1"/>
  <c r="H22" i="59"/>
  <c r="G32" i="59"/>
  <c r="E32" i="59"/>
  <c r="Y48" i="1"/>
  <c r="T48" i="1"/>
  <c r="X48" i="1"/>
  <c r="S48" i="1"/>
  <c r="H30" i="53"/>
  <c r="I30" i="53"/>
  <c r="D14" i="53"/>
  <c r="G52" i="53"/>
  <c r="C53" i="53" s="1"/>
  <c r="E3" i="53"/>
  <c r="I31" i="53"/>
  <c r="H20" i="53"/>
  <c r="H50" i="53"/>
  <c r="D11" i="53"/>
  <c r="E14" i="53"/>
  <c r="I20" i="53"/>
  <c r="I22" i="53" s="1"/>
  <c r="I50" i="53"/>
  <c r="H11" i="53"/>
  <c r="H32" i="53" s="1"/>
  <c r="I37" i="53"/>
  <c r="G20" i="53"/>
  <c r="G22" i="53" s="1"/>
  <c r="G50" i="53"/>
  <c r="H31" i="53"/>
  <c r="G35" i="58"/>
  <c r="E10" i="58"/>
  <c r="D39" i="58"/>
  <c r="D58" i="58" s="1"/>
  <c r="H28" i="58"/>
  <c r="F10" i="58"/>
  <c r="G10" i="58"/>
  <c r="G31" i="58" s="1"/>
  <c r="D28" i="58"/>
  <c r="F37" i="58"/>
  <c r="C37" i="58"/>
  <c r="C35" i="58"/>
  <c r="D35" i="58"/>
  <c r="F28" i="58"/>
  <c r="I28" i="58"/>
  <c r="E35" i="58"/>
  <c r="I19" i="58"/>
  <c r="I21" i="58" s="1"/>
  <c r="C19" i="58"/>
  <c r="C21" i="58" s="1"/>
  <c r="G39" i="58"/>
  <c r="G58" i="58" s="1"/>
  <c r="G37" i="58"/>
  <c r="G24" i="58"/>
  <c r="G26" i="58"/>
  <c r="D24" i="58"/>
  <c r="D25" i="58" s="1"/>
  <c r="C26" i="58"/>
  <c r="G30" i="58"/>
  <c r="I13" i="58"/>
  <c r="E30" i="58"/>
  <c r="C13" i="58"/>
  <c r="H13" i="58"/>
  <c r="F31" i="58"/>
  <c r="F30" i="58"/>
  <c r="G19" i="58"/>
  <c r="G28" i="58"/>
  <c r="F19" i="58"/>
  <c r="E28" i="58"/>
  <c r="H29" i="58"/>
  <c r="C30" i="58"/>
  <c r="H30" i="58"/>
  <c r="D30" i="58"/>
  <c r="H26" i="58"/>
  <c r="H24" i="58"/>
  <c r="H21" i="58"/>
  <c r="E26" i="58"/>
  <c r="E20" i="58"/>
  <c r="E21" i="58" s="1"/>
  <c r="E24" i="58"/>
  <c r="F39" i="58"/>
  <c r="F58" i="58" s="1"/>
  <c r="F17" i="58"/>
  <c r="E39" i="58"/>
  <c r="E58" i="58" s="1"/>
  <c r="E37" i="58"/>
  <c r="C39" i="58"/>
  <c r="C58" i="58" s="1"/>
  <c r="C24" i="58"/>
  <c r="C25" i="58" s="1"/>
  <c r="D10" i="58"/>
  <c r="E13" i="58"/>
  <c r="E31" i="58" s="1"/>
  <c r="I58" i="58"/>
  <c r="C28" i="58"/>
  <c r="D29" i="58"/>
  <c r="C29" i="58"/>
  <c r="D13" i="58"/>
  <c r="D37" i="58"/>
  <c r="I56" i="58"/>
  <c r="C57" i="58" s="1"/>
  <c r="O47" i="1" s="1"/>
  <c r="C10" i="58"/>
  <c r="D20" i="58"/>
  <c r="D21" i="58" s="1"/>
  <c r="F29" i="58"/>
  <c r="H10" i="58"/>
  <c r="H31" i="58" s="1"/>
  <c r="D3" i="58"/>
  <c r="Q47" i="1" s="1"/>
  <c r="H38" i="56"/>
  <c r="H39" i="56" s="1"/>
  <c r="H129" i="56"/>
  <c r="H131" i="56" s="1"/>
  <c r="H133" i="56" s="1"/>
  <c r="H40" i="56" s="1"/>
  <c r="D32" i="56"/>
  <c r="G12" i="56"/>
  <c r="G34" i="56" s="1"/>
  <c r="D39" i="56"/>
  <c r="H10" i="56"/>
  <c r="I54" i="56"/>
  <c r="I22" i="56"/>
  <c r="D54" i="56"/>
  <c r="D22" i="56"/>
  <c r="E129" i="56"/>
  <c r="E131" i="56" s="1"/>
  <c r="E133" i="56" s="1"/>
  <c r="E40" i="56" s="1"/>
  <c r="E38" i="56"/>
  <c r="E39" i="56" s="1"/>
  <c r="F54" i="56"/>
  <c r="F22" i="56"/>
  <c r="I32" i="56"/>
  <c r="D31" i="56"/>
  <c r="D12" i="56"/>
  <c r="D34" i="56" s="1"/>
  <c r="G10" i="56"/>
  <c r="D10" i="56"/>
  <c r="F16" i="56"/>
  <c r="F19" i="56" s="1"/>
  <c r="F20" i="56" s="1"/>
  <c r="I45" i="56"/>
  <c r="C33" i="56"/>
  <c r="C57" i="56"/>
  <c r="I31" i="56"/>
  <c r="C15" i="56"/>
  <c r="C34" i="56" s="1"/>
  <c r="H15" i="56"/>
  <c r="H12" i="56"/>
  <c r="F33" i="56"/>
  <c r="C23" i="56"/>
  <c r="C54" i="56"/>
  <c r="C22" i="56"/>
  <c r="F23" i="56"/>
  <c r="E54" i="56"/>
  <c r="E22" i="56"/>
  <c r="E24" i="56" s="1"/>
  <c r="G23" i="56"/>
  <c r="C45" i="56"/>
  <c r="C41" i="56"/>
  <c r="G38" i="56"/>
  <c r="G39" i="56" s="1"/>
  <c r="G129" i="56"/>
  <c r="G131" i="56" s="1"/>
  <c r="G133" i="56" s="1"/>
  <c r="G40" i="56" s="1"/>
  <c r="H41" i="56"/>
  <c r="H45" i="56"/>
  <c r="G54" i="56"/>
  <c r="G22" i="56"/>
  <c r="H54" i="56"/>
  <c r="H22" i="56"/>
  <c r="H24" i="56" s="1"/>
  <c r="D23" i="56"/>
  <c r="D24" i="56" s="1"/>
  <c r="E45" i="56"/>
  <c r="E41" i="56"/>
  <c r="F38" i="56"/>
  <c r="F39" i="56" s="1"/>
  <c r="F129" i="56"/>
  <c r="F131" i="56" s="1"/>
  <c r="F133" i="56" s="1"/>
  <c r="F40" i="56" s="1"/>
  <c r="C31" i="56"/>
  <c r="D112" i="56"/>
  <c r="D129" i="56"/>
  <c r="D131" i="56" s="1"/>
  <c r="D133" i="56" s="1"/>
  <c r="D40" i="56" s="1"/>
  <c r="H33" i="56"/>
  <c r="E33" i="56"/>
  <c r="H31" i="56"/>
  <c r="E32" i="56"/>
  <c r="F10" i="56"/>
  <c r="C38" i="56"/>
  <c r="C39" i="56" s="1"/>
  <c r="E15" i="56"/>
  <c r="E34" i="56" s="1"/>
  <c r="D3" i="56"/>
  <c r="Q9" i="1" s="1"/>
  <c r="S9" i="1" s="1"/>
  <c r="E3" i="56"/>
  <c r="V9" i="1" s="1"/>
  <c r="X9" i="1" s="1"/>
  <c r="G14" i="54"/>
  <c r="E11" i="54"/>
  <c r="E32" i="54" s="1"/>
  <c r="C15" i="54"/>
  <c r="C18" i="54" s="1"/>
  <c r="C21" i="54" s="1"/>
  <c r="C22" i="54" s="1"/>
  <c r="G30" i="54"/>
  <c r="H108" i="54"/>
  <c r="I14" i="54"/>
  <c r="I32" i="54" s="1"/>
  <c r="F20" i="54"/>
  <c r="I11" i="54"/>
  <c r="G31" i="54"/>
  <c r="D15" i="54"/>
  <c r="D18" i="54" s="1"/>
  <c r="D21" i="54" s="1"/>
  <c r="D22" i="54" s="1"/>
  <c r="F30" i="54"/>
  <c r="D126" i="54"/>
  <c r="D128" i="54" s="1"/>
  <c r="D130" i="54" s="1"/>
  <c r="D38" i="54" s="1"/>
  <c r="D39" i="54" s="1"/>
  <c r="D36" i="54"/>
  <c r="D37" i="54" s="1"/>
  <c r="I31" i="54"/>
  <c r="G32" i="54"/>
  <c r="C53" i="54"/>
  <c r="H29" i="54"/>
  <c r="I22" i="54"/>
  <c r="I29" i="54"/>
  <c r="G20" i="54"/>
  <c r="C31" i="54"/>
  <c r="D11" i="54"/>
  <c r="D32" i="54" s="1"/>
  <c r="D14" i="54"/>
  <c r="E37" i="54"/>
  <c r="G36" i="54"/>
  <c r="G37" i="54" s="1"/>
  <c r="G126" i="54"/>
  <c r="G128" i="54" s="1"/>
  <c r="G130" i="54" s="1"/>
  <c r="G38" i="54" s="1"/>
  <c r="G21" i="54"/>
  <c r="H21" i="54"/>
  <c r="C126" i="54"/>
  <c r="C128" i="54" s="1"/>
  <c r="C130" i="54" s="1"/>
  <c r="C38" i="54" s="1"/>
  <c r="C36" i="54"/>
  <c r="C37" i="54" s="1"/>
  <c r="H36" i="54"/>
  <c r="H37" i="54" s="1"/>
  <c r="H126" i="54"/>
  <c r="H128" i="54" s="1"/>
  <c r="H130" i="54" s="1"/>
  <c r="H38" i="54" s="1"/>
  <c r="D41" i="54"/>
  <c r="E21" i="54"/>
  <c r="F126" i="54"/>
  <c r="F128" i="54" s="1"/>
  <c r="F130" i="54" s="1"/>
  <c r="F38" i="54" s="1"/>
  <c r="F36" i="54"/>
  <c r="F37" i="54" s="1"/>
  <c r="C11" i="54"/>
  <c r="C32" i="54" s="1"/>
  <c r="H14" i="54"/>
  <c r="H32" i="54" s="1"/>
  <c r="D31" i="54"/>
  <c r="G108" i="54"/>
  <c r="F15" i="54"/>
  <c r="F18" i="54" s="1"/>
  <c r="I37" i="54"/>
  <c r="D3" i="54"/>
  <c r="Q38" i="1" s="1"/>
  <c r="S38" i="1" s="1"/>
  <c r="I30" i="54"/>
  <c r="C30" i="54"/>
  <c r="D29" i="54"/>
  <c r="F29" i="54"/>
  <c r="C29" i="54"/>
  <c r="E20" i="54"/>
  <c r="E22" i="54" s="1"/>
  <c r="H31" i="54"/>
  <c r="H30" i="54"/>
  <c r="E126" i="54"/>
  <c r="E128" i="54" s="1"/>
  <c r="E130" i="54" s="1"/>
  <c r="E38" i="54" s="1"/>
  <c r="F14" i="54"/>
  <c r="F32" i="54" s="1"/>
  <c r="F31" i="54"/>
  <c r="C51" i="54"/>
  <c r="H20" i="54"/>
  <c r="E3" i="54"/>
  <c r="D22" i="52"/>
  <c r="H32" i="52"/>
  <c r="I31" i="52"/>
  <c r="G31" i="52"/>
  <c r="H126" i="52"/>
  <c r="H128" i="52" s="1"/>
  <c r="H131" i="52" s="1"/>
  <c r="H38" i="52" s="1"/>
  <c r="H36" i="52"/>
  <c r="H37" i="52" s="1"/>
  <c r="D126" i="52"/>
  <c r="D128" i="52" s="1"/>
  <c r="D131" i="52" s="1"/>
  <c r="D38" i="52" s="1"/>
  <c r="D41" i="52" s="1"/>
  <c r="D36" i="52"/>
  <c r="D37" i="52" s="1"/>
  <c r="E126" i="52"/>
  <c r="E128" i="52" s="1"/>
  <c r="E131" i="52" s="1"/>
  <c r="E38" i="52" s="1"/>
  <c r="E41" i="52" s="1"/>
  <c r="E36" i="52"/>
  <c r="E37" i="52" s="1"/>
  <c r="D3" i="52"/>
  <c r="Q25" i="1" s="1"/>
  <c r="S25" i="1" s="1"/>
  <c r="F50" i="52"/>
  <c r="G22" i="52"/>
  <c r="D50" i="52"/>
  <c r="G30" i="52"/>
  <c r="G29" i="52"/>
  <c r="F14" i="52"/>
  <c r="F31" i="52"/>
  <c r="G14" i="52"/>
  <c r="F44" i="52"/>
  <c r="F52" i="52" s="1"/>
  <c r="C32" i="52"/>
  <c r="H108" i="52"/>
  <c r="H22" i="52"/>
  <c r="D39" i="52"/>
  <c r="C21" i="52"/>
  <c r="C22" i="52" s="1"/>
  <c r="E21" i="52"/>
  <c r="F41" i="52"/>
  <c r="F39" i="52"/>
  <c r="G32" i="52"/>
  <c r="G126" i="52"/>
  <c r="G128" i="52" s="1"/>
  <c r="G131" i="52" s="1"/>
  <c r="G38" i="52" s="1"/>
  <c r="G36" i="52"/>
  <c r="G37" i="52" s="1"/>
  <c r="C36" i="52"/>
  <c r="C37" i="52" s="1"/>
  <c r="C126" i="52"/>
  <c r="C128" i="52" s="1"/>
  <c r="C131" i="52" s="1"/>
  <c r="C38" i="52" s="1"/>
  <c r="D29" i="52"/>
  <c r="F21" i="52"/>
  <c r="F22" i="52" s="1"/>
  <c r="C108" i="52"/>
  <c r="C50" i="52"/>
  <c r="D11" i="52"/>
  <c r="D32" i="52" s="1"/>
  <c r="I14" i="52"/>
  <c r="I32" i="52" s="1"/>
  <c r="I37" i="52"/>
  <c r="F11" i="52"/>
  <c r="F32" i="52" s="1"/>
  <c r="F30" i="52"/>
  <c r="I39" i="52"/>
  <c r="E30" i="52"/>
  <c r="F29" i="52"/>
  <c r="I50" i="52"/>
  <c r="E20" i="52"/>
  <c r="D45" i="52"/>
  <c r="E31" i="52"/>
  <c r="E11" i="52"/>
  <c r="E32" i="52" s="1"/>
  <c r="H50" i="52"/>
  <c r="G50" i="52"/>
  <c r="D44" i="52"/>
  <c r="D52" i="52" s="1"/>
  <c r="F45" i="52"/>
  <c r="F36" i="52"/>
  <c r="F37" i="52" s="1"/>
  <c r="G44" i="52"/>
  <c r="C129" i="51"/>
  <c r="C131" i="51" s="1"/>
  <c r="C133" i="51" s="1"/>
  <c r="C40" i="51" s="1"/>
  <c r="C38" i="51"/>
  <c r="C39" i="51" s="1"/>
  <c r="F32" i="51"/>
  <c r="F129" i="51"/>
  <c r="F131" i="51" s="1"/>
  <c r="F133" i="51" s="1"/>
  <c r="F40" i="51" s="1"/>
  <c r="E123" i="51"/>
  <c r="E34" i="51"/>
  <c r="F15" i="51"/>
  <c r="F34" i="51" s="1"/>
  <c r="C34" i="51"/>
  <c r="H10" i="51"/>
  <c r="F33" i="51"/>
  <c r="D32" i="51"/>
  <c r="G10" i="51"/>
  <c r="D10" i="51"/>
  <c r="I12" i="51"/>
  <c r="G15" i="51"/>
  <c r="G34" i="51" s="1"/>
  <c r="G123" i="51"/>
  <c r="G38" i="51" s="1"/>
  <c r="G39" i="51" s="1"/>
  <c r="E32" i="51"/>
  <c r="E10" i="51"/>
  <c r="C32" i="51"/>
  <c r="H15" i="51"/>
  <c r="E31" i="51"/>
  <c r="I10" i="51"/>
  <c r="C10" i="51"/>
  <c r="C23" i="51"/>
  <c r="C54" i="51"/>
  <c r="C22" i="51"/>
  <c r="D54" i="51"/>
  <c r="D22" i="51"/>
  <c r="E38" i="51"/>
  <c r="E39" i="51" s="1"/>
  <c r="E129" i="51"/>
  <c r="E131" i="51" s="1"/>
  <c r="E133" i="51" s="1"/>
  <c r="E40" i="51" s="1"/>
  <c r="F45" i="51"/>
  <c r="F41" i="51"/>
  <c r="C41" i="51"/>
  <c r="C45" i="51"/>
  <c r="D41" i="51"/>
  <c r="D45" i="51"/>
  <c r="H23" i="51"/>
  <c r="H24" i="51" s="1"/>
  <c r="E3" i="51"/>
  <c r="G56" i="51"/>
  <c r="C57" i="51" s="1"/>
  <c r="F23" i="51"/>
  <c r="F24" i="51" s="1"/>
  <c r="E23" i="51"/>
  <c r="E24" i="51" s="1"/>
  <c r="D23" i="51"/>
  <c r="D3" i="51"/>
  <c r="Q31" i="1" s="1"/>
  <c r="S31" i="1" s="1"/>
  <c r="F10" i="51"/>
  <c r="H112" i="51"/>
  <c r="D31" i="51"/>
  <c r="D15" i="51"/>
  <c r="D34" i="51" s="1"/>
  <c r="F54" i="51"/>
  <c r="G16" i="51"/>
  <c r="G19" i="51" s="1"/>
  <c r="G20" i="51" s="1"/>
  <c r="H12" i="51"/>
  <c r="H32" i="51"/>
  <c r="C31" i="51"/>
  <c r="H31" i="51"/>
  <c r="D38" i="51"/>
  <c r="D39" i="51" s="1"/>
  <c r="H33" i="51"/>
  <c r="E33" i="51"/>
  <c r="I22" i="51"/>
  <c r="I54" i="51"/>
  <c r="C55" i="51" s="1"/>
  <c r="E54" i="51"/>
  <c r="H129" i="51"/>
  <c r="H131" i="51" s="1"/>
  <c r="H133" i="51" s="1"/>
  <c r="H40" i="51" s="1"/>
  <c r="C33" i="51"/>
  <c r="I45" i="51"/>
  <c r="G22" i="51"/>
  <c r="D11" i="50"/>
  <c r="E30" i="50"/>
  <c r="C53" i="50"/>
  <c r="E31" i="50"/>
  <c r="H15" i="50"/>
  <c r="H18" i="50" s="1"/>
  <c r="E120" i="50"/>
  <c r="D32" i="50"/>
  <c r="F31" i="50"/>
  <c r="I20" i="50"/>
  <c r="G29" i="50"/>
  <c r="C51" i="50"/>
  <c r="D31" i="50"/>
  <c r="C11" i="50"/>
  <c r="C32" i="50" s="1"/>
  <c r="E11" i="50"/>
  <c r="C126" i="50"/>
  <c r="C128" i="50" s="1"/>
  <c r="C130" i="50" s="1"/>
  <c r="C38" i="50" s="1"/>
  <c r="C41" i="50" s="1"/>
  <c r="C36" i="50"/>
  <c r="C37" i="50" s="1"/>
  <c r="H14" i="50"/>
  <c r="H32" i="50" s="1"/>
  <c r="I30" i="50"/>
  <c r="F120" i="50"/>
  <c r="F126" i="50" s="1"/>
  <c r="F128" i="50" s="1"/>
  <c r="F130" i="50" s="1"/>
  <c r="F38" i="50" s="1"/>
  <c r="F29" i="50"/>
  <c r="C29" i="50"/>
  <c r="H120" i="50"/>
  <c r="H126" i="50" s="1"/>
  <c r="H128" i="50" s="1"/>
  <c r="H130" i="50" s="1"/>
  <c r="H38" i="50" s="1"/>
  <c r="D3" i="50"/>
  <c r="Q35" i="1" s="1"/>
  <c r="S35" i="1" s="1"/>
  <c r="G14" i="50"/>
  <c r="G32" i="50" s="1"/>
  <c r="G31" i="50"/>
  <c r="F30" i="50"/>
  <c r="G30" i="50"/>
  <c r="E14" i="50"/>
  <c r="E32" i="50" s="1"/>
  <c r="E3" i="50"/>
  <c r="E21" i="50"/>
  <c r="E22" i="50" s="1"/>
  <c r="D36" i="50"/>
  <c r="D37" i="50" s="1"/>
  <c r="D126" i="50"/>
  <c r="D128" i="50" s="1"/>
  <c r="D130" i="50" s="1"/>
  <c r="D38" i="50" s="1"/>
  <c r="E36" i="50"/>
  <c r="E37" i="50" s="1"/>
  <c r="E126" i="50"/>
  <c r="E128" i="50" s="1"/>
  <c r="E130" i="50" s="1"/>
  <c r="E38" i="50" s="1"/>
  <c r="H36" i="50"/>
  <c r="H37" i="50" s="1"/>
  <c r="F21" i="50"/>
  <c r="H21" i="50"/>
  <c r="H22" i="50" s="1"/>
  <c r="C39" i="50"/>
  <c r="D21" i="50"/>
  <c r="D22" i="50" s="1"/>
  <c r="G39" i="50"/>
  <c r="C21" i="50"/>
  <c r="C22" i="50" s="1"/>
  <c r="G20" i="50"/>
  <c r="G15" i="50"/>
  <c r="G18" i="50" s="1"/>
  <c r="I31" i="50"/>
  <c r="I29" i="50"/>
  <c r="H29" i="50"/>
  <c r="C30" i="50"/>
  <c r="C109" i="50"/>
  <c r="F20" i="50"/>
  <c r="F22" i="50" s="1"/>
  <c r="H30" i="50"/>
  <c r="H31" i="50"/>
  <c r="E36" i="49"/>
  <c r="E37" i="49" s="1"/>
  <c r="E133" i="49"/>
  <c r="E136" i="49" s="1"/>
  <c r="E138" i="49" s="1"/>
  <c r="E38" i="49" s="1"/>
  <c r="F133" i="49"/>
  <c r="F136" i="49" s="1"/>
  <c r="F138" i="49" s="1"/>
  <c r="F38" i="49" s="1"/>
  <c r="F36" i="49"/>
  <c r="E31" i="49"/>
  <c r="C31" i="49"/>
  <c r="E15" i="49"/>
  <c r="E18" i="49" s="1"/>
  <c r="F14" i="49"/>
  <c r="F32" i="49" s="1"/>
  <c r="I39" i="49"/>
  <c r="H29" i="49"/>
  <c r="E11" i="49"/>
  <c r="E32" i="49" s="1"/>
  <c r="D31" i="49"/>
  <c r="G11" i="49"/>
  <c r="F22" i="49"/>
  <c r="C133" i="49"/>
  <c r="C136" i="49" s="1"/>
  <c r="C138" i="49" s="1"/>
  <c r="C38" i="49" s="1"/>
  <c r="C39" i="49" s="1"/>
  <c r="C36" i="49"/>
  <c r="C37" i="49" s="1"/>
  <c r="C29" i="49"/>
  <c r="D29" i="49"/>
  <c r="C30" i="49"/>
  <c r="G31" i="49"/>
  <c r="G32" i="49"/>
  <c r="G45" i="49"/>
  <c r="C20" i="49"/>
  <c r="D37" i="49"/>
  <c r="H31" i="49"/>
  <c r="D11" i="49"/>
  <c r="D32" i="49" s="1"/>
  <c r="C32" i="49"/>
  <c r="F37" i="49"/>
  <c r="H133" i="49"/>
  <c r="H136" i="49" s="1"/>
  <c r="H138" i="49" s="1"/>
  <c r="H38" i="49" s="1"/>
  <c r="H36" i="49"/>
  <c r="H37" i="49" s="1"/>
  <c r="D20" i="49"/>
  <c r="G133" i="49"/>
  <c r="G136" i="49" s="1"/>
  <c r="G138" i="49" s="1"/>
  <c r="G38" i="49" s="1"/>
  <c r="G36" i="49"/>
  <c r="G37" i="49" s="1"/>
  <c r="C41" i="49"/>
  <c r="E21" i="49"/>
  <c r="H21" i="49"/>
  <c r="G21" i="49"/>
  <c r="G22" i="49" s="1"/>
  <c r="H22" i="49"/>
  <c r="C21" i="49"/>
  <c r="F41" i="49"/>
  <c r="F39" i="49"/>
  <c r="D21" i="49"/>
  <c r="F31" i="49"/>
  <c r="H30" i="49"/>
  <c r="G58" i="49"/>
  <c r="O18" i="1" s="1"/>
  <c r="E20" i="49"/>
  <c r="H14" i="49"/>
  <c r="H32" i="49" s="1"/>
  <c r="F29" i="49"/>
  <c r="D133" i="49"/>
  <c r="D136" i="49" s="1"/>
  <c r="D138" i="49" s="1"/>
  <c r="D38" i="49" s="1"/>
  <c r="E39" i="49"/>
  <c r="F15" i="25"/>
  <c r="C31" i="25"/>
  <c r="E15" i="25"/>
  <c r="E33" i="25" s="1"/>
  <c r="F31" i="25"/>
  <c r="G40" i="25"/>
  <c r="I40" i="25"/>
  <c r="C38" i="25"/>
  <c r="F30" i="25"/>
  <c r="I32" i="25"/>
  <c r="G15" i="25"/>
  <c r="C55" i="25"/>
  <c r="H32" i="25"/>
  <c r="C32" i="25"/>
  <c r="E52" i="25"/>
  <c r="E21" i="25"/>
  <c r="E23" i="25" s="1"/>
  <c r="H10" i="25"/>
  <c r="D38" i="25"/>
  <c r="F12" i="25"/>
  <c r="F33" i="25" s="1"/>
  <c r="F10" i="25"/>
  <c r="C15" i="25"/>
  <c r="C33" i="25" s="1"/>
  <c r="D31" i="25"/>
  <c r="E3" i="25"/>
  <c r="F38" i="25"/>
  <c r="I21" i="25"/>
  <c r="C30" i="25"/>
  <c r="I42" i="25"/>
  <c r="I25" i="25" s="1"/>
  <c r="I28" i="25" s="1"/>
  <c r="D3" i="25"/>
  <c r="C53" i="25"/>
  <c r="C36" i="26"/>
  <c r="C37" i="26" s="1"/>
  <c r="C126" i="26"/>
  <c r="C128" i="26" s="1"/>
  <c r="C38" i="26" s="1"/>
  <c r="G20" i="26"/>
  <c r="H29" i="26"/>
  <c r="H44" i="26"/>
  <c r="H52" i="26" s="1"/>
  <c r="C53" i="26" s="1"/>
  <c r="C14" i="26"/>
  <c r="E29" i="26"/>
  <c r="F22" i="26"/>
  <c r="D29" i="26"/>
  <c r="I39" i="26"/>
  <c r="H30" i="26"/>
  <c r="C20" i="26"/>
  <c r="D20" i="26"/>
  <c r="F14" i="26"/>
  <c r="F11" i="26"/>
  <c r="E20" i="26"/>
  <c r="H126" i="26"/>
  <c r="H128" i="26" s="1"/>
  <c r="H38" i="26" s="1"/>
  <c r="H36" i="26"/>
  <c r="H37" i="26" s="1"/>
  <c r="D30" i="26"/>
  <c r="E30" i="26"/>
  <c r="E11" i="26"/>
  <c r="E32" i="26" s="1"/>
  <c r="G31" i="26"/>
  <c r="E31" i="26"/>
  <c r="I20" i="26"/>
  <c r="I22" i="26" s="1"/>
  <c r="H32" i="26"/>
  <c r="G14" i="26"/>
  <c r="C11" i="26"/>
  <c r="D14" i="26"/>
  <c r="D11" i="26"/>
  <c r="G21" i="26"/>
  <c r="G22" i="26" s="1"/>
  <c r="C21" i="26"/>
  <c r="C22" i="26" s="1"/>
  <c r="H21" i="26"/>
  <c r="H22" i="26" s="1"/>
  <c r="H39" i="26"/>
  <c r="H41" i="26"/>
  <c r="G36" i="26"/>
  <c r="G37" i="26" s="1"/>
  <c r="G126" i="26"/>
  <c r="G128" i="26" s="1"/>
  <c r="G38" i="26" s="1"/>
  <c r="D21" i="26"/>
  <c r="D22" i="26" s="1"/>
  <c r="E21" i="26"/>
  <c r="E22" i="26" s="1"/>
  <c r="F41" i="26"/>
  <c r="F39" i="26"/>
  <c r="E126" i="26"/>
  <c r="E128" i="26" s="1"/>
  <c r="E38" i="26" s="1"/>
  <c r="E36" i="26"/>
  <c r="E37" i="26" s="1"/>
  <c r="D126" i="26"/>
  <c r="D128" i="26" s="1"/>
  <c r="D38" i="26" s="1"/>
  <c r="D36" i="26"/>
  <c r="D37" i="26" s="1"/>
  <c r="C41" i="26"/>
  <c r="C39" i="26"/>
  <c r="G30" i="26"/>
  <c r="D3" i="26"/>
  <c r="S12" i="1" s="1"/>
  <c r="C29" i="26"/>
  <c r="C31" i="26"/>
  <c r="F36" i="26"/>
  <c r="F37" i="26" s="1"/>
  <c r="G11" i="26"/>
  <c r="G29" i="26"/>
  <c r="E3" i="26"/>
  <c r="H50" i="26"/>
  <c r="C51" i="26" s="1"/>
  <c r="C31" i="41"/>
  <c r="H31" i="41"/>
  <c r="G34" i="41"/>
  <c r="C32" i="41"/>
  <c r="H41" i="41"/>
  <c r="D34" i="41"/>
  <c r="E17" i="41"/>
  <c r="E20" i="41" s="1"/>
  <c r="E23" i="41" s="1"/>
  <c r="G17" i="41"/>
  <c r="G20" i="41" s="1"/>
  <c r="G23" i="41" s="1"/>
  <c r="E34" i="41"/>
  <c r="G39" i="41"/>
  <c r="E43" i="41"/>
  <c r="E25" i="41" s="1"/>
  <c r="E27" i="41" s="1"/>
  <c r="H22" i="41"/>
  <c r="C140" i="41"/>
  <c r="C38" i="41"/>
  <c r="C39" i="41" s="1"/>
  <c r="D38" i="41"/>
  <c r="D39" i="41" s="1"/>
  <c r="D140" i="41"/>
  <c r="F140" i="41"/>
  <c r="F38" i="41"/>
  <c r="F39" i="41" s="1"/>
  <c r="C17" i="41"/>
  <c r="C20" i="41" s="1"/>
  <c r="C23" i="41" s="1"/>
  <c r="D24" i="41"/>
  <c r="H34" i="41"/>
  <c r="F123" i="41"/>
  <c r="D3" i="41"/>
  <c r="C3" i="41" s="1"/>
  <c r="I41" i="41"/>
  <c r="E32" i="41"/>
  <c r="F31" i="41"/>
  <c r="F34" i="41"/>
  <c r="C46" i="41"/>
  <c r="G41" i="38"/>
  <c r="E3" i="38"/>
  <c r="E58" i="38"/>
  <c r="E22" i="38"/>
  <c r="C38" i="38"/>
  <c r="C39" i="38" s="1"/>
  <c r="E34" i="38"/>
  <c r="D34" i="38"/>
  <c r="C34" i="38"/>
  <c r="F34" i="38"/>
  <c r="F43" i="38"/>
  <c r="O14" i="1"/>
  <c r="C43" i="38"/>
  <c r="C25" i="38" s="1"/>
  <c r="G17" i="38"/>
  <c r="G20" i="38" s="1"/>
  <c r="D17" i="38"/>
  <c r="C31" i="38"/>
  <c r="F41" i="38"/>
  <c r="G34" i="38"/>
  <c r="F22" i="38"/>
  <c r="F24" i="38" s="1"/>
  <c r="E38" i="38"/>
  <c r="E39" i="38" s="1"/>
  <c r="E23" i="38"/>
  <c r="E24" i="38" s="1"/>
  <c r="F38" i="38"/>
  <c r="F39" i="38" s="1"/>
  <c r="G38" i="38"/>
  <c r="G39" i="38" s="1"/>
  <c r="D22" i="38"/>
  <c r="H38" i="38"/>
  <c r="H39" i="38" s="1"/>
  <c r="C27" i="38"/>
  <c r="C26" i="38"/>
  <c r="C29" i="38" s="1"/>
  <c r="C23" i="38"/>
  <c r="H34" i="38"/>
  <c r="G23" i="38"/>
  <c r="D38" i="38"/>
  <c r="D39" i="38" s="1"/>
  <c r="H23" i="38"/>
  <c r="G31" i="38"/>
  <c r="H22" i="38"/>
  <c r="D31" i="38"/>
  <c r="G42" i="38"/>
  <c r="E43" i="38"/>
  <c r="G43" i="38"/>
  <c r="D3" i="38"/>
  <c r="G12" i="13"/>
  <c r="D32" i="13"/>
  <c r="E35" i="13"/>
  <c r="F12" i="13"/>
  <c r="C32" i="13"/>
  <c r="D15" i="13"/>
  <c r="D34" i="13"/>
  <c r="D12" i="13"/>
  <c r="G32" i="13"/>
  <c r="M15" i="1"/>
  <c r="D33" i="13"/>
  <c r="C15" i="13"/>
  <c r="F15" i="13"/>
  <c r="H35" i="13"/>
  <c r="G15" i="13"/>
  <c r="F32" i="13"/>
  <c r="I19" i="13"/>
  <c r="I20" i="13" s="1"/>
  <c r="I46" i="13"/>
  <c r="I78" i="13" s="1"/>
  <c r="C79" i="13" s="1"/>
  <c r="C47" i="13"/>
  <c r="F19" i="13"/>
  <c r="F20" i="13" s="1"/>
  <c r="I12" i="13"/>
  <c r="E19" i="13"/>
  <c r="E20" i="13" s="1"/>
  <c r="D19" i="13"/>
  <c r="D20" i="13" s="1"/>
  <c r="G35" i="13"/>
  <c r="C42" i="13"/>
  <c r="F33" i="13"/>
  <c r="F34" i="13"/>
  <c r="C125" i="40"/>
  <c r="C127" i="40" s="1"/>
  <c r="C129" i="40" s="1"/>
  <c r="C38" i="40" s="1"/>
  <c r="G50" i="40"/>
  <c r="D32" i="40"/>
  <c r="E32" i="40"/>
  <c r="D30" i="40"/>
  <c r="G14" i="40"/>
  <c r="G32" i="40" s="1"/>
  <c r="C53" i="40"/>
  <c r="G29" i="40"/>
  <c r="I14" i="40"/>
  <c r="I32" i="40" s="1"/>
  <c r="E29" i="40"/>
  <c r="H14" i="40"/>
  <c r="H32" i="40" s="1"/>
  <c r="H22" i="40"/>
  <c r="E36" i="40"/>
  <c r="E37" i="40" s="1"/>
  <c r="E125" i="40"/>
  <c r="E127" i="40" s="1"/>
  <c r="E129" i="40" s="1"/>
  <c r="E38" i="40" s="1"/>
  <c r="C32" i="40"/>
  <c r="E31" i="40"/>
  <c r="F20" i="40"/>
  <c r="C50" i="40"/>
  <c r="H50" i="40"/>
  <c r="E50" i="40"/>
  <c r="H29" i="40"/>
  <c r="F29" i="40"/>
  <c r="D44" i="40"/>
  <c r="D52" i="40" s="1"/>
  <c r="E44" i="40"/>
  <c r="E52" i="40" s="1"/>
  <c r="H125" i="40"/>
  <c r="H127" i="40" s="1"/>
  <c r="H129" i="40" s="1"/>
  <c r="H38" i="40" s="1"/>
  <c r="C29" i="40"/>
  <c r="D31" i="40"/>
  <c r="F14" i="40"/>
  <c r="F32" i="40" s="1"/>
  <c r="C39" i="40"/>
  <c r="C41" i="40"/>
  <c r="E39" i="40"/>
  <c r="E41" i="40"/>
  <c r="G21" i="40"/>
  <c r="G22" i="40" s="1"/>
  <c r="F21" i="40"/>
  <c r="F22" i="40" s="1"/>
  <c r="D125" i="40"/>
  <c r="D127" i="40" s="1"/>
  <c r="D129" i="40" s="1"/>
  <c r="D38" i="40" s="1"/>
  <c r="D36" i="40"/>
  <c r="D37" i="40" s="1"/>
  <c r="H41" i="40"/>
  <c r="H39" i="40"/>
  <c r="F36" i="40"/>
  <c r="F37" i="40" s="1"/>
  <c r="F125" i="40"/>
  <c r="F127" i="40" s="1"/>
  <c r="F129" i="40" s="1"/>
  <c r="F38" i="40" s="1"/>
  <c r="D21" i="40"/>
  <c r="D22" i="40" s="1"/>
  <c r="G36" i="40"/>
  <c r="G37" i="40" s="1"/>
  <c r="G125" i="40"/>
  <c r="G127" i="40" s="1"/>
  <c r="G129" i="40" s="1"/>
  <c r="G38" i="40" s="1"/>
  <c r="C21" i="40"/>
  <c r="C22" i="40" s="1"/>
  <c r="C51" i="40"/>
  <c r="G31" i="40"/>
  <c r="C45" i="40"/>
  <c r="D3" i="40"/>
  <c r="Q37" i="1" s="1"/>
  <c r="S37" i="1" s="1"/>
  <c r="I39" i="40"/>
  <c r="F31" i="40"/>
  <c r="E3" i="40"/>
  <c r="H14" i="23"/>
  <c r="C36" i="23"/>
  <c r="D11" i="23"/>
  <c r="E140" i="23"/>
  <c r="E142" i="23" s="1"/>
  <c r="E144" i="23" s="1"/>
  <c r="E38" i="23" s="1"/>
  <c r="E41" i="23" s="1"/>
  <c r="E36" i="23"/>
  <c r="E37" i="23" s="1"/>
  <c r="F122" i="23"/>
  <c r="I15" i="23"/>
  <c r="I18" i="23" s="1"/>
  <c r="D32" i="23"/>
  <c r="F31" i="23"/>
  <c r="C11" i="23"/>
  <c r="C32" i="23" s="1"/>
  <c r="D22" i="23"/>
  <c r="G15" i="23"/>
  <c r="G18" i="23" s="1"/>
  <c r="G21" i="23" s="1"/>
  <c r="G22" i="23" s="1"/>
  <c r="G32" i="23"/>
  <c r="F11" i="23"/>
  <c r="F32" i="23" s="1"/>
  <c r="C37" i="23"/>
  <c r="G36" i="23"/>
  <c r="G37" i="23" s="1"/>
  <c r="G140" i="23"/>
  <c r="G142" i="23" s="1"/>
  <c r="G144" i="23" s="1"/>
  <c r="G38" i="23" s="1"/>
  <c r="F39" i="23"/>
  <c r="F41" i="23"/>
  <c r="F22" i="23"/>
  <c r="H41" i="23"/>
  <c r="H39" i="23"/>
  <c r="H21" i="23"/>
  <c r="E39" i="23"/>
  <c r="D39" i="23"/>
  <c r="D41" i="23"/>
  <c r="C39" i="23"/>
  <c r="C41" i="23"/>
  <c r="F29" i="23"/>
  <c r="H31" i="23"/>
  <c r="H20" i="23"/>
  <c r="H22" i="23" s="1"/>
  <c r="I30" i="23"/>
  <c r="I36" i="23"/>
  <c r="I37" i="23" s="1"/>
  <c r="I140" i="23"/>
  <c r="I142" i="23" s="1"/>
  <c r="I144" i="23" s="1"/>
  <c r="I38" i="23" s="1"/>
  <c r="I39" i="23" s="1"/>
  <c r="H11" i="23"/>
  <c r="H32" i="23" s="1"/>
  <c r="F30" i="23"/>
  <c r="C57" i="23"/>
  <c r="M32" i="1" s="1"/>
  <c r="I31" i="23"/>
  <c r="C59" i="23"/>
  <c r="O32" i="1" s="1"/>
  <c r="D3" i="23"/>
  <c r="G29" i="11"/>
  <c r="C11" i="11"/>
  <c r="H30" i="11"/>
  <c r="H31" i="11"/>
  <c r="G30" i="11"/>
  <c r="H29" i="11"/>
  <c r="D37" i="11"/>
  <c r="G31" i="11"/>
  <c r="G27" i="11"/>
  <c r="G25" i="11"/>
  <c r="G26" i="11" s="1"/>
  <c r="G21" i="11"/>
  <c r="H27" i="11"/>
  <c r="H21" i="11"/>
  <c r="H22" i="11" s="1"/>
  <c r="H25" i="11"/>
  <c r="E11" i="11"/>
  <c r="E14" i="11"/>
  <c r="E32" i="11" s="1"/>
  <c r="C31" i="11"/>
  <c r="D30" i="11"/>
  <c r="M27" i="1"/>
  <c r="F36" i="11"/>
  <c r="F37" i="11" s="1"/>
  <c r="H36" i="11"/>
  <c r="H37" i="11" s="1"/>
  <c r="G131" i="11"/>
  <c r="G133" i="11" s="1"/>
  <c r="G38" i="11" s="1"/>
  <c r="G36" i="11"/>
  <c r="G37" i="11" s="1"/>
  <c r="H41" i="11"/>
  <c r="H60" i="11" s="1"/>
  <c r="H39" i="11"/>
  <c r="C36" i="11"/>
  <c r="C37" i="11" s="1"/>
  <c r="C131" i="11"/>
  <c r="C133" i="11" s="1"/>
  <c r="C38" i="11" s="1"/>
  <c r="E21" i="11"/>
  <c r="E22" i="11" s="1"/>
  <c r="E131" i="11"/>
  <c r="E133" i="11" s="1"/>
  <c r="E38" i="11" s="1"/>
  <c r="E36" i="11"/>
  <c r="E37" i="11" s="1"/>
  <c r="F21" i="11"/>
  <c r="F22" i="11" s="1"/>
  <c r="F41" i="11"/>
  <c r="F39" i="11"/>
  <c r="F29" i="11"/>
  <c r="G58" i="11"/>
  <c r="O27" i="1" s="1"/>
  <c r="F14" i="11"/>
  <c r="F32" i="11" s="1"/>
  <c r="E31" i="11"/>
  <c r="G20" i="11"/>
  <c r="Q27" i="1"/>
  <c r="S27" i="1" s="1"/>
  <c r="D29" i="11"/>
  <c r="C20" i="11"/>
  <c r="C22" i="11" s="1"/>
  <c r="C29" i="11"/>
  <c r="F31" i="11"/>
  <c r="D131" i="11"/>
  <c r="D133" i="11" s="1"/>
  <c r="D38" i="11" s="1"/>
  <c r="E30" i="11"/>
  <c r="D14" i="11"/>
  <c r="D32" i="11" s="1"/>
  <c r="C14" i="11"/>
  <c r="C32" i="11" s="1"/>
  <c r="G29" i="12"/>
  <c r="H31" i="12"/>
  <c r="F29" i="12"/>
  <c r="H30" i="12"/>
  <c r="C57" i="12"/>
  <c r="M17" i="1" s="1"/>
  <c r="E29" i="12"/>
  <c r="I14" i="12"/>
  <c r="E11" i="12"/>
  <c r="C31" i="12"/>
  <c r="H11" i="12"/>
  <c r="H32" i="12" s="1"/>
  <c r="F14" i="12"/>
  <c r="F32" i="12" s="1"/>
  <c r="G25" i="12"/>
  <c r="G27" i="12"/>
  <c r="H29" i="12"/>
  <c r="D11" i="12"/>
  <c r="C20" i="12"/>
  <c r="F30" i="12"/>
  <c r="E14" i="12"/>
  <c r="G31" i="12"/>
  <c r="E31" i="12"/>
  <c r="C29" i="12"/>
  <c r="E22" i="12"/>
  <c r="D3" i="12"/>
  <c r="I31" i="12"/>
  <c r="I41" i="12"/>
  <c r="I60" i="12" s="1"/>
  <c r="G39" i="12"/>
  <c r="G41" i="12"/>
  <c r="D32" i="12"/>
  <c r="C21" i="12"/>
  <c r="C22" i="12" s="1"/>
  <c r="H130" i="12"/>
  <c r="H132" i="12" s="1"/>
  <c r="H38" i="12" s="1"/>
  <c r="H36" i="12"/>
  <c r="H37" i="12" s="1"/>
  <c r="E32" i="12"/>
  <c r="D21" i="12"/>
  <c r="C41" i="12"/>
  <c r="C39" i="12"/>
  <c r="F41" i="12"/>
  <c r="F39" i="12"/>
  <c r="F21" i="12"/>
  <c r="H27" i="12"/>
  <c r="H25" i="12"/>
  <c r="H26" i="12" s="1"/>
  <c r="H21" i="12"/>
  <c r="H22" i="12" s="1"/>
  <c r="D36" i="12"/>
  <c r="D37" i="12" s="1"/>
  <c r="D130" i="12"/>
  <c r="D132" i="12" s="1"/>
  <c r="D38" i="12" s="1"/>
  <c r="E130" i="12"/>
  <c r="E132" i="12" s="1"/>
  <c r="E38" i="12" s="1"/>
  <c r="E36" i="12"/>
  <c r="E37" i="12" s="1"/>
  <c r="D31" i="12"/>
  <c r="C36" i="12"/>
  <c r="C37" i="12" s="1"/>
  <c r="G21" i="12"/>
  <c r="G22" i="12" s="1"/>
  <c r="G58" i="12"/>
  <c r="C59" i="12" s="1"/>
  <c r="O17" i="1" s="1"/>
  <c r="D30" i="12"/>
  <c r="I20" i="12"/>
  <c r="C30" i="12"/>
  <c r="F20" i="12"/>
  <c r="F22" i="12" s="1"/>
  <c r="F36" i="12"/>
  <c r="F37" i="12" s="1"/>
  <c r="F31" i="12"/>
  <c r="I30" i="12"/>
  <c r="I29" i="12"/>
  <c r="D29" i="12"/>
  <c r="D20" i="12"/>
  <c r="C14" i="12"/>
  <c r="C32" i="12" s="1"/>
  <c r="H11" i="16"/>
  <c r="C14" i="16"/>
  <c r="C32" i="16" s="1"/>
  <c r="F14" i="16"/>
  <c r="F32" i="16" s="1"/>
  <c r="D44" i="16"/>
  <c r="C58" i="16" s="1"/>
  <c r="H31" i="16"/>
  <c r="H30" i="16"/>
  <c r="H44" i="16"/>
  <c r="E31" i="16"/>
  <c r="G14" i="16"/>
  <c r="G32" i="16" s="1"/>
  <c r="E14" i="16"/>
  <c r="E32" i="16" s="1"/>
  <c r="G31" i="16"/>
  <c r="E29" i="16"/>
  <c r="H14" i="16"/>
  <c r="C37" i="16"/>
  <c r="C135" i="16"/>
  <c r="C137" i="16" s="1"/>
  <c r="C38" i="16" s="1"/>
  <c r="D135" i="16"/>
  <c r="D137" i="16" s="1"/>
  <c r="D38" i="16" s="1"/>
  <c r="D36" i="16"/>
  <c r="D37" i="16" s="1"/>
  <c r="E41" i="16"/>
  <c r="E39" i="16"/>
  <c r="F135" i="16"/>
  <c r="F137" i="16" s="1"/>
  <c r="F38" i="16" s="1"/>
  <c r="F36" i="16"/>
  <c r="F37" i="16" s="1"/>
  <c r="C21" i="16"/>
  <c r="C22" i="16" s="1"/>
  <c r="G135" i="16"/>
  <c r="G137" i="16" s="1"/>
  <c r="G38" i="16" s="1"/>
  <c r="G36" i="16"/>
  <c r="G37" i="16" s="1"/>
  <c r="H135" i="16"/>
  <c r="H137" i="16" s="1"/>
  <c r="H38" i="16" s="1"/>
  <c r="H36" i="16"/>
  <c r="H37" i="16" s="1"/>
  <c r="E21" i="16"/>
  <c r="E22" i="16" s="1"/>
  <c r="F21" i="16"/>
  <c r="F22" i="16" s="1"/>
  <c r="H32" i="16"/>
  <c r="G25" i="16"/>
  <c r="G27" i="16"/>
  <c r="G21" i="16"/>
  <c r="G22" i="16" s="1"/>
  <c r="H27" i="16"/>
  <c r="H21" i="16"/>
  <c r="H22" i="16" s="1"/>
  <c r="H25" i="16"/>
  <c r="H26" i="16" s="1"/>
  <c r="E36" i="16"/>
  <c r="E37" i="16" s="1"/>
  <c r="D29" i="16"/>
  <c r="D14" i="16"/>
  <c r="D32" i="16" s="1"/>
  <c r="H29" i="16"/>
  <c r="C30" i="16"/>
  <c r="F30" i="16"/>
  <c r="G44" i="16"/>
  <c r="G45" i="16"/>
  <c r="F58" i="16" s="1"/>
  <c r="D30" i="15"/>
  <c r="E30" i="15"/>
  <c r="G30" i="15"/>
  <c r="E31" i="15"/>
  <c r="C14" i="15"/>
  <c r="H11" i="15"/>
  <c r="H32" i="15" s="1"/>
  <c r="D10" i="87" s="1"/>
  <c r="D14" i="15"/>
  <c r="D32" i="15" s="1"/>
  <c r="G135" i="15"/>
  <c r="G137" i="15" s="1"/>
  <c r="G38" i="15" s="1"/>
  <c r="G36" i="15"/>
  <c r="G37" i="15" s="1"/>
  <c r="H135" i="15"/>
  <c r="H137" i="15" s="1"/>
  <c r="H38" i="15" s="1"/>
  <c r="H39" i="15" s="1"/>
  <c r="H36" i="15"/>
  <c r="H21" i="15"/>
  <c r="H25" i="15"/>
  <c r="D36" i="15"/>
  <c r="D37" i="15" s="1"/>
  <c r="D135" i="15"/>
  <c r="D137" i="15" s="1"/>
  <c r="D38" i="15" s="1"/>
  <c r="E45" i="15"/>
  <c r="D58" i="15" s="1"/>
  <c r="C31" i="15"/>
  <c r="D31" i="15"/>
  <c r="I39" i="15"/>
  <c r="C32" i="15"/>
  <c r="D29" i="15"/>
  <c r="H30" i="15"/>
  <c r="D8" i="87" s="1"/>
  <c r="I11" i="15"/>
  <c r="I32" i="15" s="1"/>
  <c r="E10" i="87" s="1"/>
  <c r="E14" i="15"/>
  <c r="F45" i="15"/>
  <c r="E58" i="15" s="1"/>
  <c r="G45" i="15"/>
  <c r="F58" i="15" s="1"/>
  <c r="G14" i="15"/>
  <c r="H29" i="15"/>
  <c r="D7" i="87" s="1"/>
  <c r="H31" i="15"/>
  <c r="D9" i="87" s="1"/>
  <c r="E11" i="15"/>
  <c r="C30" i="87"/>
  <c r="F30" i="87" s="1"/>
  <c r="C36" i="87" s="1"/>
  <c r="C37" i="87" s="1"/>
  <c r="D21" i="15"/>
  <c r="D22" i="15" s="1"/>
  <c r="E36" i="15"/>
  <c r="E37" i="15" s="1"/>
  <c r="E135" i="15"/>
  <c r="E137" i="15" s="1"/>
  <c r="E38" i="15" s="1"/>
  <c r="E21" i="15"/>
  <c r="E22" i="15" s="1"/>
  <c r="F21" i="15"/>
  <c r="F22" i="15" s="1"/>
  <c r="F41" i="15"/>
  <c r="F60" i="15" s="1"/>
  <c r="H22" i="15"/>
  <c r="D41" i="15"/>
  <c r="D39" i="15"/>
  <c r="C39" i="15"/>
  <c r="F11" i="15"/>
  <c r="F32" i="15" s="1"/>
  <c r="F31" i="15"/>
  <c r="G21" i="15"/>
  <c r="G22" i="15" s="1"/>
  <c r="G11" i="15"/>
  <c r="G32" i="15" s="1"/>
  <c r="I31" i="15"/>
  <c r="E9" i="87" s="1"/>
  <c r="F44" i="15"/>
  <c r="G27" i="15"/>
  <c r="G26" i="15" s="1"/>
  <c r="G29" i="15"/>
  <c r="I30" i="15"/>
  <c r="E8" i="87" s="1"/>
  <c r="H27" i="15"/>
  <c r="I41" i="15"/>
  <c r="I29" i="15"/>
  <c r="E7" i="87" s="1"/>
  <c r="F29" i="15"/>
  <c r="D31" i="22"/>
  <c r="H16" i="22"/>
  <c r="D32" i="22"/>
  <c r="G21" i="22"/>
  <c r="D16" i="22"/>
  <c r="D30" i="22"/>
  <c r="E16" i="22"/>
  <c r="E33" i="22"/>
  <c r="H33" i="22"/>
  <c r="F21" i="22"/>
  <c r="E137" i="22"/>
  <c r="E139" i="22" s="1"/>
  <c r="E39" i="22" s="1"/>
  <c r="E41" i="22" s="1"/>
  <c r="E37" i="22"/>
  <c r="E38" i="22" s="1"/>
  <c r="G16" i="22"/>
  <c r="I31" i="22"/>
  <c r="G14" i="22"/>
  <c r="G30" i="22"/>
  <c r="C32" i="22"/>
  <c r="C39" i="22"/>
  <c r="C141" i="22"/>
  <c r="C40" i="22" s="1"/>
  <c r="C42" i="22" s="1"/>
  <c r="C16" i="22"/>
  <c r="C118" i="22"/>
  <c r="C15" i="22" s="1"/>
  <c r="C19" i="22" s="1"/>
  <c r="D26" i="22"/>
  <c r="D22" i="22"/>
  <c r="D28" i="22"/>
  <c r="D141" i="22"/>
  <c r="D40" i="22" s="1"/>
  <c r="D42" i="22" s="1"/>
  <c r="D39" i="22"/>
  <c r="E26" i="22"/>
  <c r="E28" i="22"/>
  <c r="E22" i="22"/>
  <c r="E23" i="22" s="1"/>
  <c r="F28" i="22"/>
  <c r="F26" i="22"/>
  <c r="F22" i="22"/>
  <c r="F23" i="22" s="1"/>
  <c r="F37" i="22"/>
  <c r="F38" i="22" s="1"/>
  <c r="F137" i="22"/>
  <c r="F139" i="22" s="1"/>
  <c r="F39" i="22" s="1"/>
  <c r="G28" i="22"/>
  <c r="G26" i="22"/>
  <c r="G22" i="22"/>
  <c r="G23" i="22" s="1"/>
  <c r="H26" i="22"/>
  <c r="H28" i="22"/>
  <c r="H22" i="22"/>
  <c r="H23" i="22" s="1"/>
  <c r="H137" i="22"/>
  <c r="H139" i="22" s="1"/>
  <c r="H39" i="22" s="1"/>
  <c r="H37" i="22"/>
  <c r="H38" i="22" s="1"/>
  <c r="G137" i="22"/>
  <c r="G139" i="22" s="1"/>
  <c r="G39" i="22" s="1"/>
  <c r="D3" i="22"/>
  <c r="Q24" i="1" s="1"/>
  <c r="S24" i="1" s="1"/>
  <c r="C30" i="22"/>
  <c r="G31" i="22"/>
  <c r="D37" i="22"/>
  <c r="D38" i="22" s="1"/>
  <c r="G60" i="22"/>
  <c r="C61" i="22" s="1"/>
  <c r="O24" i="1" s="1"/>
  <c r="E3" i="22"/>
  <c r="C31" i="22"/>
  <c r="I11" i="22"/>
  <c r="G32" i="22"/>
  <c r="I21" i="22"/>
  <c r="M24" i="1"/>
  <c r="C37" i="22"/>
  <c r="C38" i="22" s="1"/>
  <c r="I37" i="22"/>
  <c r="I38" i="22" s="1"/>
  <c r="I137" i="22"/>
  <c r="I139" i="22" s="1"/>
  <c r="C11" i="22"/>
  <c r="C33" i="22" s="1"/>
  <c r="G11" i="22"/>
  <c r="I16" i="22"/>
  <c r="I118" i="22"/>
  <c r="I15" i="22" s="1"/>
  <c r="I19" i="22" s="1"/>
  <c r="D36" i="14"/>
  <c r="D37" i="14" s="1"/>
  <c r="D133" i="14"/>
  <c r="D135" i="14" s="1"/>
  <c r="G18" i="14"/>
  <c r="G25" i="14" s="1"/>
  <c r="G41" i="14"/>
  <c r="G31" i="14"/>
  <c r="G11" i="14"/>
  <c r="C30" i="14"/>
  <c r="E41" i="14"/>
  <c r="E60" i="14" s="1"/>
  <c r="D14" i="14"/>
  <c r="H45" i="14"/>
  <c r="D3" i="14" s="1"/>
  <c r="I37" i="14"/>
  <c r="I20" i="14"/>
  <c r="F44" i="14"/>
  <c r="F58" i="14" s="1"/>
  <c r="G133" i="14"/>
  <c r="G135" i="14" s="1"/>
  <c r="C11" i="14"/>
  <c r="F14" i="14"/>
  <c r="F32" i="14" s="1"/>
  <c r="F30" i="14"/>
  <c r="C32" i="14"/>
  <c r="D29" i="14"/>
  <c r="H39" i="14"/>
  <c r="G32" i="14"/>
  <c r="H11" i="14"/>
  <c r="H32" i="14" s="1"/>
  <c r="F39" i="14"/>
  <c r="C21" i="14"/>
  <c r="C22" i="14" s="1"/>
  <c r="C27" i="14"/>
  <c r="C25" i="14"/>
  <c r="C26" i="14" s="1"/>
  <c r="F36" i="14"/>
  <c r="F37" i="14" s="1"/>
  <c r="F133" i="14"/>
  <c r="F135" i="14" s="1"/>
  <c r="F21" i="14"/>
  <c r="F22" i="14" s="1"/>
  <c r="F27" i="14"/>
  <c r="F25" i="14"/>
  <c r="E36" i="14"/>
  <c r="E37" i="14" s="1"/>
  <c r="E133" i="14"/>
  <c r="E135" i="14" s="1"/>
  <c r="G21" i="14"/>
  <c r="G22" i="14" s="1"/>
  <c r="G27" i="14"/>
  <c r="C41" i="14"/>
  <c r="H21" i="14"/>
  <c r="H22" i="14" s="1"/>
  <c r="H27" i="14"/>
  <c r="H25" i="14"/>
  <c r="H26" i="14" s="1"/>
  <c r="H133" i="14"/>
  <c r="H135" i="14" s="1"/>
  <c r="H36" i="14"/>
  <c r="H37" i="14" s="1"/>
  <c r="D18" i="14"/>
  <c r="D41" i="14"/>
  <c r="D60" i="14" s="1"/>
  <c r="C36" i="14"/>
  <c r="C37" i="14" s="1"/>
  <c r="C133" i="14"/>
  <c r="C135" i="14" s="1"/>
  <c r="G56" i="14"/>
  <c r="H56" i="14"/>
  <c r="E18" i="14"/>
  <c r="F41" i="14"/>
  <c r="G45" i="14"/>
  <c r="C39" i="14"/>
  <c r="D11" i="14"/>
  <c r="G44" i="14"/>
  <c r="C44" i="14"/>
  <c r="C58" i="14" s="1"/>
  <c r="D31" i="14"/>
  <c r="H41" i="14"/>
  <c r="C45" i="14"/>
  <c r="D30" i="14"/>
  <c r="I14" i="14"/>
  <c r="I11" i="14"/>
  <c r="D45" i="14"/>
  <c r="F29" i="14"/>
  <c r="F56" i="14"/>
  <c r="D36" i="43"/>
  <c r="D37" i="43" s="1"/>
  <c r="D128" i="43"/>
  <c r="D131" i="43" s="1"/>
  <c r="D133" i="43" s="1"/>
  <c r="D38" i="43" s="1"/>
  <c r="F36" i="43"/>
  <c r="F37" i="43" s="1"/>
  <c r="F128" i="43"/>
  <c r="F131" i="43" s="1"/>
  <c r="F133" i="43" s="1"/>
  <c r="F38" i="43" s="1"/>
  <c r="I24" i="43"/>
  <c r="I23" i="43"/>
  <c r="I25" i="43" s="1"/>
  <c r="E31" i="43"/>
  <c r="E22" i="43"/>
  <c r="G20" i="43"/>
  <c r="G22" i="43" s="1"/>
  <c r="D32" i="43"/>
  <c r="H14" i="43"/>
  <c r="D3" i="43"/>
  <c r="H30" i="43"/>
  <c r="D29" i="43"/>
  <c r="I18" i="43"/>
  <c r="I21" i="43" s="1"/>
  <c r="I22" i="43" s="1"/>
  <c r="G32" i="43"/>
  <c r="D20" i="43"/>
  <c r="D22" i="43" s="1"/>
  <c r="G36" i="43"/>
  <c r="G37" i="43" s="1"/>
  <c r="G128" i="43"/>
  <c r="G131" i="43" s="1"/>
  <c r="G133" i="43" s="1"/>
  <c r="G38" i="43" s="1"/>
  <c r="H128" i="43"/>
  <c r="H131" i="43" s="1"/>
  <c r="H133" i="43" s="1"/>
  <c r="H38" i="43" s="1"/>
  <c r="H36" i="43"/>
  <c r="H37" i="43" s="1"/>
  <c r="C128" i="43"/>
  <c r="C131" i="43" s="1"/>
  <c r="C133" i="43" s="1"/>
  <c r="C38" i="43" s="1"/>
  <c r="C36" i="43"/>
  <c r="C37" i="43" s="1"/>
  <c r="D39" i="43"/>
  <c r="D41" i="43"/>
  <c r="F39" i="43"/>
  <c r="F41" i="43"/>
  <c r="I32" i="43"/>
  <c r="D31" i="43"/>
  <c r="E128" i="43"/>
  <c r="E131" i="43" s="1"/>
  <c r="E133" i="43" s="1"/>
  <c r="E38" i="43" s="1"/>
  <c r="I27" i="43"/>
  <c r="C15" i="43"/>
  <c r="C18" i="43" s="1"/>
  <c r="F44" i="43"/>
  <c r="F52" i="43" s="1"/>
  <c r="C31" i="43"/>
  <c r="E3" i="43"/>
  <c r="G52" i="43"/>
  <c r="C53" i="43" s="1"/>
  <c r="H31" i="43"/>
  <c r="F50" i="43"/>
  <c r="F21" i="43"/>
  <c r="F22" i="43" s="1"/>
  <c r="D30" i="43"/>
  <c r="H11" i="43"/>
  <c r="H32" i="43" s="1"/>
  <c r="C14" i="43"/>
  <c r="C32" i="43" s="1"/>
  <c r="C30" i="43"/>
  <c r="C51" i="43"/>
  <c r="H29" i="43"/>
  <c r="G128" i="42"/>
  <c r="G131" i="42" s="1"/>
  <c r="G133" i="42" s="1"/>
  <c r="G38" i="42" s="1"/>
  <c r="G36" i="42"/>
  <c r="G37" i="42" s="1"/>
  <c r="H128" i="42"/>
  <c r="H131" i="42" s="1"/>
  <c r="H133" i="42" s="1"/>
  <c r="H38" i="42" s="1"/>
  <c r="H41" i="42" s="1"/>
  <c r="H36" i="42"/>
  <c r="H30" i="42"/>
  <c r="C20" i="42"/>
  <c r="F32" i="42"/>
  <c r="D11" i="42"/>
  <c r="E11" i="42"/>
  <c r="H29" i="42"/>
  <c r="C11" i="42"/>
  <c r="D14" i="42"/>
  <c r="D32" i="42" s="1"/>
  <c r="E36" i="42"/>
  <c r="E37" i="42" s="1"/>
  <c r="E128" i="42"/>
  <c r="E131" i="42" s="1"/>
  <c r="E133" i="42" s="1"/>
  <c r="E38" i="42" s="1"/>
  <c r="D29" i="42"/>
  <c r="H37" i="42"/>
  <c r="F110" i="42"/>
  <c r="E29" i="42"/>
  <c r="H11" i="42"/>
  <c r="C29" i="42"/>
  <c r="F29" i="42"/>
  <c r="I11" i="42"/>
  <c r="I32" i="42" s="1"/>
  <c r="F50" i="42"/>
  <c r="H31" i="42"/>
  <c r="G31" i="42"/>
  <c r="C14" i="42"/>
  <c r="E3" i="42"/>
  <c r="V28" i="1" s="1"/>
  <c r="X28" i="1" s="1"/>
  <c r="D110" i="42"/>
  <c r="G20" i="42"/>
  <c r="I30" i="42"/>
  <c r="E14" i="42"/>
  <c r="H22" i="42"/>
  <c r="D3" i="42"/>
  <c r="Q28" i="1" s="1"/>
  <c r="S28" i="1" s="1"/>
  <c r="F22" i="42"/>
  <c r="C21" i="42"/>
  <c r="C22" i="42" s="1"/>
  <c r="D36" i="42"/>
  <c r="D37" i="42" s="1"/>
  <c r="D128" i="42"/>
  <c r="D131" i="42" s="1"/>
  <c r="D133" i="42" s="1"/>
  <c r="D38" i="42" s="1"/>
  <c r="H54" i="42"/>
  <c r="H23" i="42"/>
  <c r="H25" i="42" s="1"/>
  <c r="H24" i="42"/>
  <c r="H27" i="42" s="1"/>
  <c r="E39" i="42"/>
  <c r="E41" i="42"/>
  <c r="D21" i="42"/>
  <c r="G32" i="42"/>
  <c r="E32" i="42"/>
  <c r="H32" i="42"/>
  <c r="G39" i="42"/>
  <c r="G41" i="42"/>
  <c r="C41" i="42"/>
  <c r="C39" i="42"/>
  <c r="G21" i="42"/>
  <c r="G22" i="42" s="1"/>
  <c r="F36" i="42"/>
  <c r="F37" i="42" s="1"/>
  <c r="F128" i="42"/>
  <c r="F131" i="42" s="1"/>
  <c r="F133" i="42" s="1"/>
  <c r="F38" i="42" s="1"/>
  <c r="E21" i="42"/>
  <c r="E31" i="42"/>
  <c r="C31" i="42"/>
  <c r="G29" i="42"/>
  <c r="D20" i="42"/>
  <c r="I36" i="42"/>
  <c r="I37" i="42" s="1"/>
  <c r="I128" i="42"/>
  <c r="I131" i="42" s="1"/>
  <c r="I133" i="42" s="1"/>
  <c r="I38" i="42" s="1"/>
  <c r="E30" i="42"/>
  <c r="C30" i="42"/>
  <c r="D30" i="42"/>
  <c r="H39" i="42"/>
  <c r="C36" i="42"/>
  <c r="C37" i="42" s="1"/>
  <c r="C51" i="42"/>
  <c r="M28" i="1" s="1"/>
  <c r="G52" i="42"/>
  <c r="C53" i="42" s="1"/>
  <c r="E20" i="42"/>
  <c r="E22" i="42" s="1"/>
  <c r="D37" i="44"/>
  <c r="C59" i="44"/>
  <c r="O39" i="1" s="1"/>
  <c r="F11" i="44"/>
  <c r="E14" i="44"/>
  <c r="H11" i="44"/>
  <c r="D29" i="44"/>
  <c r="G11" i="44"/>
  <c r="G32" i="44" s="1"/>
  <c r="E32" i="44"/>
  <c r="D134" i="44"/>
  <c r="D137" i="44" s="1"/>
  <c r="D139" i="44" s="1"/>
  <c r="D38" i="44" s="1"/>
  <c r="F32" i="44"/>
  <c r="C31" i="44"/>
  <c r="H14" i="44"/>
  <c r="H32" i="44" s="1"/>
  <c r="G15" i="44"/>
  <c r="G18" i="44" s="1"/>
  <c r="G21" i="44" s="1"/>
  <c r="G22" i="44" s="1"/>
  <c r="H30" i="44"/>
  <c r="I29" i="44"/>
  <c r="H31" i="44"/>
  <c r="D15" i="44"/>
  <c r="D18" i="44" s="1"/>
  <c r="D21" i="44" s="1"/>
  <c r="C14" i="44"/>
  <c r="C32" i="44" s="1"/>
  <c r="C21" i="44"/>
  <c r="F36" i="44"/>
  <c r="F37" i="44" s="1"/>
  <c r="F134" i="44"/>
  <c r="F137" i="44" s="1"/>
  <c r="F139" i="44" s="1"/>
  <c r="G36" i="44"/>
  <c r="G37" i="44" s="1"/>
  <c r="G134" i="44"/>
  <c r="G137" i="44" s="1"/>
  <c r="G139" i="44" s="1"/>
  <c r="G38" i="44" s="1"/>
  <c r="F21" i="44"/>
  <c r="E134" i="44"/>
  <c r="E137" i="44" s="1"/>
  <c r="E139" i="44" s="1"/>
  <c r="E36" i="44"/>
  <c r="E37" i="44" s="1"/>
  <c r="C36" i="44"/>
  <c r="C37" i="44" s="1"/>
  <c r="C134" i="44"/>
  <c r="C137" i="44" s="1"/>
  <c r="C139" i="44" s="1"/>
  <c r="C30" i="44"/>
  <c r="Q39" i="1"/>
  <c r="S39" i="1" s="1"/>
  <c r="I38" i="44"/>
  <c r="I39" i="44" s="1"/>
  <c r="I140" i="44"/>
  <c r="I40" i="44" s="1"/>
  <c r="I56" i="44" s="1"/>
  <c r="C57" i="44" s="1"/>
  <c r="F117" i="44"/>
  <c r="D30" i="44"/>
  <c r="D11" i="44"/>
  <c r="D32" i="44" s="1"/>
  <c r="E3" i="44"/>
  <c r="V39" i="1" s="1"/>
  <c r="X39" i="1" s="1"/>
  <c r="D31" i="44"/>
  <c r="H15" i="44"/>
  <c r="H18" i="44" s="1"/>
  <c r="H21" i="44" s="1"/>
  <c r="H22" i="44" s="1"/>
  <c r="H32" i="18"/>
  <c r="H20" i="18"/>
  <c r="D14" i="18"/>
  <c r="I37" i="18"/>
  <c r="I39" i="18"/>
  <c r="C31" i="18"/>
  <c r="F20" i="18"/>
  <c r="G14" i="18"/>
  <c r="G29" i="18"/>
  <c r="C29" i="18"/>
  <c r="F11" i="18"/>
  <c r="F32" i="18" s="1"/>
  <c r="D143" i="18"/>
  <c r="D145" i="18" s="1"/>
  <c r="D147" i="18" s="1"/>
  <c r="D38" i="18" s="1"/>
  <c r="D36" i="18"/>
  <c r="D37" i="18" s="1"/>
  <c r="E14" i="18"/>
  <c r="I20" i="18"/>
  <c r="C60" i="18"/>
  <c r="O30" i="1" s="1"/>
  <c r="G143" i="18"/>
  <c r="G145" i="18" s="1"/>
  <c r="G147" i="18" s="1"/>
  <c r="G38" i="18" s="1"/>
  <c r="G39" i="18" s="1"/>
  <c r="C14" i="18"/>
  <c r="I29" i="18"/>
  <c r="G20" i="18"/>
  <c r="G22" i="18" s="1"/>
  <c r="C37" i="18"/>
  <c r="D3" i="18"/>
  <c r="Q30" i="1" s="1"/>
  <c r="S30" i="1" s="1"/>
  <c r="D20" i="18"/>
  <c r="E11" i="18"/>
  <c r="D11" i="18"/>
  <c r="D32" i="18" s="1"/>
  <c r="C21" i="18"/>
  <c r="C22" i="18" s="1"/>
  <c r="E21" i="18"/>
  <c r="E22" i="18" s="1"/>
  <c r="E32" i="18"/>
  <c r="G41" i="18"/>
  <c r="C32" i="18"/>
  <c r="F39" i="18"/>
  <c r="F41" i="18"/>
  <c r="H21" i="18"/>
  <c r="H22" i="18" s="1"/>
  <c r="F21" i="18"/>
  <c r="H143" i="18"/>
  <c r="H145" i="18" s="1"/>
  <c r="H147" i="18" s="1"/>
  <c r="H38" i="18" s="1"/>
  <c r="H36" i="18"/>
  <c r="H37" i="18" s="1"/>
  <c r="D39" i="18"/>
  <c r="D41" i="18"/>
  <c r="D21" i="18"/>
  <c r="D22" i="18" s="1"/>
  <c r="C41" i="18"/>
  <c r="C39" i="18"/>
  <c r="C30" i="18"/>
  <c r="E143" i="18"/>
  <c r="E145" i="18" s="1"/>
  <c r="E147" i="18" s="1"/>
  <c r="E38" i="18" s="1"/>
  <c r="C44" i="18"/>
  <c r="C59" i="18" s="1"/>
  <c r="G31" i="18"/>
  <c r="G11" i="18"/>
  <c r="D31" i="18"/>
  <c r="D30" i="18"/>
  <c r="E29" i="18"/>
  <c r="F36" i="18"/>
  <c r="F37" i="18" s="1"/>
  <c r="C58" i="18"/>
  <c r="M30" i="1" s="1"/>
  <c r="E31" i="18"/>
  <c r="E30" i="18"/>
  <c r="G30" i="18"/>
  <c r="E3" i="18"/>
  <c r="C47" i="17"/>
  <c r="C121" i="17"/>
  <c r="D121" i="17"/>
  <c r="C11" i="17"/>
  <c r="C14" i="17"/>
  <c r="F21" i="17"/>
  <c r="E121" i="17"/>
  <c r="E15" i="17"/>
  <c r="E18" i="17" s="1"/>
  <c r="F121" i="17"/>
  <c r="F15" i="17"/>
  <c r="H121" i="17"/>
  <c r="H15" i="17"/>
  <c r="C61" i="17"/>
  <c r="O7" i="1" s="1"/>
  <c r="H14" i="37"/>
  <c r="H32" i="37" s="1"/>
  <c r="H30" i="37"/>
  <c r="C30" i="37"/>
  <c r="G30" i="37"/>
  <c r="E29" i="37"/>
  <c r="F36" i="37"/>
  <c r="F37" i="37" s="1"/>
  <c r="F131" i="37"/>
  <c r="F133" i="37" s="1"/>
  <c r="F38" i="37" s="1"/>
  <c r="I23" i="37"/>
  <c r="I25" i="37" s="1"/>
  <c r="I24" i="37"/>
  <c r="I27" i="37" s="1"/>
  <c r="C29" i="37"/>
  <c r="G36" i="37"/>
  <c r="G37" i="37" s="1"/>
  <c r="C11" i="37"/>
  <c r="C32" i="37" s="1"/>
  <c r="H36" i="37"/>
  <c r="H37" i="37" s="1"/>
  <c r="C31" i="37"/>
  <c r="E32" i="37"/>
  <c r="F31" i="37"/>
  <c r="F44" i="37"/>
  <c r="F58" i="37" s="1"/>
  <c r="H44" i="37"/>
  <c r="H58" i="37" s="1"/>
  <c r="D14" i="37"/>
  <c r="D32" i="37" s="1"/>
  <c r="D29" i="37"/>
  <c r="H29" i="37"/>
  <c r="I20" i="37"/>
  <c r="I11" i="37"/>
  <c r="F22" i="37"/>
  <c r="G31" i="37"/>
  <c r="E21" i="37"/>
  <c r="H39" i="37"/>
  <c r="H41" i="37"/>
  <c r="F39" i="37"/>
  <c r="F41" i="37"/>
  <c r="D21" i="37"/>
  <c r="D22" i="37" s="1"/>
  <c r="G21" i="37"/>
  <c r="G22" i="37" s="1"/>
  <c r="H21" i="37"/>
  <c r="H22" i="37" s="1"/>
  <c r="C36" i="37"/>
  <c r="C37" i="37" s="1"/>
  <c r="C131" i="37"/>
  <c r="C133" i="37" s="1"/>
  <c r="C38" i="37" s="1"/>
  <c r="D131" i="37"/>
  <c r="D133" i="37" s="1"/>
  <c r="D38" i="37" s="1"/>
  <c r="D36" i="37"/>
  <c r="D37" i="37" s="1"/>
  <c r="G41" i="37"/>
  <c r="G39" i="37"/>
  <c r="E36" i="37"/>
  <c r="E37" i="37" s="1"/>
  <c r="E131" i="37"/>
  <c r="E133" i="37" s="1"/>
  <c r="E38" i="37" s="1"/>
  <c r="C21" i="37"/>
  <c r="C22" i="37" s="1"/>
  <c r="F11" i="37"/>
  <c r="F32" i="37" s="1"/>
  <c r="F29" i="37"/>
  <c r="E20" i="37"/>
  <c r="G44" i="37"/>
  <c r="F30" i="37"/>
  <c r="D3" i="37"/>
  <c r="Q16" i="1" s="1"/>
  <c r="S16" i="1" s="1"/>
  <c r="C57" i="37"/>
  <c r="M16" i="1" s="1"/>
  <c r="G14" i="9"/>
  <c r="G32" i="9" s="1"/>
  <c r="G31" i="9"/>
  <c r="C30" i="9"/>
  <c r="I29" i="9"/>
  <c r="E7" i="88" s="1"/>
  <c r="E30" i="9"/>
  <c r="D29" i="9"/>
  <c r="C14" i="9"/>
  <c r="C32" i="9" s="1"/>
  <c r="G108" i="9"/>
  <c r="G114" i="9" s="1"/>
  <c r="G35" i="9" s="1"/>
  <c r="G36" i="9" s="1"/>
  <c r="C31" i="9"/>
  <c r="E31" i="9"/>
  <c r="G30" i="9"/>
  <c r="C36" i="9"/>
  <c r="C20" i="9"/>
  <c r="D31" i="9"/>
  <c r="G110" i="9"/>
  <c r="H29" i="9"/>
  <c r="D7" i="88" s="1"/>
  <c r="F14" i="9"/>
  <c r="F32" i="9" s="1"/>
  <c r="E14" i="9"/>
  <c r="C29" i="9"/>
  <c r="F31" i="9"/>
  <c r="D20" i="9"/>
  <c r="D14" i="9"/>
  <c r="D32" i="9" s="1"/>
  <c r="E11" i="9"/>
  <c r="G40" i="9"/>
  <c r="G38" i="9"/>
  <c r="H38" i="9"/>
  <c r="H40" i="9"/>
  <c r="G21" i="9"/>
  <c r="G22" i="9" s="1"/>
  <c r="C21" i="9"/>
  <c r="D40" i="9"/>
  <c r="D38" i="9"/>
  <c r="F21" i="9"/>
  <c r="D21" i="9"/>
  <c r="D22" i="9" s="1"/>
  <c r="E40" i="9"/>
  <c r="E38" i="9"/>
  <c r="E29" i="9"/>
  <c r="F40" i="9"/>
  <c r="I40" i="9"/>
  <c r="I20" i="9"/>
  <c r="I22" i="9" s="1"/>
  <c r="H30" i="9"/>
  <c r="D8" i="88" s="1"/>
  <c r="A8" i="88" s="1"/>
  <c r="G8" i="88" s="1"/>
  <c r="C38" i="9"/>
  <c r="D9" i="88"/>
  <c r="H11" i="9"/>
  <c r="H32" i="9" s="1"/>
  <c r="D10" i="88" s="1"/>
  <c r="E21" i="9"/>
  <c r="E22" i="9" s="1"/>
  <c r="I38" i="9"/>
  <c r="F29" i="9"/>
  <c r="F20" i="9"/>
  <c r="I20" i="8"/>
  <c r="G11" i="8"/>
  <c r="D14" i="8"/>
  <c r="F29" i="8"/>
  <c r="E20" i="8"/>
  <c r="D37" i="8"/>
  <c r="I32" i="8"/>
  <c r="E30" i="8"/>
  <c r="E11" i="8"/>
  <c r="E32" i="8" s="1"/>
  <c r="D41" i="8"/>
  <c r="H31" i="8"/>
  <c r="C37" i="8"/>
  <c r="G45" i="8"/>
  <c r="G31" i="8"/>
  <c r="F30" i="8"/>
  <c r="H21" i="8"/>
  <c r="H22" i="8" s="1"/>
  <c r="H25" i="8"/>
  <c r="H27" i="8"/>
  <c r="H26" i="8" s="1"/>
  <c r="C21" i="8"/>
  <c r="C27" i="8"/>
  <c r="E21" i="8"/>
  <c r="E22" i="8" s="1"/>
  <c r="E25" i="8"/>
  <c r="C31" i="8"/>
  <c r="H41" i="8"/>
  <c r="H60" i="8" s="1"/>
  <c r="D11" i="8"/>
  <c r="D32" i="8" s="1"/>
  <c r="I37" i="8"/>
  <c r="G14" i="8"/>
  <c r="G32" i="8" s="1"/>
  <c r="I39" i="8"/>
  <c r="E45" i="8"/>
  <c r="C41" i="8"/>
  <c r="C60" i="8" s="1"/>
  <c r="I30" i="8"/>
  <c r="I44" i="8"/>
  <c r="I58" i="8" s="1"/>
  <c r="G39" i="8"/>
  <c r="E29" i="8"/>
  <c r="E41" i="8"/>
  <c r="E60" i="8" s="1"/>
  <c r="F37" i="8"/>
  <c r="G30" i="8"/>
  <c r="C11" i="8"/>
  <c r="F41" i="8"/>
  <c r="F18" i="8"/>
  <c r="C22" i="8"/>
  <c r="G18" i="8"/>
  <c r="G41" i="8"/>
  <c r="D44" i="8"/>
  <c r="D58" i="8" s="1"/>
  <c r="C57" i="8"/>
  <c r="M21" i="1" s="1"/>
  <c r="D18" i="8"/>
  <c r="F39" i="8"/>
  <c r="C29" i="8"/>
  <c r="G37" i="8"/>
  <c r="C14" i="8"/>
  <c r="C32" i="8" s="1"/>
  <c r="H14" i="8"/>
  <c r="H32" i="8" s="1"/>
  <c r="C25" i="8"/>
  <c r="C44" i="8"/>
  <c r="C58" i="8" s="1"/>
  <c r="I45" i="8"/>
  <c r="D3" i="8" s="1"/>
  <c r="D30" i="8"/>
  <c r="E27" i="8"/>
  <c r="E26" i="8" s="1"/>
  <c r="D31" i="8"/>
  <c r="H58" i="8"/>
  <c r="H28" i="1"/>
  <c r="H49" i="1"/>
  <c r="E38" i="46"/>
  <c r="G38" i="46"/>
  <c r="H38" i="46"/>
  <c r="M34" i="1"/>
  <c r="G40" i="6"/>
  <c r="F17" i="6"/>
  <c r="F21" i="6" s="1"/>
  <c r="F44" i="6"/>
  <c r="E15" i="6"/>
  <c r="I40" i="6"/>
  <c r="D34" i="6"/>
  <c r="D33" i="6"/>
  <c r="E40" i="6"/>
  <c r="F20" i="6"/>
  <c r="C12" i="6"/>
  <c r="H42" i="6"/>
  <c r="F40" i="6"/>
  <c r="G34" i="6"/>
  <c r="E42" i="6"/>
  <c r="C44" i="6"/>
  <c r="C15" i="6"/>
  <c r="F35" i="6"/>
  <c r="O10" i="1"/>
  <c r="E3" i="6"/>
  <c r="H35" i="6"/>
  <c r="K36" i="6"/>
  <c r="G15" i="6"/>
  <c r="I24" i="6"/>
  <c r="M10" i="1"/>
  <c r="E34" i="6"/>
  <c r="H34" i="6"/>
  <c r="D12" i="6"/>
  <c r="D36" i="6" s="1"/>
  <c r="F12" i="6"/>
  <c r="F42" i="6"/>
  <c r="Q22" i="1"/>
  <c r="S22" i="1" s="1"/>
  <c r="D24" i="5"/>
  <c r="C34" i="5"/>
  <c r="G33" i="5"/>
  <c r="E36" i="5"/>
  <c r="D43" i="5"/>
  <c r="E17" i="5"/>
  <c r="E21" i="5" s="1"/>
  <c r="H43" i="5"/>
  <c r="E33" i="5"/>
  <c r="C41" i="5"/>
  <c r="D3" i="5"/>
  <c r="Q8" i="1" s="1"/>
  <c r="S8" i="1" s="1"/>
  <c r="D12" i="5"/>
  <c r="D36" i="5" s="1"/>
  <c r="I33" i="5"/>
  <c r="C20" i="5"/>
  <c r="C25" i="5" s="1"/>
  <c r="C45" i="5"/>
  <c r="C17" i="5"/>
  <c r="C21" i="5" s="1"/>
  <c r="D20" i="5"/>
  <c r="D31" i="5" s="1"/>
  <c r="D45" i="5"/>
  <c r="D17" i="5"/>
  <c r="D21" i="5" s="1"/>
  <c r="I45" i="5"/>
  <c r="H41" i="5"/>
  <c r="G34" i="5"/>
  <c r="G12" i="5"/>
  <c r="G36" i="5" s="1"/>
  <c r="F34" i="5"/>
  <c r="C43" i="5"/>
  <c r="G41" i="5"/>
  <c r="F24" i="5"/>
  <c r="C35" i="5"/>
  <c r="D33" i="5"/>
  <c r="N26" i="5"/>
  <c r="C33" i="5"/>
  <c r="D35" i="5"/>
  <c r="I24" i="5"/>
  <c r="C12" i="5"/>
  <c r="C36" i="5" s="1"/>
  <c r="H34" i="5"/>
  <c r="F43" i="5"/>
  <c r="I25" i="5"/>
  <c r="I31" i="5"/>
  <c r="F36" i="5"/>
  <c r="F45" i="5"/>
  <c r="F17" i="5"/>
  <c r="F21" i="5" s="1"/>
  <c r="F20" i="5"/>
  <c r="H24" i="5"/>
  <c r="O8" i="1" s="1"/>
  <c r="H17" i="5"/>
  <c r="H21" i="5" s="1"/>
  <c r="H20" i="5"/>
  <c r="H12" i="5"/>
  <c r="H36" i="5" s="1"/>
  <c r="G20" i="5"/>
  <c r="G45" i="5"/>
  <c r="E45" i="5"/>
  <c r="C24" i="5"/>
  <c r="C26" i="5" s="1"/>
  <c r="I12" i="5"/>
  <c r="I36" i="5" s="1"/>
  <c r="F33" i="5"/>
  <c r="E20" i="5"/>
  <c r="H33" i="5"/>
  <c r="F35" i="5"/>
  <c r="G35" i="5"/>
  <c r="E3" i="5"/>
  <c r="V8" i="1" s="1"/>
  <c r="X8" i="1" s="1"/>
  <c r="L26" i="5"/>
  <c r="G24" i="5"/>
  <c r="C29" i="5"/>
  <c r="C31" i="5"/>
  <c r="H45" i="5"/>
  <c r="N63" i="3"/>
  <c r="O6" i="1"/>
  <c r="J26" i="3"/>
  <c r="M6" i="1"/>
  <c r="F42" i="3"/>
  <c r="E24" i="3"/>
  <c r="N36" i="3"/>
  <c r="F40" i="3"/>
  <c r="M63" i="3"/>
  <c r="D33" i="3"/>
  <c r="F12" i="3"/>
  <c r="I15" i="3"/>
  <c r="I42" i="3"/>
  <c r="D34" i="3"/>
  <c r="F33" i="3"/>
  <c r="C35" i="3"/>
  <c r="E35" i="3"/>
  <c r="F24" i="3"/>
  <c r="C24" i="3"/>
  <c r="G44" i="3"/>
  <c r="G63" i="3" s="1"/>
  <c r="F35" i="3"/>
  <c r="M36" i="3"/>
  <c r="C15" i="3"/>
  <c r="E33" i="3"/>
  <c r="G15" i="3"/>
  <c r="D35" i="3"/>
  <c r="D15" i="3"/>
  <c r="H15" i="3"/>
  <c r="F15" i="3"/>
  <c r="F34" i="3"/>
  <c r="G34" i="3"/>
  <c r="E40" i="3"/>
  <c r="C40" i="3"/>
  <c r="E42" i="3"/>
  <c r="V6" i="1"/>
  <c r="X6" i="1" s="1"/>
  <c r="D42" i="3"/>
  <c r="D12" i="3"/>
  <c r="H40" i="3"/>
  <c r="H24" i="3"/>
  <c r="H33" i="3"/>
  <c r="I45" i="2"/>
  <c r="H13" i="2"/>
  <c r="G13" i="2"/>
  <c r="G45" i="2"/>
  <c r="G64" i="2" s="1"/>
  <c r="D13" i="2"/>
  <c r="D37" i="2" s="1"/>
  <c r="C41" i="2"/>
  <c r="I64" i="2"/>
  <c r="I41" i="2"/>
  <c r="E13" i="2"/>
  <c r="E37" i="2" s="1"/>
  <c r="G43" i="2"/>
  <c r="D41" i="2"/>
  <c r="C25" i="2"/>
  <c r="D35" i="2"/>
  <c r="G62" i="2"/>
  <c r="V60" i="1"/>
  <c r="X60" i="1" s="1"/>
  <c r="V59" i="1"/>
  <c r="X59" i="1" s="1"/>
  <c r="V58" i="1"/>
  <c r="X58" i="1" s="1"/>
  <c r="V57" i="1"/>
  <c r="X57" i="1" s="1"/>
  <c r="V12" i="1"/>
  <c r="X12" i="1" s="1"/>
  <c r="V18" i="1"/>
  <c r="X18" i="1" s="1"/>
  <c r="V38" i="1"/>
  <c r="X38" i="1" s="1"/>
  <c r="V34" i="1"/>
  <c r="V17" i="1"/>
  <c r="X17" i="1" s="1"/>
  <c r="V42" i="1"/>
  <c r="X42" i="1" s="1"/>
  <c r="V37" i="1"/>
  <c r="X37" i="1" s="1"/>
  <c r="V43" i="1"/>
  <c r="X43" i="1" s="1"/>
  <c r="V35" i="1"/>
  <c r="X35" i="1" s="1"/>
  <c r="V14" i="1"/>
  <c r="V31" i="1"/>
  <c r="X31" i="1" s="1"/>
  <c r="V13" i="1"/>
  <c r="X13" i="1" s="1"/>
  <c r="V27" i="1"/>
  <c r="X27" i="1" s="1"/>
  <c r="V56" i="1"/>
  <c r="X56" i="1" s="1"/>
  <c r="V55" i="1"/>
  <c r="X55" i="1" s="1"/>
  <c r="V54" i="1"/>
  <c r="X54" i="1" s="1"/>
  <c r="V53" i="1"/>
  <c r="X53" i="1" s="1"/>
  <c r="V52" i="1"/>
  <c r="X52" i="1" s="1"/>
  <c r="V51" i="1"/>
  <c r="X51" i="1" s="1"/>
  <c r="V50" i="1"/>
  <c r="X50" i="1" s="1"/>
  <c r="V49" i="1"/>
  <c r="X49" i="1" s="1"/>
  <c r="D22" i="59"/>
  <c r="C22" i="59"/>
  <c r="D32" i="53"/>
  <c r="E30" i="53"/>
  <c r="E11" i="53"/>
  <c r="E32" i="53" s="1"/>
  <c r="F31" i="53"/>
  <c r="F20" i="53"/>
  <c r="H36" i="53"/>
  <c r="H37" i="53" s="1"/>
  <c r="H127" i="53"/>
  <c r="H129" i="53" s="1"/>
  <c r="H131" i="53" s="1"/>
  <c r="H38" i="53" s="1"/>
  <c r="H39" i="53" s="1"/>
  <c r="D30" i="53"/>
  <c r="D31" i="53"/>
  <c r="G11" i="53"/>
  <c r="E20" i="53"/>
  <c r="C14" i="53"/>
  <c r="I14" i="53"/>
  <c r="I32" i="53" s="1"/>
  <c r="D29" i="53"/>
  <c r="F14" i="53"/>
  <c r="F32" i="53" s="1"/>
  <c r="F30" i="53"/>
  <c r="C11" i="53"/>
  <c r="G14" i="53"/>
  <c r="I41" i="53"/>
  <c r="I23" i="53" s="1"/>
  <c r="I25" i="53" s="1"/>
  <c r="C127" i="53"/>
  <c r="C129" i="53" s="1"/>
  <c r="C131" i="53" s="1"/>
  <c r="C38" i="53" s="1"/>
  <c r="C36" i="53"/>
  <c r="C37" i="53" s="1"/>
  <c r="F36" i="53"/>
  <c r="F37" i="53" s="1"/>
  <c r="F127" i="53"/>
  <c r="F129" i="53" s="1"/>
  <c r="F131" i="53" s="1"/>
  <c r="F38" i="53" s="1"/>
  <c r="G127" i="53"/>
  <c r="G129" i="53" s="1"/>
  <c r="G131" i="53" s="1"/>
  <c r="G38" i="53" s="1"/>
  <c r="G36" i="53"/>
  <c r="G37" i="53" s="1"/>
  <c r="D127" i="53"/>
  <c r="D129" i="53" s="1"/>
  <c r="D131" i="53" s="1"/>
  <c r="D38" i="53" s="1"/>
  <c r="D36" i="53"/>
  <c r="D37" i="53" s="1"/>
  <c r="C21" i="53"/>
  <c r="C22" i="53" s="1"/>
  <c r="E21" i="53"/>
  <c r="F21" i="53"/>
  <c r="F22" i="53" s="1"/>
  <c r="E36" i="53"/>
  <c r="E37" i="53" s="1"/>
  <c r="E127" i="53"/>
  <c r="E129" i="53" s="1"/>
  <c r="E131" i="53" s="1"/>
  <c r="E38" i="53" s="1"/>
  <c r="E29" i="53"/>
  <c r="D20" i="53"/>
  <c r="D22" i="53" s="1"/>
  <c r="F109" i="53"/>
  <c r="G31" i="53"/>
  <c r="C31" i="53"/>
  <c r="E31" i="53"/>
  <c r="C29" i="53"/>
  <c r="E109" i="53"/>
  <c r="F29" i="53"/>
  <c r="C30" i="53"/>
  <c r="G30" i="53"/>
  <c r="G29" i="53"/>
  <c r="H18" i="53"/>
  <c r="H109" i="53"/>
  <c r="H37" i="58"/>
  <c r="I24" i="58"/>
  <c r="I26" i="58"/>
  <c r="I10" i="58"/>
  <c r="I31" i="58" s="1"/>
  <c r="I29" i="58"/>
  <c r="I25" i="56"/>
  <c r="I27" i="56" s="1"/>
  <c r="I26" i="56"/>
  <c r="I29" i="56" s="1"/>
  <c r="I58" i="56"/>
  <c r="I41" i="56"/>
  <c r="I23" i="56"/>
  <c r="I24" i="56" s="1"/>
  <c r="I15" i="56"/>
  <c r="I34" i="56" s="1"/>
  <c r="I33" i="56"/>
  <c r="G32" i="25"/>
  <c r="C45" i="25"/>
  <c r="I122" i="25"/>
  <c r="I37" i="25" s="1"/>
  <c r="I38" i="25" s="1"/>
  <c r="G30" i="25"/>
  <c r="C10" i="25"/>
  <c r="E32" i="25"/>
  <c r="I39" i="54"/>
  <c r="I41" i="54"/>
  <c r="I22" i="52"/>
  <c r="I41" i="52"/>
  <c r="I23" i="52" s="1"/>
  <c r="I25" i="52" s="1"/>
  <c r="H41" i="52"/>
  <c r="H39" i="52"/>
  <c r="I25" i="51"/>
  <c r="I27" i="51" s="1"/>
  <c r="I26" i="51"/>
  <c r="I29" i="51" s="1"/>
  <c r="I58" i="51"/>
  <c r="I41" i="51"/>
  <c r="I39" i="51"/>
  <c r="I23" i="51"/>
  <c r="I24" i="51" s="1"/>
  <c r="I34" i="51"/>
  <c r="I39" i="50"/>
  <c r="I37" i="50"/>
  <c r="I15" i="50"/>
  <c r="I14" i="50"/>
  <c r="I32" i="50" s="1"/>
  <c r="I15" i="49"/>
  <c r="I30" i="49"/>
  <c r="I31" i="49"/>
  <c r="I11" i="49"/>
  <c r="I32" i="49" s="1"/>
  <c r="I29" i="49"/>
  <c r="I15" i="25"/>
  <c r="I10" i="25"/>
  <c r="D22" i="25"/>
  <c r="H42" i="25"/>
  <c r="H40" i="25"/>
  <c r="C21" i="25"/>
  <c r="C52" i="25"/>
  <c r="D21" i="25"/>
  <c r="I22" i="25"/>
  <c r="I23" i="25" s="1"/>
  <c r="C42" i="25"/>
  <c r="C40" i="25"/>
  <c r="F22" i="25"/>
  <c r="D40" i="25"/>
  <c r="D42" i="25"/>
  <c r="C22" i="25"/>
  <c r="G22" i="25"/>
  <c r="F21" i="25"/>
  <c r="H22" i="25"/>
  <c r="G21" i="25"/>
  <c r="H21" i="25"/>
  <c r="F32" i="25"/>
  <c r="E42" i="25"/>
  <c r="F42" i="25"/>
  <c r="D15" i="25"/>
  <c r="H30" i="25"/>
  <c r="G31" i="25"/>
  <c r="I12" i="25"/>
  <c r="G42" i="25"/>
  <c r="D32" i="25"/>
  <c r="H33" i="25"/>
  <c r="I31" i="25"/>
  <c r="D10" i="25"/>
  <c r="E30" i="25"/>
  <c r="E10" i="25"/>
  <c r="D30" i="25"/>
  <c r="H31" i="25"/>
  <c r="D12" i="25"/>
  <c r="E31" i="25"/>
  <c r="G12" i="25"/>
  <c r="G10" i="25"/>
  <c r="I41" i="26"/>
  <c r="I54" i="26" s="1"/>
  <c r="I37" i="26"/>
  <c r="I31" i="26"/>
  <c r="I14" i="26"/>
  <c r="I30" i="26"/>
  <c r="I11" i="26"/>
  <c r="F24" i="41"/>
  <c r="F41" i="41"/>
  <c r="F43" i="41"/>
  <c r="F25" i="41" s="1"/>
  <c r="F27" i="41" s="1"/>
  <c r="C60" i="41"/>
  <c r="G22" i="41"/>
  <c r="G24" i="41" s="1"/>
  <c r="C22" i="41"/>
  <c r="C24" i="41" s="1"/>
  <c r="H20" i="41"/>
  <c r="H23" i="41" s="1"/>
  <c r="H43" i="41"/>
  <c r="E24" i="41"/>
  <c r="C43" i="41"/>
  <c r="C41" i="41"/>
  <c r="E38" i="41"/>
  <c r="E39" i="41" s="1"/>
  <c r="E140" i="41"/>
  <c r="D60" i="41"/>
  <c r="E41" i="41"/>
  <c r="G31" i="41"/>
  <c r="D43" i="41"/>
  <c r="D26" i="41" s="1"/>
  <c r="D29" i="41" s="1"/>
  <c r="H123" i="41"/>
  <c r="I17" i="41"/>
  <c r="I34" i="41"/>
  <c r="I22" i="38"/>
  <c r="I17" i="38"/>
  <c r="I34" i="38"/>
  <c r="I34" i="13"/>
  <c r="I32" i="13"/>
  <c r="I15" i="13"/>
  <c r="H19" i="13"/>
  <c r="H20" i="13" s="1"/>
  <c r="H24" i="13" s="1"/>
  <c r="G19" i="13"/>
  <c r="G20" i="13" s="1"/>
  <c r="G24" i="13" s="1"/>
  <c r="C30" i="13"/>
  <c r="C28" i="13"/>
  <c r="F30" i="13"/>
  <c r="C46" i="13"/>
  <c r="C78" i="13" s="1"/>
  <c r="C12" i="13"/>
  <c r="C35" i="13" s="1"/>
  <c r="C34" i="13"/>
  <c r="V15" i="1"/>
  <c r="X15" i="1" s="1"/>
  <c r="D28" i="13"/>
  <c r="I41" i="40"/>
  <c r="I18" i="40"/>
  <c r="I30" i="40"/>
  <c r="I31" i="40"/>
  <c r="I29" i="40"/>
  <c r="V32" i="1"/>
  <c r="X32" i="1" s="1"/>
  <c r="I20" i="23"/>
  <c r="I21" i="23"/>
  <c r="I22" i="23" s="1"/>
  <c r="I32" i="23"/>
  <c r="J31" i="23"/>
  <c r="J30" i="23"/>
  <c r="I27" i="12"/>
  <c r="I25" i="12"/>
  <c r="I26" i="12" s="1"/>
  <c r="I21" i="12"/>
  <c r="I22" i="12" s="1"/>
  <c r="I32" i="12"/>
  <c r="I37" i="15"/>
  <c r="E15" i="87" s="1"/>
  <c r="I27" i="15"/>
  <c r="I25" i="15"/>
  <c r="I21" i="15"/>
  <c r="I22" i="15" s="1"/>
  <c r="V24" i="1"/>
  <c r="X24" i="1" s="1"/>
  <c r="I22" i="22"/>
  <c r="I26" i="22"/>
  <c r="I28" i="22"/>
  <c r="I14" i="22"/>
  <c r="I30" i="22"/>
  <c r="I32" i="22"/>
  <c r="E25" i="14"/>
  <c r="D25" i="14"/>
  <c r="I18" i="14"/>
  <c r="I25" i="14" s="1"/>
  <c r="I41" i="14"/>
  <c r="I60" i="14" s="1"/>
  <c r="I32" i="14"/>
  <c r="I29" i="14"/>
  <c r="I30" i="14"/>
  <c r="I31" i="14"/>
  <c r="V29" i="1"/>
  <c r="X29" i="1" s="1"/>
  <c r="I22" i="42"/>
  <c r="I41" i="42"/>
  <c r="I54" i="42" s="1"/>
  <c r="I39" i="42"/>
  <c r="I41" i="44"/>
  <c r="I24" i="44" s="1"/>
  <c r="I27" i="44" s="1"/>
  <c r="H134" i="44"/>
  <c r="H137" i="44" s="1"/>
  <c r="H139" i="44" s="1"/>
  <c r="H38" i="44" s="1"/>
  <c r="H36" i="44"/>
  <c r="H37" i="44" s="1"/>
  <c r="I11" i="44"/>
  <c r="I32" i="44" s="1"/>
  <c r="I30" i="44"/>
  <c r="I31" i="44"/>
  <c r="I18" i="18"/>
  <c r="I41" i="18"/>
  <c r="I32" i="18"/>
  <c r="I31" i="18"/>
  <c r="I33" i="17"/>
  <c r="H33" i="17"/>
  <c r="D21" i="17"/>
  <c r="D23" i="17" s="1"/>
  <c r="E21" i="17"/>
  <c r="C31" i="17"/>
  <c r="C30" i="17"/>
  <c r="G121" i="17"/>
  <c r="Q7" i="1"/>
  <c r="I18" i="17"/>
  <c r="I19" i="17" s="1"/>
  <c r="I121" i="17"/>
  <c r="C33" i="17"/>
  <c r="H39" i="17"/>
  <c r="C19" i="17"/>
  <c r="C22" i="17" s="1"/>
  <c r="C23" i="17" s="1"/>
  <c r="I21" i="17"/>
  <c r="G18" i="17"/>
  <c r="I22" i="17"/>
  <c r="I60" i="37"/>
  <c r="I31" i="37"/>
  <c r="I29" i="37"/>
  <c r="I14" i="37"/>
  <c r="I32" i="37" s="1"/>
  <c r="I22" i="37"/>
  <c r="H21" i="9"/>
  <c r="H22" i="9" s="1"/>
  <c r="I14" i="9"/>
  <c r="I32" i="9" s="1"/>
  <c r="E10" i="88" s="1"/>
  <c r="I31" i="9"/>
  <c r="E9" i="88" s="1"/>
  <c r="I41" i="8"/>
  <c r="I60" i="8" s="1"/>
  <c r="I18" i="8"/>
  <c r="I31" i="8"/>
  <c r="I29" i="8"/>
  <c r="V40" i="1"/>
  <c r="X40" i="1" s="1"/>
  <c r="V26" i="1"/>
  <c r="X26" i="1" s="1"/>
  <c r="V22" i="1"/>
  <c r="X22" i="1" s="1"/>
  <c r="I42" i="6"/>
  <c r="I33" i="6"/>
  <c r="I15" i="6"/>
  <c r="I34" i="6"/>
  <c r="D20" i="6"/>
  <c r="D44" i="6"/>
  <c r="D17" i="6"/>
  <c r="D21" i="6" s="1"/>
  <c r="E17" i="6"/>
  <c r="E21" i="6" s="1"/>
  <c r="E20" i="6"/>
  <c r="E44" i="6"/>
  <c r="G17" i="6"/>
  <c r="G21" i="6" s="1"/>
  <c r="G20" i="6"/>
  <c r="G44" i="6"/>
  <c r="I25" i="6"/>
  <c r="I26" i="6" s="1"/>
  <c r="I31" i="6"/>
  <c r="I29" i="6"/>
  <c r="C31" i="6"/>
  <c r="C29" i="6"/>
  <c r="C25" i="6"/>
  <c r="C26" i="6" s="1"/>
  <c r="E33" i="6"/>
  <c r="F33" i="6"/>
  <c r="C34" i="6"/>
  <c r="E12" i="6"/>
  <c r="E36" i="6" s="1"/>
  <c r="F15" i="6"/>
  <c r="F36" i="6" s="1"/>
  <c r="E35" i="6"/>
  <c r="C17" i="6"/>
  <c r="C21" i="6" s="1"/>
  <c r="H40" i="6"/>
  <c r="C35" i="6"/>
  <c r="I17" i="6"/>
  <c r="I21" i="6" s="1"/>
  <c r="H33" i="6"/>
  <c r="G12" i="6"/>
  <c r="G36" i="6" s="1"/>
  <c r="G35" i="6"/>
  <c r="H20" i="6"/>
  <c r="C33" i="6"/>
  <c r="H12" i="6"/>
  <c r="H36" i="6" s="1"/>
  <c r="H17" i="6"/>
  <c r="H21" i="6" s="1"/>
  <c r="I36" i="6"/>
  <c r="L36" i="6"/>
  <c r="I29" i="5"/>
  <c r="I30" i="5" s="1"/>
  <c r="J30" i="5"/>
  <c r="K26" i="5"/>
  <c r="I24" i="3"/>
  <c r="I40" i="3"/>
  <c r="E20" i="3"/>
  <c r="E31" i="3" s="1"/>
  <c r="E44" i="3"/>
  <c r="E63" i="3" s="1"/>
  <c r="E17" i="3"/>
  <c r="E21" i="3" s="1"/>
  <c r="E34" i="3"/>
  <c r="C42" i="3"/>
  <c r="H42" i="3"/>
  <c r="D40" i="3"/>
  <c r="G12" i="3"/>
  <c r="Q6" i="1"/>
  <c r="G33" i="3"/>
  <c r="G35" i="3"/>
  <c r="D24" i="3"/>
  <c r="E12" i="3"/>
  <c r="I34" i="3"/>
  <c r="E15" i="3"/>
  <c r="C12" i="3"/>
  <c r="G40" i="3"/>
  <c r="C17" i="3"/>
  <c r="C21" i="3" s="1"/>
  <c r="C44" i="3"/>
  <c r="C63" i="3" s="1"/>
  <c r="C20" i="3"/>
  <c r="D20" i="3"/>
  <c r="D44" i="3"/>
  <c r="D63" i="3" s="1"/>
  <c r="D17" i="3"/>
  <c r="D21" i="3" s="1"/>
  <c r="I44" i="3"/>
  <c r="I63" i="3" s="1"/>
  <c r="F44" i="3"/>
  <c r="F63" i="3" s="1"/>
  <c r="F20" i="3"/>
  <c r="F17" i="3"/>
  <c r="F21" i="3" s="1"/>
  <c r="H20" i="3"/>
  <c r="H44" i="3"/>
  <c r="H63" i="3" s="1"/>
  <c r="H17" i="3"/>
  <c r="H21" i="3" s="1"/>
  <c r="I20" i="3"/>
  <c r="I25" i="3" s="1"/>
  <c r="I17" i="3"/>
  <c r="I21" i="3" s="1"/>
  <c r="I33" i="3"/>
  <c r="C33" i="3"/>
  <c r="G20" i="3"/>
  <c r="G17" i="3"/>
  <c r="G21" i="3" s="1"/>
  <c r="H35" i="3"/>
  <c r="H34" i="3"/>
  <c r="C34" i="3"/>
  <c r="H12" i="3"/>
  <c r="H36" i="3" s="1"/>
  <c r="I35" i="3"/>
  <c r="I12" i="3"/>
  <c r="L30" i="3"/>
  <c r="K64" i="2"/>
  <c r="M64" i="2"/>
  <c r="M32" i="2"/>
  <c r="M30" i="2"/>
  <c r="M31" i="2" s="1"/>
  <c r="M26" i="2"/>
  <c r="M27" i="2" s="1"/>
  <c r="L32" i="2"/>
  <c r="L30" i="2"/>
  <c r="L26" i="2"/>
  <c r="L27" i="2" s="1"/>
  <c r="I62" i="2"/>
  <c r="C63" i="2" s="1"/>
  <c r="V11" i="1"/>
  <c r="I36" i="2"/>
  <c r="G34" i="2"/>
  <c r="E34" i="2"/>
  <c r="E35" i="2"/>
  <c r="D34" i="2"/>
  <c r="H37" i="2"/>
  <c r="D36" i="2"/>
  <c r="C34" i="2"/>
  <c r="E36" i="2"/>
  <c r="G37" i="2"/>
  <c r="I43" i="2"/>
  <c r="F34" i="2"/>
  <c r="C36" i="2"/>
  <c r="C13" i="2"/>
  <c r="C37" i="2" s="1"/>
  <c r="H41" i="2"/>
  <c r="C43" i="2"/>
  <c r="F13" i="2"/>
  <c r="F37" i="2" s="1"/>
  <c r="H34" i="2"/>
  <c r="G36" i="2"/>
  <c r="F36" i="2"/>
  <c r="H43" i="2"/>
  <c r="G18" i="2"/>
  <c r="G22" i="2" s="1"/>
  <c r="E41" i="2"/>
  <c r="G41" i="2"/>
  <c r="D43" i="2"/>
  <c r="H18" i="2"/>
  <c r="H22" i="2" s="1"/>
  <c r="H45" i="2"/>
  <c r="H21" i="2"/>
  <c r="M11" i="1"/>
  <c r="H25" i="2"/>
  <c r="C18" i="2"/>
  <c r="C22" i="2" s="1"/>
  <c r="C21" i="2"/>
  <c r="I21" i="2"/>
  <c r="I18" i="2"/>
  <c r="I22" i="2" s="1"/>
  <c r="E18" i="2"/>
  <c r="E22" i="2" s="1"/>
  <c r="E45" i="2"/>
  <c r="E21" i="2"/>
  <c r="F21" i="2"/>
  <c r="F45" i="2"/>
  <c r="F18" i="2"/>
  <c r="F22" i="2" s="1"/>
  <c r="D45" i="2"/>
  <c r="D64" i="2" s="1"/>
  <c r="D18" i="2"/>
  <c r="D22" i="2" s="1"/>
  <c r="D21" i="2"/>
  <c r="F35" i="2"/>
  <c r="C45" i="2"/>
  <c r="I34" i="2"/>
  <c r="H36" i="2"/>
  <c r="E43" i="2"/>
  <c r="G21" i="2"/>
  <c r="I13" i="2"/>
  <c r="I37" i="2" s="1"/>
  <c r="C35" i="2"/>
  <c r="H35" i="2"/>
  <c r="G25" i="2"/>
  <c r="I35" i="2"/>
  <c r="V36" i="1"/>
  <c r="X36" i="1" s="1"/>
  <c r="C41" i="59"/>
  <c r="C39" i="59"/>
  <c r="H41" i="59"/>
  <c r="H39" i="59"/>
  <c r="F39" i="59"/>
  <c r="F41" i="59"/>
  <c r="E41" i="59"/>
  <c r="E39" i="59"/>
  <c r="G39" i="59"/>
  <c r="G41" i="59"/>
  <c r="E22" i="59"/>
  <c r="D41" i="59"/>
  <c r="D39" i="59"/>
  <c r="V7" i="1"/>
  <c r="X7" i="1" s="1"/>
  <c r="X33" i="1"/>
  <c r="V41" i="1"/>
  <c r="X41" i="1" s="1"/>
  <c r="X44" i="1"/>
  <c r="S44" i="1"/>
  <c r="S36" i="1"/>
  <c r="S42" i="1"/>
  <c r="S43" i="1"/>
  <c r="S33" i="1"/>
  <c r="D30" i="13" l="1"/>
  <c r="D29" i="13" s="1"/>
  <c r="D24" i="13"/>
  <c r="D25" i="13" s="1"/>
  <c r="E24" i="13"/>
  <c r="E25" i="13" s="1"/>
  <c r="F28" i="13"/>
  <c r="F29" i="13" s="1"/>
  <c r="F24" i="13"/>
  <c r="F25" i="13" s="1"/>
  <c r="I24" i="13"/>
  <c r="I25" i="13" s="1"/>
  <c r="T28" i="1"/>
  <c r="Y28" i="1"/>
  <c r="Y40" i="1"/>
  <c r="T40" i="1"/>
  <c r="Y36" i="1"/>
  <c r="T36" i="1"/>
  <c r="Y37" i="1"/>
  <c r="T37" i="1"/>
  <c r="T32" i="1"/>
  <c r="Y32" i="1"/>
  <c r="T31" i="1"/>
  <c r="Y31" i="1"/>
  <c r="T26" i="1"/>
  <c r="Y26" i="1"/>
  <c r="Y34" i="1"/>
  <c r="T33" i="1"/>
  <c r="Y33" i="1"/>
  <c r="Y38" i="1"/>
  <c r="T38" i="1"/>
  <c r="Y30" i="1"/>
  <c r="Y29" i="1"/>
  <c r="T29" i="1"/>
  <c r="S47" i="1"/>
  <c r="X14" i="1"/>
  <c r="Q17" i="1"/>
  <c r="S17" i="1" s="1"/>
  <c r="T17" i="1"/>
  <c r="T6" i="1"/>
  <c r="S6" i="1"/>
  <c r="Y15" i="1"/>
  <c r="C46" i="2"/>
  <c r="H64" i="2"/>
  <c r="C65" i="2"/>
  <c r="Y11" i="1"/>
  <c r="E36" i="17"/>
  <c r="E134" i="17"/>
  <c r="Y7" i="1"/>
  <c r="F4" i="9"/>
  <c r="F3" i="9"/>
  <c r="Q41" i="1"/>
  <c r="S41" i="1" s="1"/>
  <c r="T41" i="1"/>
  <c r="T14" i="1"/>
  <c r="Y14" i="1"/>
  <c r="T19" i="1"/>
  <c r="T27" i="1"/>
  <c r="Y27" i="1"/>
  <c r="T34" i="1"/>
  <c r="T10" i="1"/>
  <c r="Y10" i="1"/>
  <c r="T24" i="1"/>
  <c r="Y24" i="1"/>
  <c r="T18" i="1"/>
  <c r="Y18" i="1"/>
  <c r="T16" i="1"/>
  <c r="Y16" i="1"/>
  <c r="Y39" i="1"/>
  <c r="T39" i="1"/>
  <c r="T30" i="1"/>
  <c r="T21" i="1"/>
  <c r="T13" i="1"/>
  <c r="T11" i="1"/>
  <c r="T15" i="1"/>
  <c r="T8" i="1"/>
  <c r="T7" i="1"/>
  <c r="S7" i="1"/>
  <c r="C40" i="58"/>
  <c r="H58" i="58"/>
  <c r="C42" i="37"/>
  <c r="Q15" i="1"/>
  <c r="S15" i="1" s="1"/>
  <c r="F3" i="13"/>
  <c r="F4" i="13"/>
  <c r="S34" i="1"/>
  <c r="I27" i="22"/>
  <c r="D33" i="22"/>
  <c r="D41" i="44"/>
  <c r="M8" i="1"/>
  <c r="H64" i="5"/>
  <c r="C30" i="5"/>
  <c r="I26" i="5"/>
  <c r="X11" i="1"/>
  <c r="X34" i="1"/>
  <c r="S13" i="1"/>
  <c r="C58" i="9"/>
  <c r="O13" i="1" s="1"/>
  <c r="H18" i="17"/>
  <c r="H19" i="17" s="1"/>
  <c r="H22" i="17" s="1"/>
  <c r="H23" i="17" s="1"/>
  <c r="F3" i="38"/>
  <c r="H3" i="38" s="1"/>
  <c r="C3" i="38"/>
  <c r="G25" i="38"/>
  <c r="G26" i="38"/>
  <c r="E25" i="38"/>
  <c r="E26" i="38"/>
  <c r="F25" i="38"/>
  <c r="F26" i="38"/>
  <c r="F29" i="38" s="1"/>
  <c r="H62" i="38"/>
  <c r="H25" i="38"/>
  <c r="H27" i="38" s="1"/>
  <c r="H26" i="38"/>
  <c r="H29" i="38" s="1"/>
  <c r="Q14" i="1"/>
  <c r="S14" i="1" s="1"/>
  <c r="F4" i="38"/>
  <c r="F62" i="38"/>
  <c r="A10" i="88"/>
  <c r="G10" i="88" s="1"/>
  <c r="A9" i="88"/>
  <c r="G9" i="88" s="1"/>
  <c r="D31" i="88"/>
  <c r="E17" i="88"/>
  <c r="C31" i="88"/>
  <c r="F31" i="88" s="1"/>
  <c r="C38" i="88" s="1"/>
  <c r="C39" i="88" s="1"/>
  <c r="D17" i="88"/>
  <c r="G17" i="88" s="1"/>
  <c r="G7" i="88"/>
  <c r="A7" i="88"/>
  <c r="F35" i="88"/>
  <c r="F37" i="88" s="1"/>
  <c r="C35" i="88"/>
  <c r="G15" i="88"/>
  <c r="K34" i="1"/>
  <c r="I134" i="17"/>
  <c r="I141" i="17" s="1"/>
  <c r="I144" i="17" s="1"/>
  <c r="I38" i="17" s="1"/>
  <c r="I37" i="17"/>
  <c r="G134" i="17"/>
  <c r="G141" i="17" s="1"/>
  <c r="G144" i="17" s="1"/>
  <c r="G38" i="17" s="1"/>
  <c r="G37" i="17"/>
  <c r="F134" i="17"/>
  <c r="F141" i="17" s="1"/>
  <c r="F144" i="17" s="1"/>
  <c r="F38" i="17" s="1"/>
  <c r="F39" i="17" s="1"/>
  <c r="F37" i="17"/>
  <c r="E141" i="17"/>
  <c r="E144" i="17" s="1"/>
  <c r="E38" i="17" s="1"/>
  <c r="E39" i="17" s="1"/>
  <c r="E37" i="17"/>
  <c r="D134" i="17"/>
  <c r="D141" i="17" s="1"/>
  <c r="D144" i="17" s="1"/>
  <c r="D38" i="17" s="1"/>
  <c r="D37" i="17"/>
  <c r="C134" i="17"/>
  <c r="C141" i="17" s="1"/>
  <c r="C144" i="17" s="1"/>
  <c r="C38" i="17" s="1"/>
  <c r="C36" i="17"/>
  <c r="C37" i="17" s="1"/>
  <c r="S5" i="1"/>
  <c r="E3" i="16"/>
  <c r="E17" i="87"/>
  <c r="D31" i="87"/>
  <c r="C59" i="15"/>
  <c r="F29" i="87"/>
  <c r="H37" i="15"/>
  <c r="D15" i="87" s="1"/>
  <c r="D14" i="87"/>
  <c r="I59" i="9"/>
  <c r="I24" i="9"/>
  <c r="I27" i="9" s="1"/>
  <c r="I23" i="9"/>
  <c r="I25" i="9" s="1"/>
  <c r="F59" i="9"/>
  <c r="F24" i="9"/>
  <c r="F27" i="9" s="1"/>
  <c r="F23" i="9"/>
  <c r="F25" i="9" s="1"/>
  <c r="E24" i="9"/>
  <c r="E27" i="9" s="1"/>
  <c r="E23" i="9"/>
  <c r="E25" i="9" s="1"/>
  <c r="D59" i="9"/>
  <c r="D24" i="9"/>
  <c r="D27" i="9" s="1"/>
  <c r="D23" i="9"/>
  <c r="D25" i="9" s="1"/>
  <c r="H59" i="9"/>
  <c r="H24" i="9"/>
  <c r="H27" i="9" s="1"/>
  <c r="H23" i="9"/>
  <c r="H25" i="9" s="1"/>
  <c r="G24" i="9"/>
  <c r="G27" i="9" s="1"/>
  <c r="G23" i="9"/>
  <c r="G25" i="9" s="1"/>
  <c r="C59" i="9"/>
  <c r="C24" i="9"/>
  <c r="C27" i="9" s="1"/>
  <c r="C23" i="9"/>
  <c r="C25" i="9" s="1"/>
  <c r="I36" i="3"/>
  <c r="D35" i="13"/>
  <c r="C25" i="13"/>
  <c r="I24" i="25"/>
  <c r="I26" i="25" s="1"/>
  <c r="I56" i="25"/>
  <c r="C59" i="8"/>
  <c r="O21" i="1" s="1"/>
  <c r="Q11" i="1"/>
  <c r="S11" i="1" s="1"/>
  <c r="H52" i="1"/>
  <c r="C46" i="5"/>
  <c r="D29" i="5"/>
  <c r="C22" i="9"/>
  <c r="G59" i="9"/>
  <c r="C41" i="9"/>
  <c r="D26" i="9"/>
  <c r="C42" i="59"/>
  <c r="H7" i="1" s="1"/>
  <c r="I24" i="53"/>
  <c r="I27" i="53" s="1"/>
  <c r="G32" i="53"/>
  <c r="C32" i="53"/>
  <c r="C51" i="53"/>
  <c r="C55" i="58"/>
  <c r="M47" i="1" s="1"/>
  <c r="C59" i="58"/>
  <c r="H25" i="58"/>
  <c r="C31" i="58"/>
  <c r="E25" i="58"/>
  <c r="G25" i="58"/>
  <c r="E3" i="58"/>
  <c r="F21" i="58"/>
  <c r="F26" i="58"/>
  <c r="F24" i="58"/>
  <c r="F25" i="58" s="1"/>
  <c r="H37" i="1"/>
  <c r="D31" i="58"/>
  <c r="T47" i="1"/>
  <c r="H34" i="56"/>
  <c r="I28" i="56"/>
  <c r="F24" i="56"/>
  <c r="C24" i="56"/>
  <c r="C26" i="56"/>
  <c r="C29" i="56" s="1"/>
  <c r="C58" i="56"/>
  <c r="C25" i="56"/>
  <c r="C27" i="56" s="1"/>
  <c r="C28" i="56" s="1"/>
  <c r="D45" i="56"/>
  <c r="D41" i="56"/>
  <c r="G24" i="56"/>
  <c r="C55" i="56"/>
  <c r="H25" i="56"/>
  <c r="H27" i="56" s="1"/>
  <c r="H28" i="56" s="1"/>
  <c r="H26" i="56"/>
  <c r="H29" i="56" s="1"/>
  <c r="H58" i="56"/>
  <c r="F45" i="56"/>
  <c r="F41" i="56"/>
  <c r="G41" i="56"/>
  <c r="G45" i="56"/>
  <c r="E25" i="56"/>
  <c r="E27" i="56" s="1"/>
  <c r="E58" i="56"/>
  <c r="E26" i="56"/>
  <c r="E29" i="56" s="1"/>
  <c r="G22" i="54"/>
  <c r="H39" i="54"/>
  <c r="H41" i="54"/>
  <c r="E41" i="54"/>
  <c r="E39" i="54"/>
  <c r="C41" i="54"/>
  <c r="C39" i="54"/>
  <c r="F41" i="54"/>
  <c r="F39" i="54"/>
  <c r="D23" i="54"/>
  <c r="D25" i="54" s="1"/>
  <c r="D54" i="54"/>
  <c r="D24" i="54"/>
  <c r="D27" i="54" s="1"/>
  <c r="H22" i="54"/>
  <c r="F21" i="54"/>
  <c r="F22" i="54" s="1"/>
  <c r="G41" i="54"/>
  <c r="G39" i="54"/>
  <c r="E39" i="52"/>
  <c r="I24" i="52"/>
  <c r="I27" i="52" s="1"/>
  <c r="E22" i="52"/>
  <c r="C39" i="52"/>
  <c r="C41" i="52"/>
  <c r="E3" i="52"/>
  <c r="G52" i="52"/>
  <c r="C53" i="52" s="1"/>
  <c r="E23" i="52"/>
  <c r="E25" i="52" s="1"/>
  <c r="E24" i="52"/>
  <c r="E27" i="52" s="1"/>
  <c r="E54" i="52"/>
  <c r="G39" i="52"/>
  <c r="G41" i="52"/>
  <c r="D23" i="52"/>
  <c r="D25" i="52" s="1"/>
  <c r="D24" i="52"/>
  <c r="D27" i="52" s="1"/>
  <c r="D54" i="52"/>
  <c r="C51" i="52"/>
  <c r="I54" i="52"/>
  <c r="F23" i="52"/>
  <c r="F25" i="52" s="1"/>
  <c r="F24" i="52"/>
  <c r="F27" i="52" s="1"/>
  <c r="F54" i="52"/>
  <c r="I28" i="51"/>
  <c r="H34" i="51"/>
  <c r="G129" i="51"/>
  <c r="G131" i="51" s="1"/>
  <c r="G133" i="51" s="1"/>
  <c r="G40" i="51" s="1"/>
  <c r="D24" i="51"/>
  <c r="C24" i="51"/>
  <c r="E41" i="51"/>
  <c r="E45" i="51"/>
  <c r="D26" i="51"/>
  <c r="D29" i="51" s="1"/>
  <c r="D25" i="51"/>
  <c r="D27" i="51" s="1"/>
  <c r="D28" i="51" s="1"/>
  <c r="D58" i="51"/>
  <c r="G45" i="51"/>
  <c r="G41" i="51"/>
  <c r="C25" i="51"/>
  <c r="C27" i="51" s="1"/>
  <c r="C26" i="51"/>
  <c r="C29" i="51" s="1"/>
  <c r="C58" i="51"/>
  <c r="G23" i="51"/>
  <c r="G24" i="51" s="1"/>
  <c r="H45" i="51"/>
  <c r="H41" i="51"/>
  <c r="F58" i="51"/>
  <c r="F25" i="51"/>
  <c r="F27" i="51" s="1"/>
  <c r="F28" i="51" s="1"/>
  <c r="F26" i="51"/>
  <c r="F29" i="51" s="1"/>
  <c r="F36" i="50"/>
  <c r="F37" i="50" s="1"/>
  <c r="G41" i="50"/>
  <c r="F41" i="50"/>
  <c r="F39" i="50"/>
  <c r="G24" i="50"/>
  <c r="G54" i="50"/>
  <c r="G23" i="50"/>
  <c r="G25" i="50" s="1"/>
  <c r="G26" i="50" s="1"/>
  <c r="H41" i="50"/>
  <c r="H39" i="50"/>
  <c r="C24" i="50"/>
  <c r="C27" i="50" s="1"/>
  <c r="C54" i="50"/>
  <c r="C23" i="50"/>
  <c r="C25" i="50" s="1"/>
  <c r="E39" i="50"/>
  <c r="E41" i="50"/>
  <c r="D39" i="50"/>
  <c r="D41" i="50"/>
  <c r="G27" i="50"/>
  <c r="G21" i="50"/>
  <c r="G22" i="50"/>
  <c r="E41" i="49"/>
  <c r="C22" i="49"/>
  <c r="Q18" i="1"/>
  <c r="S18" i="1" s="1"/>
  <c r="D41" i="49"/>
  <c r="D39" i="49"/>
  <c r="M18" i="1"/>
  <c r="C23" i="49"/>
  <c r="C25" i="49" s="1"/>
  <c r="C24" i="49"/>
  <c r="C27" i="49" s="1"/>
  <c r="C60" i="49"/>
  <c r="F60" i="49"/>
  <c r="F24" i="49"/>
  <c r="F27" i="49" s="1"/>
  <c r="F23" i="49"/>
  <c r="F25" i="49" s="1"/>
  <c r="F26" i="49" s="1"/>
  <c r="E22" i="49"/>
  <c r="G39" i="49"/>
  <c r="G41" i="49"/>
  <c r="D22" i="49"/>
  <c r="H41" i="49"/>
  <c r="H39" i="49"/>
  <c r="D23" i="25"/>
  <c r="G33" i="25"/>
  <c r="C43" i="25"/>
  <c r="I33" i="25"/>
  <c r="F23" i="25"/>
  <c r="Q20" i="1"/>
  <c r="S20" i="1" s="1"/>
  <c r="C32" i="26"/>
  <c r="F32" i="26"/>
  <c r="G32" i="26"/>
  <c r="D32" i="26"/>
  <c r="G39" i="26"/>
  <c r="G41" i="26"/>
  <c r="D39" i="26"/>
  <c r="D41" i="26"/>
  <c r="H54" i="26"/>
  <c r="H23" i="26"/>
  <c r="H25" i="26" s="1"/>
  <c r="H24" i="26"/>
  <c r="H27" i="26" s="1"/>
  <c r="E39" i="26"/>
  <c r="E41" i="26"/>
  <c r="C24" i="26"/>
  <c r="C27" i="26" s="1"/>
  <c r="C54" i="26"/>
  <c r="C23" i="26"/>
  <c r="C25" i="26" s="1"/>
  <c r="F23" i="26"/>
  <c r="F25" i="26" s="1"/>
  <c r="F54" i="26"/>
  <c r="F24" i="26"/>
  <c r="F27" i="26" s="1"/>
  <c r="I23" i="26"/>
  <c r="I25" i="26" s="1"/>
  <c r="I24" i="26"/>
  <c r="I27" i="26" s="1"/>
  <c r="E26" i="41"/>
  <c r="E29" i="41" s="1"/>
  <c r="E62" i="41"/>
  <c r="H24" i="41"/>
  <c r="D62" i="41"/>
  <c r="G43" i="41"/>
  <c r="D25" i="41"/>
  <c r="D27" i="41" s="1"/>
  <c r="E3" i="41"/>
  <c r="Y19" i="1" s="1"/>
  <c r="G60" i="41"/>
  <c r="C61" i="41" s="1"/>
  <c r="O19" i="1" s="1"/>
  <c r="C59" i="41"/>
  <c r="M19" i="1" s="1"/>
  <c r="F27" i="38"/>
  <c r="F28" i="38" s="1"/>
  <c r="D20" i="38"/>
  <c r="D23" i="38" s="1"/>
  <c r="D24" i="38" s="1"/>
  <c r="D43" i="38"/>
  <c r="G29" i="38"/>
  <c r="G27" i="38"/>
  <c r="G28" i="38" s="1"/>
  <c r="E29" i="38"/>
  <c r="E27" i="38"/>
  <c r="E28" i="38" s="1"/>
  <c r="E62" i="38"/>
  <c r="H28" i="38"/>
  <c r="G58" i="38"/>
  <c r="M14" i="1" s="1"/>
  <c r="G22" i="38"/>
  <c r="G24" i="38" s="1"/>
  <c r="C28" i="38"/>
  <c r="H24" i="38"/>
  <c r="C58" i="38"/>
  <c r="C62" i="38" s="1"/>
  <c r="C22" i="38"/>
  <c r="C24" i="38" s="1"/>
  <c r="K15" i="1"/>
  <c r="F35" i="13"/>
  <c r="C29" i="13"/>
  <c r="E30" i="13"/>
  <c r="E28" i="13"/>
  <c r="I35" i="13"/>
  <c r="I28" i="13"/>
  <c r="I30" i="13"/>
  <c r="D39" i="40"/>
  <c r="D41" i="40"/>
  <c r="G41" i="40"/>
  <c r="G39" i="40"/>
  <c r="E24" i="40"/>
  <c r="E27" i="40" s="1"/>
  <c r="E23" i="40"/>
  <c r="E25" i="40" s="1"/>
  <c r="E26" i="40" s="1"/>
  <c r="E54" i="40"/>
  <c r="F39" i="40"/>
  <c r="F41" i="40"/>
  <c r="H23" i="40"/>
  <c r="H25" i="40" s="1"/>
  <c r="H54" i="40"/>
  <c r="H24" i="40"/>
  <c r="H27" i="40" s="1"/>
  <c r="C23" i="40"/>
  <c r="C25" i="40" s="1"/>
  <c r="C54" i="40"/>
  <c r="C24" i="40"/>
  <c r="C27" i="40" s="1"/>
  <c r="I41" i="23"/>
  <c r="I60" i="23" s="1"/>
  <c r="E60" i="23"/>
  <c r="E24" i="23"/>
  <c r="E27" i="23" s="1"/>
  <c r="E23" i="23"/>
  <c r="E25" i="23" s="1"/>
  <c r="E26" i="23" s="1"/>
  <c r="Q32" i="1"/>
  <c r="S32" i="1" s="1"/>
  <c r="H24" i="23"/>
  <c r="H27" i="23" s="1"/>
  <c r="H23" i="23"/>
  <c r="H25" i="23" s="1"/>
  <c r="H26" i="23" s="1"/>
  <c r="H60" i="23"/>
  <c r="F24" i="23"/>
  <c r="F27" i="23" s="1"/>
  <c r="F60" i="23"/>
  <c r="F23" i="23"/>
  <c r="F25" i="23" s="1"/>
  <c r="F26" i="23" s="1"/>
  <c r="C23" i="23"/>
  <c r="C25" i="23" s="1"/>
  <c r="C60" i="23"/>
  <c r="C24" i="23"/>
  <c r="C27" i="23" s="1"/>
  <c r="D23" i="23"/>
  <c r="D25" i="23" s="1"/>
  <c r="D24" i="23"/>
  <c r="D27" i="23" s="1"/>
  <c r="D60" i="23"/>
  <c r="G39" i="23"/>
  <c r="G41" i="23"/>
  <c r="G22" i="11"/>
  <c r="H26" i="11"/>
  <c r="E39" i="11"/>
  <c r="E41" i="11"/>
  <c r="C39" i="11"/>
  <c r="C41" i="11"/>
  <c r="D41" i="11"/>
  <c r="D39" i="11"/>
  <c r="F23" i="11"/>
  <c r="F25" i="11" s="1"/>
  <c r="F24" i="11"/>
  <c r="F27" i="11" s="1"/>
  <c r="F60" i="11"/>
  <c r="G39" i="11"/>
  <c r="G41" i="11"/>
  <c r="D22" i="12"/>
  <c r="G26" i="12"/>
  <c r="C23" i="12"/>
  <c r="C25" i="12" s="1"/>
  <c r="C24" i="12"/>
  <c r="C27" i="12" s="1"/>
  <c r="C60" i="12"/>
  <c r="H39" i="12"/>
  <c r="H41" i="12"/>
  <c r="H60" i="12" s="1"/>
  <c r="F24" i="12"/>
  <c r="F27" i="12" s="1"/>
  <c r="F60" i="12"/>
  <c r="F23" i="12"/>
  <c r="F25" i="12" s="1"/>
  <c r="E41" i="12"/>
  <c r="E39" i="12"/>
  <c r="G60" i="12"/>
  <c r="D39" i="12"/>
  <c r="D41" i="12"/>
  <c r="G26" i="16"/>
  <c r="G41" i="16"/>
  <c r="G60" i="16" s="1"/>
  <c r="G39" i="16"/>
  <c r="F41" i="16"/>
  <c r="F39" i="16"/>
  <c r="E60" i="16"/>
  <c r="E24" i="16"/>
  <c r="E27" i="16" s="1"/>
  <c r="E23" i="16"/>
  <c r="E25" i="16" s="1"/>
  <c r="D41" i="16"/>
  <c r="D39" i="16"/>
  <c r="H41" i="16"/>
  <c r="H39" i="16"/>
  <c r="C41" i="16"/>
  <c r="C39" i="16"/>
  <c r="E32" i="15"/>
  <c r="H41" i="15"/>
  <c r="H26" i="15"/>
  <c r="G39" i="15"/>
  <c r="G41" i="15"/>
  <c r="G60" i="15" s="1"/>
  <c r="I26" i="15"/>
  <c r="C24" i="15"/>
  <c r="C27" i="15" s="1"/>
  <c r="C60" i="15"/>
  <c r="C23" i="15"/>
  <c r="C25" i="15" s="1"/>
  <c r="C26" i="15" s="1"/>
  <c r="C42" i="15"/>
  <c r="H35" i="1" s="1"/>
  <c r="E41" i="15"/>
  <c r="E39" i="15"/>
  <c r="D23" i="15"/>
  <c r="D25" i="15" s="1"/>
  <c r="D24" i="15"/>
  <c r="D27" i="15" s="1"/>
  <c r="D60" i="15"/>
  <c r="F23" i="15"/>
  <c r="F25" i="15" s="1"/>
  <c r="F24" i="15"/>
  <c r="F27" i="15" s="1"/>
  <c r="E43" i="22"/>
  <c r="I23" i="22"/>
  <c r="H27" i="22"/>
  <c r="E27" i="22"/>
  <c r="G33" i="22"/>
  <c r="G27" i="22"/>
  <c r="I33" i="22"/>
  <c r="I39" i="22"/>
  <c r="I141" i="22"/>
  <c r="I40" i="22" s="1"/>
  <c r="D41" i="22"/>
  <c r="D43" i="22"/>
  <c r="F41" i="22"/>
  <c r="F43" i="22"/>
  <c r="F62" i="22" s="1"/>
  <c r="G41" i="22"/>
  <c r="G43" i="22"/>
  <c r="G62" i="22" s="1"/>
  <c r="D27" i="22"/>
  <c r="D58" i="22"/>
  <c r="D21" i="22"/>
  <c r="D23" i="22" s="1"/>
  <c r="F27" i="22"/>
  <c r="C26" i="22"/>
  <c r="C22" i="22"/>
  <c r="C28" i="22"/>
  <c r="H41" i="22"/>
  <c r="H43" i="22"/>
  <c r="H62" i="22" s="1"/>
  <c r="E62" i="22"/>
  <c r="C21" i="22"/>
  <c r="C43" i="22"/>
  <c r="C41" i="22"/>
  <c r="D32" i="14"/>
  <c r="G58" i="14"/>
  <c r="O23" i="1" s="1"/>
  <c r="D21" i="14"/>
  <c r="D22" i="14" s="1"/>
  <c r="D27" i="14"/>
  <c r="F26" i="14"/>
  <c r="C42" i="14"/>
  <c r="H48" i="1" s="1"/>
  <c r="F60" i="14"/>
  <c r="D26" i="14"/>
  <c r="E27" i="14"/>
  <c r="E26" i="14" s="1"/>
  <c r="E21" i="14"/>
  <c r="E22" i="14" s="1"/>
  <c r="C57" i="14"/>
  <c r="M23" i="1" s="1"/>
  <c r="G60" i="14"/>
  <c r="H60" i="14"/>
  <c r="G26" i="14"/>
  <c r="Q29" i="1"/>
  <c r="S29" i="1" s="1"/>
  <c r="D23" i="43"/>
  <c r="D25" i="43" s="1"/>
  <c r="D24" i="43"/>
  <c r="D27" i="43" s="1"/>
  <c r="D54" i="43"/>
  <c r="C21" i="43"/>
  <c r="C22" i="43" s="1"/>
  <c r="C39" i="43"/>
  <c r="C41" i="43"/>
  <c r="E41" i="43"/>
  <c r="E39" i="43"/>
  <c r="I26" i="43"/>
  <c r="H41" i="43"/>
  <c r="H39" i="43"/>
  <c r="G41" i="43"/>
  <c r="G39" i="43"/>
  <c r="F24" i="43"/>
  <c r="F27" i="43" s="1"/>
  <c r="F54" i="43"/>
  <c r="F23" i="43"/>
  <c r="F25" i="43" s="1"/>
  <c r="F26" i="43" s="1"/>
  <c r="C32" i="42"/>
  <c r="F39" i="42"/>
  <c r="F41" i="42"/>
  <c r="C23" i="42"/>
  <c r="C25" i="42" s="1"/>
  <c r="C54" i="42"/>
  <c r="C24" i="42"/>
  <c r="C27" i="42" s="1"/>
  <c r="H26" i="42"/>
  <c r="D22" i="42"/>
  <c r="C42" i="42"/>
  <c r="H24" i="1" s="1"/>
  <c r="G24" i="42"/>
  <c r="G27" i="42" s="1"/>
  <c r="G23" i="42"/>
  <c r="G25" i="42" s="1"/>
  <c r="G26" i="42" s="1"/>
  <c r="G54" i="42"/>
  <c r="C55" i="42" s="1"/>
  <c r="K28" i="1" s="1"/>
  <c r="D41" i="42"/>
  <c r="D39" i="42"/>
  <c r="E24" i="42"/>
  <c r="E27" i="42" s="1"/>
  <c r="E54" i="42"/>
  <c r="E23" i="42"/>
  <c r="E25" i="42" s="1"/>
  <c r="E26" i="42" s="1"/>
  <c r="D140" i="44"/>
  <c r="D40" i="44" s="1"/>
  <c r="D56" i="44" s="1"/>
  <c r="D39" i="44"/>
  <c r="D20" i="44"/>
  <c r="D22" i="44" s="1"/>
  <c r="G39" i="44"/>
  <c r="G41" i="44"/>
  <c r="C140" i="44"/>
  <c r="C40" i="44" s="1"/>
  <c r="C56" i="44" s="1"/>
  <c r="C38" i="44"/>
  <c r="F38" i="44"/>
  <c r="F140" i="44"/>
  <c r="F40" i="44" s="1"/>
  <c r="F56" i="44" s="1"/>
  <c r="E140" i="44"/>
  <c r="E40" i="44" s="1"/>
  <c r="E56" i="44" s="1"/>
  <c r="E38" i="44"/>
  <c r="M39" i="1"/>
  <c r="I20" i="44"/>
  <c r="I22" i="44" s="1"/>
  <c r="D23" i="44"/>
  <c r="D25" i="44" s="1"/>
  <c r="D24" i="44"/>
  <c r="D27" i="44" s="1"/>
  <c r="D60" i="44"/>
  <c r="V30" i="1"/>
  <c r="X30" i="1" s="1"/>
  <c r="G32" i="18"/>
  <c r="F22" i="18"/>
  <c r="J61" i="18"/>
  <c r="D23" i="18"/>
  <c r="D25" i="18" s="1"/>
  <c r="D61" i="18"/>
  <c r="D24" i="18"/>
  <c r="D27" i="18" s="1"/>
  <c r="C24" i="18"/>
  <c r="C27" i="18" s="1"/>
  <c r="C61" i="18"/>
  <c r="C23" i="18"/>
  <c r="C25" i="18" s="1"/>
  <c r="C26" i="18" s="1"/>
  <c r="G61" i="18"/>
  <c r="G23" i="18"/>
  <c r="G25" i="18" s="1"/>
  <c r="G24" i="18"/>
  <c r="G27" i="18" s="1"/>
  <c r="F61" i="18"/>
  <c r="F23" i="18"/>
  <c r="F25" i="18" s="1"/>
  <c r="F24" i="18"/>
  <c r="F27" i="18" s="1"/>
  <c r="I61" i="18"/>
  <c r="H41" i="18"/>
  <c r="C42" i="18" s="1"/>
  <c r="H34" i="1" s="1"/>
  <c r="H39" i="18"/>
  <c r="E39" i="18"/>
  <c r="E41" i="18"/>
  <c r="M7" i="1"/>
  <c r="E43" i="17"/>
  <c r="E25" i="17" s="1"/>
  <c r="E28" i="17" s="1"/>
  <c r="H43" i="17"/>
  <c r="I26" i="37"/>
  <c r="E22" i="37"/>
  <c r="E39" i="37"/>
  <c r="E41" i="37"/>
  <c r="F60" i="37"/>
  <c r="F24" i="37"/>
  <c r="F27" i="37" s="1"/>
  <c r="F23" i="37"/>
  <c r="F25" i="37" s="1"/>
  <c r="F26" i="37" s="1"/>
  <c r="G23" i="37"/>
  <c r="G25" i="37" s="1"/>
  <c r="G24" i="37"/>
  <c r="G27" i="37" s="1"/>
  <c r="E3" i="37"/>
  <c r="G58" i="37"/>
  <c r="D41" i="37"/>
  <c r="D39" i="37"/>
  <c r="H24" i="37"/>
  <c r="H27" i="37" s="1"/>
  <c r="H60" i="37"/>
  <c r="H23" i="37"/>
  <c r="H25" i="37" s="1"/>
  <c r="C39" i="37"/>
  <c r="C41" i="37"/>
  <c r="C60" i="9"/>
  <c r="K13" i="1" s="1"/>
  <c r="H26" i="9"/>
  <c r="C26" i="9"/>
  <c r="E32" i="9"/>
  <c r="E26" i="9"/>
  <c r="F22" i="9"/>
  <c r="H54" i="1"/>
  <c r="E59" i="9"/>
  <c r="I26" i="9"/>
  <c r="F26" i="9"/>
  <c r="G26" i="9"/>
  <c r="D60" i="8"/>
  <c r="E3" i="8"/>
  <c r="Y21" i="1" s="1"/>
  <c r="C26" i="8"/>
  <c r="Q21" i="1"/>
  <c r="S21" i="1" s="1"/>
  <c r="C42" i="8"/>
  <c r="H51" i="1" s="1"/>
  <c r="G60" i="8"/>
  <c r="C61" i="8" s="1"/>
  <c r="K21" i="1" s="1"/>
  <c r="G25" i="8"/>
  <c r="G27" i="8"/>
  <c r="G21" i="8"/>
  <c r="G22" i="8" s="1"/>
  <c r="F25" i="8"/>
  <c r="F21" i="8"/>
  <c r="F22" i="8" s="1"/>
  <c r="F27" i="8"/>
  <c r="F60" i="8"/>
  <c r="D25" i="8"/>
  <c r="D21" i="8"/>
  <c r="D22" i="8" s="1"/>
  <c r="D27" i="8"/>
  <c r="F25" i="6"/>
  <c r="F26" i="6" s="1"/>
  <c r="F29" i="6"/>
  <c r="F31" i="6"/>
  <c r="C30" i="6"/>
  <c r="C36" i="6"/>
  <c r="I30" i="6"/>
  <c r="Q10" i="1"/>
  <c r="S10" i="1" s="1"/>
  <c r="K8" i="1"/>
  <c r="D25" i="5"/>
  <c r="D26" i="5" s="1"/>
  <c r="D30" i="5"/>
  <c r="H53" i="1"/>
  <c r="G29" i="5"/>
  <c r="G31" i="5"/>
  <c r="G25" i="5"/>
  <c r="G26" i="5" s="1"/>
  <c r="F31" i="5"/>
  <c r="F29" i="5"/>
  <c r="F30" i="5" s="1"/>
  <c r="F25" i="5"/>
  <c r="F26" i="5" s="1"/>
  <c r="H25" i="5"/>
  <c r="H26" i="5" s="1"/>
  <c r="H29" i="5"/>
  <c r="H31" i="5"/>
  <c r="E29" i="5"/>
  <c r="E31" i="5"/>
  <c r="E25" i="5"/>
  <c r="E26" i="5" s="1"/>
  <c r="K6" i="1"/>
  <c r="F36" i="3"/>
  <c r="I26" i="3"/>
  <c r="G36" i="3"/>
  <c r="C36" i="3"/>
  <c r="D36" i="3"/>
  <c r="E36" i="3"/>
  <c r="E25" i="3"/>
  <c r="E26" i="3" s="1"/>
  <c r="H17" i="1"/>
  <c r="E29" i="3"/>
  <c r="E30" i="3" s="1"/>
  <c r="I26" i="53"/>
  <c r="H41" i="53"/>
  <c r="H24" i="53" s="1"/>
  <c r="H27" i="53" s="1"/>
  <c r="E22" i="53"/>
  <c r="I54" i="53"/>
  <c r="D39" i="53"/>
  <c r="D41" i="53"/>
  <c r="G41" i="53"/>
  <c r="G39" i="53"/>
  <c r="F39" i="53"/>
  <c r="F41" i="53"/>
  <c r="C41" i="53"/>
  <c r="C39" i="53"/>
  <c r="E41" i="53"/>
  <c r="E39" i="53"/>
  <c r="H21" i="53"/>
  <c r="H22" i="53" s="1"/>
  <c r="I25" i="58"/>
  <c r="C23" i="25"/>
  <c r="C54" i="25"/>
  <c r="H23" i="25"/>
  <c r="I54" i="54"/>
  <c r="I24" i="54"/>
  <c r="I27" i="54" s="1"/>
  <c r="I23" i="54"/>
  <c r="I25" i="54" s="1"/>
  <c r="H24" i="52"/>
  <c r="H27" i="52" s="1"/>
  <c r="H23" i="52"/>
  <c r="H25" i="52" s="1"/>
  <c r="H54" i="52"/>
  <c r="I26" i="52"/>
  <c r="I18" i="50"/>
  <c r="I41" i="50"/>
  <c r="I18" i="49"/>
  <c r="I21" i="49" s="1"/>
  <c r="I22" i="49" s="1"/>
  <c r="I41" i="49"/>
  <c r="I27" i="25"/>
  <c r="C24" i="25"/>
  <c r="C26" i="25" s="1"/>
  <c r="C56" i="25"/>
  <c r="C25" i="25"/>
  <c r="C28" i="25" s="1"/>
  <c r="F24" i="25"/>
  <c r="F26" i="25" s="1"/>
  <c r="F25" i="25"/>
  <c r="F28" i="25" s="1"/>
  <c r="F56" i="25"/>
  <c r="H50" i="1"/>
  <c r="E24" i="25"/>
  <c r="E26" i="25" s="1"/>
  <c r="E25" i="25"/>
  <c r="E28" i="25" s="1"/>
  <c r="E56" i="25"/>
  <c r="D25" i="25"/>
  <c r="D28" i="25" s="1"/>
  <c r="D24" i="25"/>
  <c r="D26" i="25" s="1"/>
  <c r="D56" i="25"/>
  <c r="G56" i="25"/>
  <c r="G24" i="25"/>
  <c r="G26" i="25" s="1"/>
  <c r="G25" i="25"/>
  <c r="G28" i="25" s="1"/>
  <c r="G23" i="25"/>
  <c r="H25" i="25"/>
  <c r="H28" i="25" s="1"/>
  <c r="H56" i="25"/>
  <c r="H24" i="25"/>
  <c r="H26" i="25" s="1"/>
  <c r="D33" i="25"/>
  <c r="I32" i="26"/>
  <c r="Q19" i="1"/>
  <c r="S19" i="1" s="1"/>
  <c r="H26" i="41"/>
  <c r="H29" i="41" s="1"/>
  <c r="H62" i="41"/>
  <c r="H25" i="41"/>
  <c r="H27" i="41" s="1"/>
  <c r="D28" i="41"/>
  <c r="C25" i="41"/>
  <c r="C27" i="41" s="1"/>
  <c r="C26" i="41"/>
  <c r="C29" i="41" s="1"/>
  <c r="C62" i="41"/>
  <c r="F62" i="41"/>
  <c r="F26" i="41"/>
  <c r="F29" i="41" s="1"/>
  <c r="F28" i="41" s="1"/>
  <c r="E28" i="41"/>
  <c r="I43" i="41"/>
  <c r="C44" i="41" s="1"/>
  <c r="H32" i="1" s="1"/>
  <c r="I20" i="41"/>
  <c r="I23" i="41" s="1"/>
  <c r="I24" i="41" s="1"/>
  <c r="I43" i="38"/>
  <c r="C44" i="38" s="1"/>
  <c r="I20" i="38"/>
  <c r="I23" i="38" s="1"/>
  <c r="I24" i="38" s="1"/>
  <c r="E29" i="13"/>
  <c r="H42" i="1"/>
  <c r="G30" i="13"/>
  <c r="G25" i="13"/>
  <c r="G28" i="13"/>
  <c r="H30" i="13"/>
  <c r="H25" i="13"/>
  <c r="H28" i="13"/>
  <c r="I21" i="40"/>
  <c r="I22" i="40" s="1"/>
  <c r="I23" i="40"/>
  <c r="I25" i="40" s="1"/>
  <c r="I54" i="40"/>
  <c r="I24" i="40"/>
  <c r="I27" i="40" s="1"/>
  <c r="I24" i="23"/>
  <c r="I27" i="23" s="1"/>
  <c r="I23" i="23"/>
  <c r="I25" i="23" s="1"/>
  <c r="I26" i="23" s="1"/>
  <c r="I21" i="14"/>
  <c r="I22" i="14" s="1"/>
  <c r="I27" i="14"/>
  <c r="I26" i="14"/>
  <c r="I23" i="42"/>
  <c r="I25" i="42" s="1"/>
  <c r="I24" i="42"/>
  <c r="I27" i="42" s="1"/>
  <c r="I23" i="44"/>
  <c r="I25" i="44" s="1"/>
  <c r="I26" i="44" s="1"/>
  <c r="I60" i="44"/>
  <c r="H39" i="44"/>
  <c r="H41" i="44"/>
  <c r="H60" i="44" s="1"/>
  <c r="I24" i="18"/>
  <c r="I27" i="18" s="1"/>
  <c r="I23" i="18"/>
  <c r="I25" i="18" s="1"/>
  <c r="I21" i="18"/>
  <c r="I22" i="18" s="1"/>
  <c r="L61" i="18"/>
  <c r="G19" i="17"/>
  <c r="G22" i="17" s="1"/>
  <c r="G23" i="17" s="1"/>
  <c r="E24" i="17"/>
  <c r="E26" i="17" s="1"/>
  <c r="E62" i="17"/>
  <c r="F43" i="17"/>
  <c r="F18" i="17"/>
  <c r="E19" i="17"/>
  <c r="E22" i="17" s="1"/>
  <c r="E23" i="17" s="1"/>
  <c r="I23" i="17"/>
  <c r="I25" i="8"/>
  <c r="I27" i="8"/>
  <c r="I21" i="8"/>
  <c r="I22" i="8" s="1"/>
  <c r="H25" i="6"/>
  <c r="H26" i="6" s="1"/>
  <c r="H31" i="6"/>
  <c r="H29" i="6"/>
  <c r="H30" i="6" s="1"/>
  <c r="H22" i="1"/>
  <c r="E31" i="6"/>
  <c r="E25" i="6"/>
  <c r="E26" i="6" s="1"/>
  <c r="E29" i="6"/>
  <c r="G29" i="6"/>
  <c r="G31" i="6"/>
  <c r="G25" i="6"/>
  <c r="G26" i="6" s="1"/>
  <c r="D29" i="6"/>
  <c r="D31" i="6"/>
  <c r="D25" i="6"/>
  <c r="D26" i="6" s="1"/>
  <c r="I29" i="3"/>
  <c r="I31" i="3"/>
  <c r="Y6" i="1"/>
  <c r="F25" i="3"/>
  <c r="F26" i="3" s="1"/>
  <c r="F29" i="3"/>
  <c r="F31" i="3"/>
  <c r="D25" i="3"/>
  <c r="D26" i="3" s="1"/>
  <c r="D31" i="3"/>
  <c r="D29" i="3"/>
  <c r="H29" i="3"/>
  <c r="H25" i="3"/>
  <c r="H26" i="3" s="1"/>
  <c r="H31" i="3"/>
  <c r="C25" i="3"/>
  <c r="C26" i="3" s="1"/>
  <c r="C31" i="3"/>
  <c r="C29" i="3"/>
  <c r="C30" i="3" s="1"/>
  <c r="G25" i="3"/>
  <c r="G26" i="3" s="1"/>
  <c r="G31" i="3"/>
  <c r="G29" i="3"/>
  <c r="L31" i="2"/>
  <c r="F64" i="2"/>
  <c r="C32" i="2"/>
  <c r="C26" i="2"/>
  <c r="C27" i="2" s="1"/>
  <c r="C30" i="2"/>
  <c r="F26" i="2"/>
  <c r="F27" i="2" s="1"/>
  <c r="F32" i="2"/>
  <c r="F30" i="2"/>
  <c r="F31" i="2" s="1"/>
  <c r="G32" i="2"/>
  <c r="G30" i="2"/>
  <c r="G26" i="2"/>
  <c r="G27" i="2" s="1"/>
  <c r="E30" i="2"/>
  <c r="E32" i="2"/>
  <c r="E26" i="2"/>
  <c r="E27" i="2" s="1"/>
  <c r="H26" i="2"/>
  <c r="H27" i="2" s="1"/>
  <c r="H30" i="2"/>
  <c r="H32" i="2"/>
  <c r="C64" i="2"/>
  <c r="E64" i="2"/>
  <c r="D32" i="2"/>
  <c r="D30" i="2"/>
  <c r="D26" i="2"/>
  <c r="D27" i="2" s="1"/>
  <c r="I26" i="2"/>
  <c r="I27" i="2" s="1"/>
  <c r="I30" i="2"/>
  <c r="I32" i="2"/>
  <c r="G54" i="59"/>
  <c r="C55" i="59" s="1"/>
  <c r="G24" i="59"/>
  <c r="G27" i="59" s="1"/>
  <c r="G23" i="59"/>
  <c r="G25" i="59" s="1"/>
  <c r="D54" i="59"/>
  <c r="D23" i="59"/>
  <c r="D25" i="59" s="1"/>
  <c r="D24" i="59"/>
  <c r="D27" i="59" s="1"/>
  <c r="E23" i="59"/>
  <c r="E25" i="59" s="1"/>
  <c r="E26" i="59" s="1"/>
  <c r="E54" i="59"/>
  <c r="E24" i="59"/>
  <c r="E27" i="59" s="1"/>
  <c r="F54" i="59"/>
  <c r="F24" i="59"/>
  <c r="F27" i="59" s="1"/>
  <c r="F23" i="59"/>
  <c r="F25" i="59" s="1"/>
  <c r="H54" i="59"/>
  <c r="H24" i="59"/>
  <c r="H27" i="59" s="1"/>
  <c r="H23" i="59"/>
  <c r="H25" i="59" s="1"/>
  <c r="H26" i="59" s="1"/>
  <c r="C23" i="59"/>
  <c r="C25" i="59" s="1"/>
  <c r="C26" i="59" s="1"/>
  <c r="C54" i="59"/>
  <c r="C24" i="59"/>
  <c r="C27" i="59" s="1"/>
  <c r="C42" i="44" l="1"/>
  <c r="K11" i="1"/>
  <c r="I25" i="38"/>
  <c r="I26" i="38"/>
  <c r="D25" i="38"/>
  <c r="D26" i="38"/>
  <c r="H46" i="1"/>
  <c r="G60" i="11"/>
  <c r="C61" i="11" s="1"/>
  <c r="K27" i="1" s="1"/>
  <c r="C42" i="11"/>
  <c r="C42" i="88"/>
  <c r="D44" i="88" s="1"/>
  <c r="C39" i="17"/>
  <c r="C43" i="17"/>
  <c r="D39" i="17"/>
  <c r="D43" i="17"/>
  <c r="G39" i="17"/>
  <c r="G43" i="17"/>
  <c r="I43" i="17"/>
  <c r="I39" i="17"/>
  <c r="H60" i="16"/>
  <c r="C42" i="16"/>
  <c r="H60" i="15"/>
  <c r="C31" i="87"/>
  <c r="F31" i="87" s="1"/>
  <c r="C38" i="87" s="1"/>
  <c r="C39" i="87" s="1"/>
  <c r="D17" i="87"/>
  <c r="V5" i="1"/>
  <c r="X5" i="1" s="1"/>
  <c r="F35" i="87"/>
  <c r="F37" i="87" s="1"/>
  <c r="C35" i="87"/>
  <c r="C42" i="87" s="1"/>
  <c r="H25" i="17"/>
  <c r="H28" i="17" s="1"/>
  <c r="H24" i="17"/>
  <c r="H26" i="17" s="1"/>
  <c r="H62" i="17"/>
  <c r="G30" i="3"/>
  <c r="C31" i="2"/>
  <c r="G26" i="59"/>
  <c r="D26" i="59"/>
  <c r="C42" i="53"/>
  <c r="H54" i="53"/>
  <c r="H23" i="53"/>
  <c r="H25" i="53" s="1"/>
  <c r="H26" i="53" s="1"/>
  <c r="V47" i="1"/>
  <c r="X47" i="1" s="1"/>
  <c r="Y47" i="1"/>
  <c r="F25" i="56"/>
  <c r="F27" i="56" s="1"/>
  <c r="F58" i="56"/>
  <c r="F26" i="56"/>
  <c r="F29" i="56" s="1"/>
  <c r="D58" i="56"/>
  <c r="D25" i="56"/>
  <c r="D27" i="56" s="1"/>
  <c r="D26" i="56"/>
  <c r="D29" i="56" s="1"/>
  <c r="E28" i="56"/>
  <c r="C46" i="56"/>
  <c r="H23" i="1" s="1"/>
  <c r="G25" i="56"/>
  <c r="G27" i="56" s="1"/>
  <c r="G58" i="56"/>
  <c r="C59" i="56" s="1"/>
  <c r="G26" i="56"/>
  <c r="G29" i="56" s="1"/>
  <c r="I26" i="54"/>
  <c r="D26" i="54"/>
  <c r="F24" i="54"/>
  <c r="F27" i="54" s="1"/>
  <c r="F23" i="54"/>
  <c r="F25" i="54" s="1"/>
  <c r="F26" i="54" s="1"/>
  <c r="F54" i="54"/>
  <c r="C23" i="54"/>
  <c r="C25" i="54" s="1"/>
  <c r="C54" i="54"/>
  <c r="C24" i="54"/>
  <c r="C27" i="54" s="1"/>
  <c r="C42" i="54"/>
  <c r="H2" i="1" s="1"/>
  <c r="G23" i="54"/>
  <c r="G25" i="54" s="1"/>
  <c r="G54" i="54"/>
  <c r="C55" i="54" s="1"/>
  <c r="G24" i="54"/>
  <c r="G27" i="54" s="1"/>
  <c r="E23" i="54"/>
  <c r="E25" i="54" s="1"/>
  <c r="E54" i="54"/>
  <c r="E24" i="54"/>
  <c r="E27" i="54" s="1"/>
  <c r="H23" i="54"/>
  <c r="H25" i="54" s="1"/>
  <c r="H54" i="54"/>
  <c r="H24" i="54"/>
  <c r="H27" i="54" s="1"/>
  <c r="D26" i="52"/>
  <c r="H26" i="52"/>
  <c r="C42" i="52"/>
  <c r="H30" i="1" s="1"/>
  <c r="G54" i="52"/>
  <c r="C55" i="52" s="1"/>
  <c r="G23" i="52"/>
  <c r="G25" i="52" s="1"/>
  <c r="G24" i="52"/>
  <c r="G27" i="52" s="1"/>
  <c r="E26" i="52"/>
  <c r="F26" i="52"/>
  <c r="V25" i="1"/>
  <c r="X25" i="1" s="1"/>
  <c r="C54" i="52"/>
  <c r="C23" i="52"/>
  <c r="C25" i="52" s="1"/>
  <c r="C26" i="52" s="1"/>
  <c r="C24" i="52"/>
  <c r="C27" i="52" s="1"/>
  <c r="C28" i="51"/>
  <c r="C46" i="51"/>
  <c r="H12" i="1" s="1"/>
  <c r="G58" i="51"/>
  <c r="G25" i="51"/>
  <c r="G27" i="51" s="1"/>
  <c r="G26" i="51"/>
  <c r="G29" i="51" s="1"/>
  <c r="H25" i="51"/>
  <c r="H27" i="51" s="1"/>
  <c r="H58" i="51"/>
  <c r="H26" i="51"/>
  <c r="H29" i="51" s="1"/>
  <c r="E26" i="51"/>
  <c r="E29" i="51" s="1"/>
  <c r="E58" i="51"/>
  <c r="E25" i="51"/>
  <c r="E27" i="51" s="1"/>
  <c r="E28" i="51" s="1"/>
  <c r="C26" i="50"/>
  <c r="H23" i="50"/>
  <c r="H25" i="50" s="1"/>
  <c r="H54" i="50"/>
  <c r="H24" i="50"/>
  <c r="H27" i="50" s="1"/>
  <c r="D24" i="50"/>
  <c r="D27" i="50" s="1"/>
  <c r="D23" i="50"/>
  <c r="D25" i="50" s="1"/>
  <c r="D26" i="50" s="1"/>
  <c r="D54" i="50"/>
  <c r="C42" i="50"/>
  <c r="E54" i="50"/>
  <c r="E24" i="50"/>
  <c r="E27" i="50" s="1"/>
  <c r="E23" i="50"/>
  <c r="E25" i="50" s="1"/>
  <c r="E26" i="50" s="1"/>
  <c r="F54" i="50"/>
  <c r="F23" i="50"/>
  <c r="F25" i="50" s="1"/>
  <c r="F24" i="50"/>
  <c r="F27" i="50" s="1"/>
  <c r="E24" i="49"/>
  <c r="E27" i="49" s="1"/>
  <c r="E60" i="49"/>
  <c r="E23" i="49"/>
  <c r="E25" i="49" s="1"/>
  <c r="E26" i="49" s="1"/>
  <c r="C26" i="49"/>
  <c r="H24" i="49"/>
  <c r="H27" i="49" s="1"/>
  <c r="H60" i="49"/>
  <c r="H23" i="49"/>
  <c r="H25" i="49" s="1"/>
  <c r="H26" i="49" s="1"/>
  <c r="C42" i="49"/>
  <c r="G23" i="49"/>
  <c r="G25" i="49" s="1"/>
  <c r="G60" i="49"/>
  <c r="G24" i="49"/>
  <c r="G27" i="49" s="1"/>
  <c r="D23" i="49"/>
  <c r="D25" i="49" s="1"/>
  <c r="D60" i="49"/>
  <c r="D24" i="49"/>
  <c r="D27" i="49" s="1"/>
  <c r="C57" i="25"/>
  <c r="K20" i="1" s="1"/>
  <c r="F27" i="25"/>
  <c r="D27" i="25"/>
  <c r="E27" i="25"/>
  <c r="H26" i="26"/>
  <c r="F26" i="26"/>
  <c r="C26" i="26"/>
  <c r="E23" i="26"/>
  <c r="E25" i="26" s="1"/>
  <c r="E24" i="26"/>
  <c r="E27" i="26" s="1"/>
  <c r="E54" i="26"/>
  <c r="I26" i="26"/>
  <c r="D24" i="26"/>
  <c r="D27" i="26" s="1"/>
  <c r="D23" i="26"/>
  <c r="D25" i="26" s="1"/>
  <c r="D26" i="26" s="1"/>
  <c r="D54" i="26"/>
  <c r="C42" i="26"/>
  <c r="H27" i="1" s="1"/>
  <c r="G54" i="26"/>
  <c r="C55" i="26" s="1"/>
  <c r="G24" i="26"/>
  <c r="G27" i="26" s="1"/>
  <c r="G23" i="26"/>
  <c r="G25" i="26" s="1"/>
  <c r="G26" i="26" s="1"/>
  <c r="H28" i="41"/>
  <c r="G25" i="41"/>
  <c r="G27" i="41" s="1"/>
  <c r="G26" i="41"/>
  <c r="G29" i="41" s="1"/>
  <c r="G62" i="41"/>
  <c r="C28" i="41"/>
  <c r="D27" i="38"/>
  <c r="D29" i="38"/>
  <c r="D62" i="38"/>
  <c r="G62" i="38"/>
  <c r="G29" i="13"/>
  <c r="I29" i="13"/>
  <c r="H29" i="13"/>
  <c r="C26" i="40"/>
  <c r="H26" i="40"/>
  <c r="F23" i="40"/>
  <c r="F25" i="40" s="1"/>
  <c r="F24" i="40"/>
  <c r="F27" i="40" s="1"/>
  <c r="F54" i="40"/>
  <c r="C42" i="40"/>
  <c r="H21" i="1" s="1"/>
  <c r="G24" i="40"/>
  <c r="G27" i="40" s="1"/>
  <c r="G54" i="40"/>
  <c r="C55" i="40" s="1"/>
  <c r="G23" i="40"/>
  <c r="G25" i="40" s="1"/>
  <c r="D23" i="40"/>
  <c r="D25" i="40" s="1"/>
  <c r="D24" i="40"/>
  <c r="D27" i="40" s="1"/>
  <c r="D54" i="40"/>
  <c r="C26" i="23"/>
  <c r="C42" i="23"/>
  <c r="H20" i="1" s="1"/>
  <c r="G60" i="23"/>
  <c r="G24" i="23"/>
  <c r="G27" i="23" s="1"/>
  <c r="G23" i="23"/>
  <c r="G25" i="23" s="1"/>
  <c r="G26" i="23" s="1"/>
  <c r="D26" i="23"/>
  <c r="F26" i="11"/>
  <c r="D60" i="11"/>
  <c r="D24" i="11"/>
  <c r="D27" i="11" s="1"/>
  <c r="D23" i="11"/>
  <c r="D25" i="11" s="1"/>
  <c r="D26" i="11" s="1"/>
  <c r="C23" i="11"/>
  <c r="C25" i="11" s="1"/>
  <c r="C60" i="11"/>
  <c r="C24" i="11"/>
  <c r="C27" i="11" s="1"/>
  <c r="H39" i="1"/>
  <c r="E23" i="11"/>
  <c r="E25" i="11" s="1"/>
  <c r="E60" i="11"/>
  <c r="E24" i="11"/>
  <c r="E27" i="11" s="1"/>
  <c r="C61" i="12"/>
  <c r="K17" i="1" s="1"/>
  <c r="C42" i="12"/>
  <c r="H38" i="1" s="1"/>
  <c r="E24" i="12"/>
  <c r="E27" i="12" s="1"/>
  <c r="E60" i="12"/>
  <c r="E23" i="12"/>
  <c r="E25" i="12" s="1"/>
  <c r="E26" i="12" s="1"/>
  <c r="F26" i="12"/>
  <c r="D60" i="12"/>
  <c r="D24" i="12"/>
  <c r="D27" i="12" s="1"/>
  <c r="D23" i="12"/>
  <c r="D25" i="12" s="1"/>
  <c r="D26" i="12" s="1"/>
  <c r="C26" i="12"/>
  <c r="C61" i="16"/>
  <c r="E26" i="16"/>
  <c r="D60" i="16"/>
  <c r="D24" i="16"/>
  <c r="D27" i="16" s="1"/>
  <c r="D23" i="16"/>
  <c r="D25" i="16" s="1"/>
  <c r="D26" i="16" s="1"/>
  <c r="C23" i="16"/>
  <c r="C25" i="16" s="1"/>
  <c r="C60" i="16"/>
  <c r="C24" i="16"/>
  <c r="C27" i="16" s="1"/>
  <c r="F60" i="16"/>
  <c r="F23" i="16"/>
  <c r="F25" i="16" s="1"/>
  <c r="F24" i="16"/>
  <c r="F27" i="16" s="1"/>
  <c r="D26" i="15"/>
  <c r="F26" i="15"/>
  <c r="J60" i="15"/>
  <c r="E24" i="15"/>
  <c r="E27" i="15" s="1"/>
  <c r="E23" i="15"/>
  <c r="E25" i="15" s="1"/>
  <c r="E26" i="15" s="1"/>
  <c r="E60" i="15"/>
  <c r="I60" i="15"/>
  <c r="C61" i="15" s="1"/>
  <c r="K5" i="1" s="1"/>
  <c r="K60" i="15"/>
  <c r="C23" i="22"/>
  <c r="D62" i="22"/>
  <c r="C27" i="22"/>
  <c r="I43" i="22"/>
  <c r="I62" i="22" s="1"/>
  <c r="K24" i="1" s="1"/>
  <c r="I41" i="22"/>
  <c r="C61" i="14"/>
  <c r="K23" i="1" s="1"/>
  <c r="S23" i="1"/>
  <c r="V23" i="1"/>
  <c r="X23" i="1" s="1"/>
  <c r="D26" i="43"/>
  <c r="H24" i="43"/>
  <c r="H27" i="43" s="1"/>
  <c r="H54" i="43"/>
  <c r="H23" i="43"/>
  <c r="H25" i="43" s="1"/>
  <c r="H26" i="43" s="1"/>
  <c r="E54" i="43"/>
  <c r="E24" i="43"/>
  <c r="E27" i="43" s="1"/>
  <c r="E23" i="43"/>
  <c r="E25" i="43" s="1"/>
  <c r="E26" i="43" s="1"/>
  <c r="C23" i="43"/>
  <c r="C25" i="43" s="1"/>
  <c r="C24" i="43"/>
  <c r="C27" i="43" s="1"/>
  <c r="C54" i="43"/>
  <c r="C42" i="43"/>
  <c r="H25" i="1" s="1"/>
  <c r="G24" i="43"/>
  <c r="G27" i="43" s="1"/>
  <c r="G23" i="43"/>
  <c r="G25" i="43" s="1"/>
  <c r="G54" i="43"/>
  <c r="C55" i="43" s="1"/>
  <c r="K29" i="1" s="1"/>
  <c r="D54" i="42"/>
  <c r="D24" i="42"/>
  <c r="D27" i="42" s="1"/>
  <c r="D23" i="42"/>
  <c r="D25" i="42" s="1"/>
  <c r="D26" i="42" s="1"/>
  <c r="C26" i="42"/>
  <c r="F54" i="42"/>
  <c r="F24" i="42"/>
  <c r="F27" i="42" s="1"/>
  <c r="F23" i="42"/>
  <c r="F25" i="42" s="1"/>
  <c r="F26" i="42" s="1"/>
  <c r="I26" i="42"/>
  <c r="E20" i="44"/>
  <c r="E22" i="44" s="1"/>
  <c r="E39" i="44"/>
  <c r="E41" i="44"/>
  <c r="F20" i="44"/>
  <c r="F22" i="44" s="1"/>
  <c r="F39" i="44"/>
  <c r="F41" i="44"/>
  <c r="C41" i="44"/>
  <c r="C39" i="44"/>
  <c r="C20" i="44"/>
  <c r="C22" i="44" s="1"/>
  <c r="G24" i="44"/>
  <c r="G27" i="44" s="1"/>
  <c r="G60" i="44"/>
  <c r="C61" i="44" s="1"/>
  <c r="G23" i="44"/>
  <c r="G25" i="44" s="1"/>
  <c r="G26" i="44" s="1"/>
  <c r="D26" i="44"/>
  <c r="I26" i="18"/>
  <c r="E23" i="18"/>
  <c r="E25" i="18" s="1"/>
  <c r="E24" i="18"/>
  <c r="E27" i="18" s="1"/>
  <c r="E61" i="18"/>
  <c r="G26" i="18"/>
  <c r="H24" i="18"/>
  <c r="H27" i="18" s="1"/>
  <c r="H23" i="18"/>
  <c r="H25" i="18" s="1"/>
  <c r="H26" i="18" s="1"/>
  <c r="H61" i="18"/>
  <c r="C62" i="18" s="1"/>
  <c r="K30" i="1" s="1"/>
  <c r="D26" i="18"/>
  <c r="F26" i="18"/>
  <c r="H26" i="37"/>
  <c r="G60" i="37"/>
  <c r="C61" i="37" s="1"/>
  <c r="K16" i="1" s="1"/>
  <c r="C59" i="37"/>
  <c r="O16" i="1" s="1"/>
  <c r="D23" i="37"/>
  <c r="D25" i="37" s="1"/>
  <c r="D60" i="37"/>
  <c r="D24" i="37"/>
  <c r="D27" i="37" s="1"/>
  <c r="V16" i="1"/>
  <c r="X16" i="1" s="1"/>
  <c r="G26" i="37"/>
  <c r="C23" i="37"/>
  <c r="C25" i="37" s="1"/>
  <c r="C24" i="37"/>
  <c r="C27" i="37" s="1"/>
  <c r="C60" i="37"/>
  <c r="H33" i="1"/>
  <c r="E60" i="37"/>
  <c r="E24" i="37"/>
  <c r="E27" i="37" s="1"/>
  <c r="E23" i="37"/>
  <c r="E25" i="37" s="1"/>
  <c r="D26" i="8"/>
  <c r="V21" i="1"/>
  <c r="X21" i="1" s="1"/>
  <c r="F26" i="8"/>
  <c r="G26" i="8"/>
  <c r="I26" i="8"/>
  <c r="K10" i="1"/>
  <c r="D30" i="6"/>
  <c r="F30" i="6"/>
  <c r="G30" i="6"/>
  <c r="E30" i="6"/>
  <c r="H30" i="5"/>
  <c r="G30" i="5"/>
  <c r="E30" i="5"/>
  <c r="H30" i="3"/>
  <c r="D31" i="2"/>
  <c r="G31" i="2"/>
  <c r="F26" i="59"/>
  <c r="E24" i="53"/>
  <c r="E27" i="53" s="1"/>
  <c r="E23" i="53"/>
  <c r="E25" i="53" s="1"/>
  <c r="E26" i="53" s="1"/>
  <c r="E54" i="53"/>
  <c r="C54" i="53"/>
  <c r="C24" i="53"/>
  <c r="C27" i="53" s="1"/>
  <c r="C23" i="53"/>
  <c r="C25" i="53" s="1"/>
  <c r="C26" i="53" s="1"/>
  <c r="F23" i="53"/>
  <c r="F25" i="53" s="1"/>
  <c r="F26" i="53" s="1"/>
  <c r="F24" i="53"/>
  <c r="F27" i="53" s="1"/>
  <c r="F54" i="53"/>
  <c r="G24" i="53"/>
  <c r="G27" i="53" s="1"/>
  <c r="G23" i="53"/>
  <c r="G25" i="53" s="1"/>
  <c r="G26" i="53" s="1"/>
  <c r="G54" i="53"/>
  <c r="C55" i="53" s="1"/>
  <c r="K48" i="1" s="1"/>
  <c r="D54" i="53"/>
  <c r="D24" i="53"/>
  <c r="D27" i="53" s="1"/>
  <c r="D23" i="53"/>
  <c r="D25" i="53" s="1"/>
  <c r="D26" i="53" s="1"/>
  <c r="H27" i="25"/>
  <c r="V20" i="1"/>
  <c r="X20" i="1" s="1"/>
  <c r="H5" i="1"/>
  <c r="I23" i="50"/>
  <c r="I25" i="50" s="1"/>
  <c r="I24" i="50"/>
  <c r="I54" i="50"/>
  <c r="I21" i="50"/>
  <c r="I22" i="50" s="1"/>
  <c r="I27" i="50"/>
  <c r="H26" i="1"/>
  <c r="I23" i="49"/>
  <c r="I25" i="49" s="1"/>
  <c r="I60" i="49"/>
  <c r="C61" i="49" s="1"/>
  <c r="I24" i="49"/>
  <c r="I27" i="49" s="1"/>
  <c r="I26" i="49" s="1"/>
  <c r="G27" i="25"/>
  <c r="C27" i="25"/>
  <c r="V19" i="1"/>
  <c r="X19" i="1" s="1"/>
  <c r="I26" i="41"/>
  <c r="I29" i="41" s="1"/>
  <c r="I62" i="41"/>
  <c r="I25" i="41"/>
  <c r="I27" i="41" s="1"/>
  <c r="I27" i="38"/>
  <c r="I29" i="38"/>
  <c r="I62" i="38"/>
  <c r="C63" i="38" s="1"/>
  <c r="I26" i="40"/>
  <c r="H24" i="44"/>
  <c r="H27" i="44" s="1"/>
  <c r="H23" i="44"/>
  <c r="H25" i="44" s="1"/>
  <c r="H26" i="44" s="1"/>
  <c r="M61" i="18"/>
  <c r="K61" i="18"/>
  <c r="F19" i="17"/>
  <c r="F22" i="17" s="1"/>
  <c r="F23" i="17" s="1"/>
  <c r="H27" i="17"/>
  <c r="F25" i="17"/>
  <c r="F28" i="17" s="1"/>
  <c r="F24" i="17"/>
  <c r="F26" i="17" s="1"/>
  <c r="F62" i="17"/>
  <c r="E27" i="17"/>
  <c r="I30" i="3"/>
  <c r="D30" i="3"/>
  <c r="F30" i="3"/>
  <c r="E31" i="2"/>
  <c r="H31" i="2"/>
  <c r="I31" i="2"/>
  <c r="C61" i="23" l="1"/>
  <c r="K32" i="1" s="1"/>
  <c r="D28" i="38"/>
  <c r="I62" i="17"/>
  <c r="I25" i="17"/>
  <c r="I28" i="17" s="1"/>
  <c r="I24" i="17"/>
  <c r="I26" i="17" s="1"/>
  <c r="I27" i="17" s="1"/>
  <c r="G62" i="17"/>
  <c r="C63" i="17" s="1"/>
  <c r="K7" i="1" s="1"/>
  <c r="G24" i="17"/>
  <c r="G26" i="17" s="1"/>
  <c r="G25" i="17"/>
  <c r="G28" i="17" s="1"/>
  <c r="C44" i="17"/>
  <c r="H29" i="1" s="1"/>
  <c r="D62" i="17"/>
  <c r="D25" i="17"/>
  <c r="D28" i="17" s="1"/>
  <c r="D24" i="17"/>
  <c r="D26" i="17" s="1"/>
  <c r="D27" i="17" s="1"/>
  <c r="C62" i="17"/>
  <c r="C25" i="17"/>
  <c r="C28" i="17" s="1"/>
  <c r="C24" i="17"/>
  <c r="C26" i="17" s="1"/>
  <c r="C27" i="17" s="1"/>
  <c r="F26" i="16"/>
  <c r="M5" i="1"/>
  <c r="G28" i="56"/>
  <c r="D28" i="56"/>
  <c r="F28" i="56"/>
  <c r="G26" i="54"/>
  <c r="H26" i="54"/>
  <c r="E26" i="54"/>
  <c r="C26" i="54"/>
  <c r="G26" i="52"/>
  <c r="G28" i="51"/>
  <c r="C59" i="51"/>
  <c r="H28" i="51"/>
  <c r="C55" i="50"/>
  <c r="F26" i="50"/>
  <c r="H26" i="50"/>
  <c r="K18" i="1"/>
  <c r="D26" i="49"/>
  <c r="G26" i="49"/>
  <c r="E26" i="26"/>
  <c r="C63" i="41"/>
  <c r="K19" i="1" s="1"/>
  <c r="G28" i="41"/>
  <c r="I28" i="41"/>
  <c r="I28" i="38"/>
  <c r="F26" i="40"/>
  <c r="D26" i="40"/>
  <c r="G26" i="40"/>
  <c r="C26" i="11"/>
  <c r="E26" i="11"/>
  <c r="C26" i="16"/>
  <c r="L60" i="15"/>
  <c r="C44" i="22"/>
  <c r="H6" i="1" s="1"/>
  <c r="G26" i="43"/>
  <c r="C26" i="43"/>
  <c r="K39" i="1"/>
  <c r="F60" i="44"/>
  <c r="F23" i="44"/>
  <c r="F25" i="44" s="1"/>
  <c r="F24" i="44"/>
  <c r="F27" i="44" s="1"/>
  <c r="C24" i="44"/>
  <c r="C27" i="44" s="1"/>
  <c r="C23" i="44"/>
  <c r="C25" i="44" s="1"/>
  <c r="C26" i="44" s="1"/>
  <c r="C60" i="44"/>
  <c r="H1" i="1"/>
  <c r="E24" i="44"/>
  <c r="E27" i="44" s="1"/>
  <c r="E60" i="44"/>
  <c r="E23" i="44"/>
  <c r="E25" i="44" s="1"/>
  <c r="E26" i="44" s="1"/>
  <c r="E26" i="18"/>
  <c r="N61" i="18"/>
  <c r="C26" i="37"/>
  <c r="E26" i="37"/>
  <c r="D26" i="37"/>
  <c r="I26" i="50"/>
  <c r="F27" i="17"/>
  <c r="X10" i="1"/>
  <c r="G27" i="17" l="1"/>
  <c r="K14" i="1"/>
  <c r="F26" i="44"/>
  <c r="M60" i="15" l="1"/>
  <c r="N60" i="15"/>
  <c r="G21" i="88"/>
  <c r="K22" i="1"/>
  <c r="M22" i="1"/>
  <c r="C53" i="60"/>
  <c r="C54" i="60"/>
  <c r="D53" i="60"/>
  <c r="D54" i="60"/>
  <c r="E53" i="60"/>
  <c r="E54" i="60"/>
  <c r="F53" i="60"/>
  <c r="F54" i="60"/>
  <c r="G54" i="60"/>
  <c r="G53" i="60"/>
  <c r="H54" i="60"/>
  <c r="I53" i="60"/>
  <c r="I54" i="60"/>
  <c r="J54" i="60"/>
  <c r="K53" i="60"/>
  <c r="K54" i="60"/>
  <c r="L53" i="60"/>
  <c r="L54" i="60"/>
  <c r="M53" i="60"/>
  <c r="M54" i="60"/>
  <c r="N53" i="60"/>
  <c r="N54" i="60"/>
  <c r="H53" i="60"/>
  <c r="I10" i="97"/>
  <c r="I11" i="97" s="1"/>
  <c r="I12" i="97"/>
  <c r="I29" i="97"/>
  <c r="I14" i="97" l="1"/>
  <c r="I32" i="97" s="1"/>
  <c r="I31" i="97"/>
  <c r="I30" i="97"/>
  <c r="K101" i="97"/>
  <c r="K13" i="97" s="1"/>
  <c r="K14" i="97" s="1"/>
  <c r="K110" i="97"/>
  <c r="M88" i="97"/>
  <c r="M87" i="97"/>
  <c r="M10" i="97"/>
  <c r="M11" i="97"/>
  <c r="N88" i="97"/>
  <c r="N87" i="97"/>
  <c r="N10" i="97"/>
  <c r="N11" i="97"/>
  <c r="K77" i="97"/>
  <c r="K88" i="97" s="1"/>
  <c r="K10" i="97"/>
  <c r="K11" i="97"/>
  <c r="K32" i="97"/>
  <c r="L88" i="97"/>
  <c r="L87" i="97"/>
  <c r="L77" i="97"/>
  <c r="L10" i="97"/>
  <c r="L11" i="97"/>
  <c r="N32" i="97"/>
  <c r="N14" i="97"/>
  <c r="N13" i="97"/>
  <c r="N109" i="97"/>
  <c r="N101" i="97"/>
  <c r="N110" i="97"/>
  <c r="L32" i="97"/>
  <c r="L14" i="97"/>
  <c r="L13" i="97"/>
  <c r="L109" i="97"/>
  <c r="L101" i="97"/>
  <c r="L110" i="97"/>
  <c r="M110" i="97"/>
  <c r="M109" i="97"/>
  <c r="M101" i="97"/>
  <c r="M13" i="97"/>
  <c r="M14" i="97"/>
  <c r="M32" i="9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tc={8F85A658-7A14-489E-B9EA-F26A411C5024}</author>
    <author>tc={2B4FC029-7101-4C72-88FC-AC1938FF6342}</author>
    <author>tc={2B0375FD-2024-4A50-A30B-452586BDE896}</author>
    <author>tc={7F38B69E-BE4D-406E-8AA8-8E687EFC0451}</author>
  </authors>
  <commentList>
    <comment ref="F2" authorId="0" shapeId="0" xr:uid="{AB778CE4-C3EB-4E50-A9C8-C9902D7B1887}">
      <text>
        <r>
          <rPr>
            <b/>
            <sz val="9"/>
            <color rgb="FF000000"/>
            <rFont val="Tahoma"/>
            <family val="2"/>
          </rPr>
          <t>Usuario:</t>
        </r>
        <r>
          <rPr>
            <sz val="9"/>
            <color rgb="FF000000"/>
            <rFont val="Tahoma"/>
            <family val="2"/>
          </rPr>
          <t xml:space="preserve">
</t>
        </r>
        <r>
          <rPr>
            <sz val="9"/>
            <color rgb="FF000000"/>
            <rFont val="Tahoma"/>
            <family val="2"/>
          </rPr>
          <t xml:space="preserve">
</t>
        </r>
        <r>
          <rPr>
            <sz val="9"/>
            <color rgb="FF000000"/>
            <rFont val="Tahoma"/>
            <family val="2"/>
          </rPr>
          <t xml:space="preserve">CELDAS EN COLOR AMARILLO SE DEBEN ACTUALIZAR MANUALMENTE SEGÚN LA EMPRESA Y ADEMÁS SOBRE LA RENTABILIDAD DESEADA
</t>
        </r>
      </text>
    </comment>
    <comment ref="K4" authorId="1" shapeId="0" xr:uid="{8F85A658-7A14-489E-B9EA-F26A411C5024}">
      <text>
        <t>[Threaded comment]
Your version of Excel allows you to read this threaded comment; however, any edits to it will get removed if the file is opened in a newer version of Excel. Learn more: https://go.microsoft.com/fwlink/?linkid=870924
Comment:
    PROMEDIO ÚLTIMOS 3 AÑOS CERRADOS</t>
      </text>
    </comment>
    <comment ref="M4" authorId="2" shapeId="0" xr:uid="{2B4FC029-7101-4C72-88FC-AC1938FF6342}">
      <text>
        <t>[Threaded comment]
Your version of Excel allows you to read this threaded comment; however, any edits to it will get removed if the file is opened in a newer version of Excel. Learn more: https://go.microsoft.com/fwlink/?linkid=870924
Comment:
    PROMEDIO ÚLTIMOS 3 AÑOS CERRADOS</t>
      </text>
    </comment>
    <comment ref="O4" authorId="3" shapeId="0" xr:uid="{2B0375FD-2024-4A50-A30B-452586BDE896}">
      <text>
        <t>[Threaded comment]
Your version of Excel allows you to read this threaded comment; however, any edits to it will get removed if the file is opened in a newer version of Excel. Learn more: https://go.microsoft.com/fwlink/?linkid=870924
Comment:
    PROMEDIO ÚLTIMOS 3 AÑOS CERRADOS</t>
      </text>
    </comment>
    <comment ref="T4" authorId="0" shapeId="0" xr:uid="{8800AB2B-B108-43FD-B74D-7259610A1982}">
      <text>
        <r>
          <rPr>
            <b/>
            <sz val="9"/>
            <color rgb="FF000000"/>
            <rFont val="Tahoma"/>
            <family val="2"/>
          </rPr>
          <t>Usuario:</t>
        </r>
        <r>
          <rPr>
            <sz val="9"/>
            <color rgb="FF000000"/>
            <rFont val="Tahoma"/>
            <family val="2"/>
          </rPr>
          <t xml:space="preserve">
</t>
        </r>
        <r>
          <rPr>
            <sz val="9"/>
            <color rgb="FF000000"/>
            <rFont val="Tahoma"/>
            <family val="2"/>
          </rPr>
          <t xml:space="preserve">
</t>
        </r>
        <r>
          <rPr>
            <sz val="9"/>
            <color rgb="FF000000"/>
            <rFont val="Tahoma"/>
            <family val="2"/>
          </rPr>
          <t>RETORNO ESTIMADO CONSIDERANDO PRECIO DE CIERRE Y DIVIDENDOS SIN ADICIONAL NI EVENTUAL</t>
        </r>
      </text>
    </comment>
    <comment ref="Y4" authorId="0" shapeId="0" xr:uid="{C282C8C4-B4EF-4391-9578-D030A30D0CD6}">
      <text>
        <r>
          <rPr>
            <b/>
            <sz val="9"/>
            <color indexed="81"/>
            <rFont val="Tahoma"/>
            <family val="2"/>
          </rPr>
          <t>Usuario:</t>
        </r>
        <r>
          <rPr>
            <sz val="9"/>
            <color indexed="81"/>
            <rFont val="Tahoma"/>
            <family val="2"/>
          </rPr>
          <t xml:space="preserve">
RETORNO ESTIMADO CONSIDERANDO PRECIO DE CIERRE Y DIVIDENDOS TOTALES (INCLUYE ADICIONALES Y EVENTUALES)</t>
        </r>
      </text>
    </comment>
    <comment ref="H55" authorId="4" shapeId="0" xr:uid="{7F38B69E-BE4D-406E-8AA8-8E687EFC0451}">
      <text>
        <t>[Threaded comment]
Your version of Excel allows you to read this threaded comment; however, any edits to it will get removed if the file is opened in a newer version of Excel. Learn more: https://go.microsoft.com/fwlink/?linkid=870924
Comment:
    PROMEDIO ÚLTIMOS 3 AÑOS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tc={86ECFB03-0CDA-4073-883C-69F62E3CBA62}</author>
    <author>tc={A397AA3B-6ECB-440D-BF1E-168A77AD4200}</author>
  </authors>
  <commentList>
    <comment ref="B27" authorId="0" shapeId="0" xr:uid="{86ECFB03-0CDA-4073-883C-69F62E3CBA62}">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8" authorId="1" shapeId="0" xr:uid="{A397AA3B-6ECB-440D-BF1E-168A77AD4200}">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tc={319F0BF8-3E8C-42CF-87F1-C5693AE4B73D}</author>
    <author>tc={22F595EF-252A-4976-A71C-262CFF14E575}</author>
    <author>tc={1B188656-3973-414E-8E09-2CAD8B7ED7A0}</author>
    <author>tc={8855632C-87EB-4425-A157-F27C9D7F81C1}</author>
    <author>tc={AD87F9CF-0E32-44CE-9C80-3C53B4005C81}</author>
    <author>tc={34D81435-74FE-48A6-AB24-7D937B2A63E0}</author>
    <author>tc={786E8C36-1AFA-4E7E-81C5-0B2ACC449CBE}</author>
    <author>tc={7A85F932-E158-4E85-9DC8-0067E09CD8B3}</author>
    <author>tc={2C69D0A5-B3A3-4B65-AE3D-1D1FA246A97C}</author>
  </authors>
  <commentList>
    <comment ref="G6" authorId="0" shapeId="0" xr:uid="{319F0BF8-3E8C-42CF-87F1-C5693AE4B73D}">
      <text>
        <t>[Threaded comment]
Your version of Excel allows you to read this threaded comment; however, any edits to it will get removed if the file is opened in a newer version of Excel. Learn more: https://go.microsoft.com/fwlink/?linkid=870924
Comment:
    SPIN-OFF (AAISA)</t>
      </text>
    </comment>
    <comment ref="B27" authorId="1" shapeId="0" xr:uid="{22F595EF-252A-4976-A71C-262CFF14E575}">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8" authorId="2" shapeId="0" xr:uid="{1B188656-3973-414E-8E09-2CAD8B7ED7A0}">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0" authorId="3" shapeId="0" xr:uid="{8855632C-87EB-4425-A157-F27C9D7F81C1}">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23" authorId="4" shapeId="0" xr:uid="{AD87F9CF-0E32-44CE-9C80-3C53B4005C81}">
      <text>
        <t>[Threaded comment]
Your version of Excel allows you to read this threaded comment; however, any edits to it will get removed if the file is opened in a newer version of Excel. Learn more: https://go.microsoft.com/fwlink/?linkid=870924
Comment:
    Otros gastos varios de operación (menos)</t>
      </text>
    </comment>
    <comment ref="B126" authorId="5" shapeId="0" xr:uid="{34D81435-74FE-48A6-AB24-7D937B2A63E0}">
      <text>
        <t>[Threaded comment]
Your version of Excel allows you to read this threaded comment; however, any edits to it will get removed if the file is opened in a newer version of Excel. Learn more: https://go.microsoft.com/fwlink/?linkid=870924
Comment:
    Ganancia (pérdida) procedente de inversiones</t>
      </text>
    </comment>
    <comment ref="G138" authorId="6" shapeId="0" xr:uid="{786E8C36-1AFA-4E7E-81C5-0B2ACC449CBE}">
      <text>
        <t>[Threaded comment]
Your version of Excel allows you to read this threaded comment; however, any edits to it will get removed if the file is opened in a newer version of Excel. Learn more: https://go.microsoft.com/fwlink/?linkid=870924
Comment:
    RESULTADOS INDIVIDUALES</t>
      </text>
    </comment>
    <comment ref="B139" authorId="7" shapeId="0" xr:uid="{7A85F932-E158-4E85-9DC8-0067E09CD8B3}">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6" authorId="8" shapeId="0" xr:uid="{2C69D0A5-B3A3-4B65-AE3D-1D1FA246A97C}">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author>
    <author>tc={789C7E30-09F8-4A71-8383-8CA92F6B523B}</author>
    <author>tc={95064439-3F2E-4F99-8F86-C58DFF99A64F}</author>
    <author>tc={731FB698-D8F2-440C-92BA-9E23FF6A6404}</author>
    <author>tc={4677D1E9-447C-45E7-8A09-07B6BC2204AB}</author>
    <author>tc={5161B6F7-A497-4755-8A44-257EFBF9A416}</author>
    <author>tc={6FA7CC9B-1EB5-4E7C-B06D-4DA7661D5F55}</author>
  </authors>
  <commentList>
    <comment ref="B6" authorId="0" shapeId="0" xr:uid="{3322E62C-25E9-411C-80BC-C55424570921}">
      <text>
        <r>
          <rPr>
            <b/>
            <sz val="9"/>
            <color rgb="FF000000"/>
            <rFont val="Tahoma"/>
            <family val="2"/>
          </rPr>
          <t>Usuario:</t>
        </r>
        <r>
          <rPr>
            <sz val="9"/>
            <color rgb="FF000000"/>
            <rFont val="Tahoma"/>
            <family val="2"/>
          </rPr>
          <t xml:space="preserve">
</t>
        </r>
        <r>
          <rPr>
            <sz val="9"/>
            <color rgb="FF000000"/>
            <rFont val="Tahoma"/>
            <family val="2"/>
          </rPr>
          <t xml:space="preserve">95% de las acciones
</t>
        </r>
      </text>
    </comment>
    <comment ref="H12" authorId="1" shapeId="0" xr:uid="{789C7E30-09F8-4A71-8383-8CA92F6B523B}">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2" shapeId="0" xr:uid="{95064439-3F2E-4F99-8F86-C58DFF99A64F}">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3" shapeId="0" xr:uid="{731FB698-D8F2-440C-92BA-9E23FF6A6404}">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38" authorId="4" shapeId="0" xr:uid="{4677D1E9-447C-45E7-8A09-07B6BC2204AB}">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3" authorId="5" shapeId="0" xr:uid="{5161B6F7-A497-4755-8A44-257EFBF9A416}">
      <text>
        <t>[Threaded comment]
Your version of Excel allows you to read this threaded comment; however, any edits to it will get removed if the file is opened in a newer version of Excel. Learn more: https://go.microsoft.com/fwlink/?linkid=870924
Comment:
    Intereses incluidos en el Flujo Operativo</t>
      </text>
    </comment>
    <comment ref="B144" authorId="6" shapeId="0" xr:uid="{6FA7CC9B-1EB5-4E7C-B06D-4DA7661D5F55}">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tc={88E43DA9-9F53-4697-9354-A63EC0B81339}</author>
    <author>tc={FC0ECDE7-384B-451A-9D84-B5545B12DC62}</author>
    <author>tc={82CD76F5-1501-437C-B132-F546CD8EBA99}</author>
    <author>tc={AD8CD248-8A94-4986-8DE4-2B22FF063857}</author>
    <author>tc={14C5DC60-6C34-493A-AE51-A973A8FAFC5E}</author>
    <author>tc={D4458D37-192C-43FB-BD9E-84D7CB0C4E7F}</author>
    <author>tc={D1C52CCC-8E48-478F-985E-90EE2A23A276}</author>
  </authors>
  <commentList>
    <comment ref="B6" authorId="0" shapeId="0" xr:uid="{88E43DA9-9F53-4697-9354-A63EC0B81339}">
      <text>
        <t>[Threaded comment]
Your version of Excel allows you to read this threaded comment; however, any edits to it will get removed if the file is opened in a newer version of Excel. Learn more: https://go.microsoft.com/fwlink/?linkid=870924
Comment:
    5% de las acciones totales</t>
      </text>
    </comment>
    <comment ref="H12" authorId="1" shapeId="0" xr:uid="{FC0ECDE7-384B-451A-9D84-B5545B12DC62}">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2" shapeId="0" xr:uid="{82CD76F5-1501-437C-B132-F546CD8EBA99}">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3" shapeId="0" xr:uid="{AD8CD248-8A94-4986-8DE4-2B22FF063857}">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38" authorId="4" shapeId="0" xr:uid="{14C5DC60-6C34-493A-AE51-A973A8FAFC5E}">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3" authorId="5" shapeId="0" xr:uid="{D4458D37-192C-43FB-BD9E-84D7CB0C4E7F}">
      <text>
        <t>[Threaded comment]
Your version of Excel allows you to read this threaded comment; however, any edits to it will get removed if the file is opened in a newer version of Excel. Learn more: https://go.microsoft.com/fwlink/?linkid=870924
Comment:
    Intereses incluidos en el Flujo Operativo</t>
      </text>
    </comment>
    <comment ref="B144" authorId="6" shapeId="0" xr:uid="{D1C52CCC-8E48-478F-985E-90EE2A23A276}">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tc={9DCB7F6D-9ADF-4B69-AA45-7CD0BFA99552}</author>
    <author>tc={19B9CA75-F633-4229-A429-611F2F53FE45}</author>
    <author>tc={8D4E17C6-0302-40C2-BE6B-9C8A3E63F9F7}</author>
    <author>tc={2DC4AE82-1F14-46C3-B50C-076529BEADF6}</author>
    <author>tc={F0529C76-1A61-4AC0-835A-1622FC612622}</author>
    <author>tc={1D5C6206-6051-4500-8FF8-7C2C2548CBB2}</author>
  </authors>
  <commentList>
    <comment ref="B22" authorId="0" shapeId="0" xr:uid="{9DCB7F6D-9ADF-4B69-AA45-7CD0BFA99552}">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3" authorId="1" shapeId="0" xr:uid="{19B9CA75-F633-4229-A429-611F2F53FE45}">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09" authorId="2" shapeId="0" xr:uid="{8D4E17C6-0302-40C2-BE6B-9C8A3E63F9F7}">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G130" authorId="3" shapeId="0" xr:uid="{2DC4AE82-1F14-46C3-B50C-076529BEADF6}">
      <text>
        <t>[Threaded comment]
Your version of Excel allows you to read this threaded comment; however, any edits to it will get removed if the file is opened in a newer version of Excel. Learn more: https://go.microsoft.com/fwlink/?linkid=870924
Comment:
    RESULTADOS INDIVIDUALES</t>
      </text>
    </comment>
    <comment ref="B131" authorId="4" shapeId="0" xr:uid="{F0529C76-1A61-4AC0-835A-1622FC612622}">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36" authorId="5" shapeId="0" xr:uid="{1D5C6206-6051-4500-8FF8-7C2C2548CBB2}">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tc={8184710F-1026-4B56-852D-761CFE3F5045}</author>
    <author>tc={E9067A45-8085-44FC-82A6-14384FEEB82B}</author>
    <author>tc={56CAE43D-0B56-4043-8A12-B5A684DAAF9A}</author>
    <author>tc={468CB9E1-04B4-45D1-898E-AEF017C2B4F9}</author>
    <author>tc={8569C931-3855-4BA2-9845-70C5A918E916}</author>
    <author>tc={8F39F788-DBD3-4A72-8123-1D6F6AFEC389}</author>
  </authors>
  <commentList>
    <comment ref="H12" authorId="0" shapeId="0" xr:uid="{8184710F-1026-4B56-852D-761CFE3F5045}">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E9067A45-8085-44FC-82A6-14384FEEB82B}">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56CAE43D-0B56-4043-8A12-B5A684DAAF9A}">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2" authorId="3" shapeId="0" xr:uid="{468CB9E1-04B4-45D1-898E-AEF017C2B4F9}">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43" authorId="4" shapeId="0" xr:uid="{8569C931-3855-4BA2-9845-70C5A918E916}">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8" authorId="5" shapeId="0" xr:uid="{8F39F788-DBD3-4A72-8123-1D6F6AFEC389}">
      <text>
        <t>[Threaded comment]
Your version of Excel allows you to read this threaded comment; however, any edits to it will get removed if the file is opened in a newer version of Excel. Learn more: https://go.microsoft.com/fwlink/?linkid=870924
Comment:
    Intereses se encuentran en el Flujo Operativo</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tc={D935048F-2101-41E5-BD8D-9F902A537A59}</author>
    <author>tc={5938D963-8DF9-47CB-9377-5BCC49DB451D}</author>
    <author>tc={D52D2C83-8743-4C39-8FFA-FD02459317AA}</author>
    <author>tc={BA748C10-1DFD-498E-AF5F-A1C74C57F810}</author>
    <author>tc={BCEA5210-8BA9-418D-B638-B4D55E7A30CF}</author>
    <author>tc={BE9B8CB7-0628-4576-AA45-EB65D294C5C3}</author>
    <author>tc={28C25BB4-E740-4C2E-AABF-5D12D6231FB0}</author>
    <author>tc={625CA629-8B46-44F1-ADBE-5098493192C6}</author>
  </authors>
  <commentList>
    <comment ref="H12" authorId="0" shapeId="0" xr:uid="{D935048F-2101-41E5-BD8D-9F902A537A59}">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5938D963-8DF9-47CB-9377-5BCC49DB451D}">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D52D2C83-8743-4C39-8FFA-FD02459317AA}">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2" authorId="3" shapeId="0" xr:uid="{BA748C10-1DFD-498E-AF5F-A1C74C57F810}">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G142" authorId="4" shapeId="0" xr:uid="{BCEA5210-8BA9-418D-B638-B4D55E7A30CF}">
      <text>
        <t>[Threaded comment]
Your version of Excel allows you to read this threaded comment; however, any edits to it will get removed if the file is opened in a newer version of Excel. Learn more: https://go.microsoft.com/fwlink/?linkid=870924
Comment:
    RESULTADOS INDIVIDUALES</t>
      </text>
    </comment>
    <comment ref="B143" authorId="5" shapeId="0" xr:uid="{BE9B8CB7-0628-4576-AA45-EB65D294C5C3}">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8" authorId="6" shapeId="0" xr:uid="{28C25BB4-E740-4C2E-AABF-5D12D6231FB0}">
      <text>
        <t>[Threaded comment]
Your version of Excel allows you to read this threaded comment; however, any edits to it will get removed if the file is opened in a newer version of Excel. Learn more: https://go.microsoft.com/fwlink/?linkid=870924
Comment:
    Intereses se encuentran en el Flujo Operativo</t>
      </text>
    </comment>
    <comment ref="B149" authorId="7" shapeId="0" xr:uid="{625CA629-8B46-44F1-ADBE-5098493192C6}">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tc={819B1368-96CF-4DBC-A33F-3443911ADED7}</author>
    <author>tc={5376FC1D-D917-4682-9A6D-9224182D4180}</author>
    <author>tc={1FAAA016-4D1C-4D5E-91F4-7DEAA809911B}</author>
    <author>tc={D7200531-8820-4972-B8FA-9C5729D2B1E3}</author>
    <author>tc={C7228F1A-AB62-42B6-967A-D49422156A75}</author>
  </authors>
  <commentList>
    <comment ref="B21" authorId="0" shapeId="0" xr:uid="{819B1368-96CF-4DBC-A33F-3443911ADED7}">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2" authorId="1" shapeId="0" xr:uid="{5376FC1D-D917-4682-9A6D-9224182D4180}">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83" authorId="2" shapeId="0" xr:uid="{1FAAA016-4D1C-4D5E-91F4-7DEAA809911B}">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G99" authorId="3" shapeId="0" xr:uid="{D7200531-8820-4972-B8FA-9C5729D2B1E3}">
      <text>
        <t>[Threaded comment]
Your version of Excel allows you to read this threaded comment; however, any edits to it will get removed if the file is opened in a newer version of Excel. Learn more: https://go.microsoft.com/fwlink/?linkid=870924
Comment:
    RESULTADOS INDIVIDUALES</t>
      </text>
    </comment>
    <comment ref="B100" authorId="4" shapeId="0" xr:uid="{C7228F1A-AB62-42B6-967A-D49422156A75}">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tc={D0FC91E1-762A-4B6A-9A79-2879721B4B5E}</author>
    <author>tc={6C950638-2A17-4DC1-A08F-AF7E8CB061AC}</author>
    <author>tc={EE7E954B-5AB3-4026-BD30-D5E89B71D7B3}</author>
    <author>tc={E1E5821A-DC1C-41BA-BC12-E0B990E98444}</author>
    <author>tc={6A31F6BB-9DC8-4BF2-B995-5CA098750331}</author>
    <author>tc={EA877390-0467-485D-B069-48B63DCC5DD2}</author>
  </authors>
  <commentList>
    <comment ref="H12" authorId="0" shapeId="0" xr:uid="{D0FC91E1-762A-4B6A-9A79-2879721B4B5E}">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6C950638-2A17-4DC1-A08F-AF7E8CB061AC}">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EE7E954B-5AB3-4026-BD30-D5E89B71D7B3}">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4" authorId="3" shapeId="0" xr:uid="{E1E5821A-DC1C-41BA-BC12-E0B990E98444}">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5" authorId="4" shapeId="0" xr:uid="{6A31F6BB-9DC8-4BF2-B995-5CA098750331}">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1" authorId="5" shapeId="0" xr:uid="{EA877390-0467-485D-B069-48B63DCC5DD2}">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tc={BDFD8CDA-6770-41C9-9B4C-C11D838A1ACE}</author>
    <author>tc={DE70EDF5-1165-4AE4-A467-D7875D3D8D0F}</author>
    <author>tc={D38A6F03-1E26-4FF7-B305-B493B74EF246}</author>
    <author>tc={FCB5DD82-C4E7-400E-BD7E-A45FC0C62B71}</author>
    <author>tc={F9C60DCA-9B9C-4D6D-B6AD-97D21406E6FE}</author>
  </authors>
  <commentList>
    <comment ref="B24" authorId="0" shapeId="0" xr:uid="{BDFD8CDA-6770-41C9-9B4C-C11D838A1ACE}">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5" authorId="1" shapeId="0" xr:uid="{DE70EDF5-1165-4AE4-A467-D7875D3D8D0F}">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7" authorId="2" shapeId="0" xr:uid="{D38A6F03-1E26-4FF7-B305-B493B74EF246}">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49" authorId="3" shapeId="0" xr:uid="{FCB5DD82-C4E7-400E-BD7E-A45FC0C62B71}">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55" authorId="4" shapeId="0" xr:uid="{F9C60DCA-9B9C-4D6D-B6AD-97D21406E6FE}">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Usuario</author>
    <author>tc={C19F657E-E3DD-4B37-84A8-41111A5705C0}</author>
    <author>tc={852185BE-3673-49D8-806C-3C356AD0A907}</author>
    <author>tc={5A965A33-624A-48D1-BC9E-ED2E8C0D0231}</author>
    <author>tc={68DF7749-E2A4-4E49-ADE4-39D623626215}</author>
    <author>tc={70F15796-CE3E-499C-BE36-CD21E7915716}</author>
    <author>tc={BEA37F6E-DD44-4B2B-AB59-4488C220F949}</author>
    <author>tc={7A629007-DEEB-41B2-A5FB-FB48EFC807E6}</author>
  </authors>
  <commentList>
    <comment ref="I6" authorId="0" shapeId="0" xr:uid="{A837D24A-7B89-4B58-B616-886A95CD18FE}">
      <text>
        <r>
          <rPr>
            <b/>
            <sz val="9"/>
            <color indexed="81"/>
            <rFont val="Tahoma"/>
            <family val="2"/>
          </rPr>
          <t>Usuario:</t>
        </r>
        <r>
          <rPr>
            <sz val="9"/>
            <color indexed="81"/>
            <rFont val="Tahoma"/>
            <family val="2"/>
          </rPr>
          <t xml:space="preserve">
DIVISIÓN BOLSA STGO. NUEVO HOLDING BURSATIL. PASÓ A SIMSA, LUEGO A NUAM</t>
        </r>
      </text>
    </comment>
    <comment ref="H12" authorId="1" shapeId="0" xr:uid="{C19F657E-E3DD-4B37-84A8-41111A5705C0}">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2" shapeId="0" xr:uid="{852185BE-3673-49D8-806C-3C356AD0A907}">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3" shapeId="0" xr:uid="{5A965A33-624A-48D1-BC9E-ED2E8C0D0231}">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07" authorId="4" shapeId="0" xr:uid="{68DF7749-E2A4-4E49-ADE4-39D623626215}">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G126" authorId="5" shapeId="0" xr:uid="{70F15796-CE3E-499C-BE36-CD21E7915716}">
      <text>
        <t>[Threaded comment]
Your version of Excel allows you to read this threaded comment; however, any edits to it will get removed if the file is opened in a newer version of Excel. Learn more: https://go.microsoft.com/fwlink/?linkid=870924
Comment:
    RESULTADOS INDIVIDUALES</t>
      </text>
    </comment>
    <comment ref="B127" authorId="6" shapeId="0" xr:uid="{BEA37F6E-DD44-4B2B-AB59-4488C220F949}">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33" authorId="7" shapeId="0" xr:uid="{7A629007-DEEB-41B2-A5FB-FB48EFC807E6}">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tc={117FAC4B-99C0-4E01-934A-64547E982C2B}</author>
    <author>tc={FAED0193-9A87-4378-960E-884C917718EE}</author>
    <author>tc={0AF6AE72-423B-4A58-8B60-C173058C2FF0}</author>
    <author>tc={1DCE216B-A78D-4CB3-94AD-3F856FB5D143}</author>
    <author>tc={2B7365A8-AFEC-4ACF-AFA9-A408A6DC1306}</author>
    <author>tc={25E479AC-E354-4ABE-B93B-EAF2D200A8C0}</author>
  </authors>
  <commentList>
    <comment ref="H12" authorId="0" shapeId="0" xr:uid="{117FAC4B-99C0-4E01-934A-64547E982C2B}">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4" authorId="1" shapeId="0" xr:uid="{FAED0193-9A87-4378-960E-884C917718EE}">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5" authorId="2" shapeId="0" xr:uid="{0AF6AE72-423B-4A58-8B60-C173058C2FF0}">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7" authorId="3" shapeId="0" xr:uid="{1DCE216B-A78D-4CB3-94AD-3F856FB5D143}">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8" authorId="4" shapeId="0" xr:uid="{2B7365A8-AFEC-4ACF-AFA9-A408A6DC1306}">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4" authorId="5" shapeId="0" xr:uid="{25E479AC-E354-4ABE-B93B-EAF2D200A8C0}">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tc={FA0CB207-1052-4F5F-A4EC-41D826F0E267}</author>
    <author>tc={8E22EF86-3EED-4D06-9845-B8455B708719}</author>
    <author>tc={DBC05FFF-A4D8-4003-B1EC-FE531BB4E54B}</author>
    <author>tc={E5C4D606-66C0-44A8-9145-D9800624E4D0}</author>
    <author>tc={8E62FAD9-C049-4398-AFC5-B02FF51FBD41}</author>
    <author>tc={523EC0BD-47CB-4F62-8AE1-418EC9D27BFD}</author>
    <author>tc={9900B3AE-6774-4320-ACCF-E29C6D1D195D}</author>
    <author>tc={FEB94922-08BC-4242-B29D-0C7A82A0D371}</author>
  </authors>
  <commentList>
    <comment ref="H12" authorId="0" shapeId="0" xr:uid="{FA0CB207-1052-4F5F-A4EC-41D826F0E267}">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8E22EF86-3EED-4D06-9845-B8455B708719}">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DBC05FFF-A4D8-4003-B1EC-FE531BB4E54B}">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7" authorId="3" shapeId="0" xr:uid="{E5C4D606-66C0-44A8-9145-D9800624E4D0}">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G148" authorId="4" shapeId="0" xr:uid="{8E62FAD9-C049-4398-AFC5-B02FF51FBD41}">
      <text>
        <t>[Threaded comment]
Your version of Excel allows you to read this threaded comment; however, any edits to it will get removed if the file is opened in a newer version of Excel. Learn more: https://go.microsoft.com/fwlink/?linkid=870924
Comment:
    RESULTADOS INDIVIDUALES</t>
      </text>
    </comment>
    <comment ref="B149" authorId="5" shapeId="0" xr:uid="{523EC0BD-47CB-4F62-8AE1-418EC9D27BFD}">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54" authorId="6" shapeId="0" xr:uid="{9900B3AE-6774-4320-ACCF-E29C6D1D195D}">
      <text>
        <t>[Threaded comment]
Your version of Excel allows you to read this threaded comment; however, any edits to it will get removed if the file is opened in a newer version of Excel. Learn more: https://go.microsoft.com/fwlink/?linkid=870924
Comment:
    Intereses incluidos en el Flujo Operativo</t>
      </text>
    </comment>
    <comment ref="B155" authorId="7" shapeId="0" xr:uid="{FEB94922-08BC-4242-B29D-0C7A82A0D371}">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tc={EF008577-0262-491B-AC76-01D3B1EBC18A}</author>
    <author>tc={1DDAE741-3475-4229-9A90-650253618369}</author>
    <author>tc={8744E77A-2649-4539-92CD-E7DCEDB49E08}</author>
    <author>tc={6151D985-258F-4C35-99A2-30C087199ABA}</author>
    <author>tc={51B554DA-5E33-4C79-95B2-9D08E517E6FD}</author>
    <author>tc={F782F4B4-D573-4FB3-B7DD-865BD096E9FD}</author>
  </authors>
  <commentList>
    <comment ref="H12" authorId="0" shapeId="0" xr:uid="{EF008577-0262-491B-AC76-01D3B1EBC18A}">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1DDAE741-3475-4229-9A90-650253618369}">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8744E77A-2649-4539-92CD-E7DCEDB49E08}">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3" authorId="3" shapeId="0" xr:uid="{6151D985-258F-4C35-99A2-30C087199ABA}">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44" authorId="4" shapeId="0" xr:uid="{51B554DA-5E33-4C79-95B2-9D08E517E6FD}">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9" authorId="5" shapeId="0" xr:uid="{F782F4B4-D573-4FB3-B7DD-865BD096E9FD}">
      <text>
        <t>[Threaded comment]
Your version of Excel allows you to read this threaded comment; however, any edits to it will get removed if the file is opened in a newer version of Excel. Learn more: https://go.microsoft.com/fwlink/?linkid=870924
Comment:
    Intereses se encuentran en el Flujo Operativo</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Usuario</author>
    <author>tc={D85D2B51-8F4B-414F-B017-04DBC935C114}</author>
    <author>tc={2D037AD7-11D5-4C0F-8DA8-07A977A9C3F0}</author>
    <author>tc={B7BAB1AD-751C-43F2-8E40-71EF9D6C6499}</author>
    <author>tc={78BD8CC6-7F9A-42D5-B60B-F41297D95598}</author>
    <author>tc={EBA4C179-D57F-4D7F-8044-D19FB76940BA}</author>
    <author>tc={07DEFE5A-4B16-45B7-8FD2-3FC9AD795B95}</author>
    <author>tc={718B4EC6-12B5-444B-BF86-6DA303BF0FE7}</author>
  </authors>
  <commentList>
    <comment ref="H6" authorId="0" shapeId="0" xr:uid="{9686CA93-316E-4ECC-AB98-D64199709D02}">
      <text>
        <r>
          <rPr>
            <b/>
            <sz val="9"/>
            <color indexed="81"/>
            <rFont val="Tahoma"/>
            <family val="2"/>
          </rPr>
          <t>Usuario:</t>
        </r>
        <r>
          <rPr>
            <sz val="9"/>
            <color indexed="81"/>
            <rFont val="Tahoma"/>
            <family val="2"/>
          </rPr>
          <t xml:space="preserve">
División societaria. CGE x CGET</t>
        </r>
      </text>
    </comment>
    <comment ref="H12" authorId="1" shapeId="0" xr:uid="{D85D2B51-8F4B-414F-B017-04DBC935C114}">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2" shapeId="0" xr:uid="{2D037AD7-11D5-4C0F-8DA8-07A977A9C3F0}">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3" shapeId="0" xr:uid="{B7BAB1AD-751C-43F2-8E40-71EF9D6C6499}">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2" authorId="4" shapeId="0" xr:uid="{78BD8CC6-7F9A-42D5-B60B-F41297D95598}">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G143" authorId="5" shapeId="0" xr:uid="{EBA4C179-D57F-4D7F-8044-D19FB76940BA}">
      <text>
        <t>[Threaded comment]
Your version of Excel allows you to read this threaded comment; however, any edits to it will get removed if the file is opened in a newer version of Excel. Learn more: https://go.microsoft.com/fwlink/?linkid=870924
Comment:
    RESULTADOS INDIVIDUALES</t>
      </text>
    </comment>
    <comment ref="B144" authorId="6" shapeId="0" xr:uid="{07DEFE5A-4B16-45B7-8FD2-3FC9AD795B95}">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50" authorId="7" shapeId="0" xr:uid="{718B4EC6-12B5-444B-BF86-6DA303BF0FE7}">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tc={B3FE21D2-7012-4ECF-A572-16120363D049}</author>
    <author>tc={B4544686-DFBD-4A4B-B285-3CACBD8C0518}</author>
    <author>tc={507F913C-8AF9-49E8-A548-548E01BF7B5A}</author>
    <author>tc={5D0EA908-8112-4B47-90D7-3AA01146C22A}</author>
    <author>tc={55D6DA08-D7D4-4FC9-B21B-37F8B4CEF80C}</author>
    <author>tc={A1217018-1D6B-40AC-B594-2C0E87788BD0}</author>
  </authors>
  <commentList>
    <comment ref="H12" authorId="0" shapeId="0" xr:uid="{B3FE21D2-7012-4ECF-A572-16120363D049}">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B4544686-DFBD-4A4B-B285-3CACBD8C0518}">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507F913C-8AF9-49E8-A548-548E01BF7B5A}">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3" authorId="3" shapeId="0" xr:uid="{5D0EA908-8112-4B47-90D7-3AA01146C22A}">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4" authorId="4" shapeId="0" xr:uid="{55D6DA08-D7D4-4FC9-B21B-37F8B4CEF80C}">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0" authorId="5" shapeId="0" xr:uid="{A1217018-1D6B-40AC-B594-2C0E87788BD0}">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tc={4B6038B6-E778-42EF-B582-23093F88A559}</author>
    <author>tc={09D942B2-453C-4E80-B317-6BBB1C6800B1}</author>
    <author>tc={7B25C59F-AB27-4838-80C6-ADD868631913}</author>
    <author>tc={53174278-F604-424F-999E-A6D9CB8D2531}</author>
    <author>tc={9CE800F4-0819-42F1-8B71-36E1FED388F2}</author>
    <author>tc={02B7ECE6-8B65-448E-8E18-53F87B1B0070}</author>
  </authors>
  <commentList>
    <comment ref="H13" authorId="0" shapeId="0" xr:uid="{4B6038B6-E778-42EF-B582-23093F88A559}">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5" authorId="1" shapeId="0" xr:uid="{09D942B2-453C-4E80-B317-6BBB1C6800B1}">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6" authorId="2" shapeId="0" xr:uid="{7B25C59F-AB27-4838-80C6-ADD868631913}">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7" authorId="3" shapeId="0" xr:uid="{53174278-F604-424F-999E-A6D9CB8D2531}">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8" authorId="4" shapeId="0" xr:uid="{9CE800F4-0819-42F1-8B71-36E1FED388F2}">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4" authorId="5" shapeId="0" xr:uid="{02B7ECE6-8B65-448E-8E18-53F87B1B0070}">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tc={903ABB5B-F961-4B68-A773-7305E5643D72}</author>
    <author>tc={1ECEF965-DE0E-41FB-BA26-9CD3C2B87FB6}</author>
    <author>tc={164D3E69-2ED8-4B9D-9B7A-6171B24B212D}</author>
    <author>tc={2E1BC510-932B-4C90-AEA3-64D442C21EFF}</author>
    <author>tc={7DDA7378-A32E-45F3-96E5-8FA7ED106E9F}</author>
    <author>tc={F2D3BECA-2562-4DD8-8EEC-8E148AB7BE24}</author>
    <author>tc={DCB18B57-8E83-4C7D-9CC8-46B303692CB6}</author>
  </authors>
  <commentList>
    <comment ref="B27" authorId="0" shapeId="0" xr:uid="{903ABB5B-F961-4B68-A773-7305E5643D72}">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8" authorId="1" shapeId="0" xr:uid="{1ECEF965-DE0E-41FB-BA26-9CD3C2B87FB6}">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0" authorId="2" shapeId="0" xr:uid="{164D3E69-2ED8-4B9D-9B7A-6171B24B212D}">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13" authorId="3" shapeId="0" xr:uid="{2E1BC510-932B-4C90-AEA3-64D442C21EFF}">
      <text>
        <t>[Threaded comment]
Your version of Excel allows you to read this threaded comment; however, any edits to it will get removed if the file is opened in a newer version of Excel. Learn more: https://go.microsoft.com/fwlink/?linkid=870924
Comment:
    Otros gastos varios de operación (menos)</t>
      </text>
    </comment>
    <comment ref="B116" authorId="4" shapeId="0" xr:uid="{7DDA7378-A32E-45F3-96E5-8FA7ED106E9F}">
      <text>
        <t>[Threaded comment]
Your version of Excel allows you to read this threaded comment; however, any edits to it will get removed if the file is opened in a newer version of Excel. Learn more: https://go.microsoft.com/fwlink/?linkid=870924
Comment:
    Ganancia (pérdida) procedente de inversiones</t>
      </text>
    </comment>
    <comment ref="B129" authorId="5" shapeId="0" xr:uid="{F2D3BECA-2562-4DD8-8EEC-8E148AB7BE24}">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35" authorId="6" shapeId="0" xr:uid="{DCB18B57-8E83-4C7D-9CC8-46B303692CB6}">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tc={4D105ADC-4D04-4AD5-A7AC-E533BC7B55B2}</author>
    <author>tc={823C3199-C0AC-4F7D-BB0E-959A88370A4A}</author>
    <author>tc={5BD02AD6-119B-49CB-B8D8-06E7AD401128}</author>
    <author>tc={9E6E6BE6-AADB-45AB-AA5D-AA018D334D5B}</author>
    <author>tc={2F3F6A02-660C-4CB0-BA76-E7D42D260462}</author>
    <author>tc={E9FF865C-0CE4-4A88-83DC-2728B51EC800}</author>
  </authors>
  <commentList>
    <comment ref="H12" authorId="0" shapeId="0" xr:uid="{4D105ADC-4D04-4AD5-A7AC-E533BC7B55B2}">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823C3199-C0AC-4F7D-BB0E-959A88370A4A}">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5BD02AD6-119B-49CB-B8D8-06E7AD401128}">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3" authorId="3" shapeId="0" xr:uid="{9E6E6BE6-AADB-45AB-AA5D-AA018D334D5B}">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4" authorId="4" shapeId="0" xr:uid="{2F3F6A02-660C-4CB0-BA76-E7D42D260462}">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0" authorId="5" shapeId="0" xr:uid="{E9FF865C-0CE4-4A88-83DC-2728B51EC800}">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tc={343A14FD-9217-4CB3-9F43-0D85751A1867}</author>
    <author>tc={DBC22C8F-025F-4E5C-A493-487BAE340958}</author>
    <author>tc={34E63234-5EC6-40B0-A769-29F9A991AF3F}</author>
    <author>tc={6CA285B4-9B39-47C5-B7F1-6C71852ECE21}</author>
    <author>tc={F121C49B-DC54-491F-B33F-F33682864872}</author>
    <author>tc={3874D002-E595-4F9F-A288-7552F237F498}</author>
  </authors>
  <commentList>
    <comment ref="H12" authorId="0" shapeId="0" xr:uid="{343A14FD-9217-4CB3-9F43-0D85751A1867}">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DBC22C8F-025F-4E5C-A493-487BAE340958}">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34E63234-5EC6-40B0-A769-29F9A991AF3F}">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8" authorId="3" shapeId="0" xr:uid="{6CA285B4-9B39-47C5-B7F1-6C71852ECE21}">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8" authorId="4" shapeId="0" xr:uid="{F121C49B-DC54-491F-B33F-F33682864872}">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4" authorId="5" shapeId="0" xr:uid="{3874D002-E595-4F9F-A288-7552F237F498}">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tc={C1FD1317-A35D-49F1-894D-CAD3B5518260}</author>
    <author>tc={670A00D4-FF24-46DC-8773-8FC06BE5AECE}</author>
    <author>tc={CB5D597E-E63B-4ECA-B3EC-432A171E8D3D}</author>
    <author>tc={A731E41F-D527-4E01-AB4C-C41F6D6191D2}</author>
    <author>tc={41DDEEFF-54E9-4B5C-A588-73ABEAF6E3C2}</author>
    <author>tc={C2925B7C-FD5E-4432-932A-2302DEBA3547}</author>
  </authors>
  <commentList>
    <comment ref="H12" authorId="0" shapeId="0" xr:uid="{C1FD1317-A35D-49F1-894D-CAD3B5518260}">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670A00D4-FF24-46DC-8773-8FC06BE5AECE}">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CB5D597E-E63B-4ECA-B3EC-432A171E8D3D}">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5" authorId="3" shapeId="0" xr:uid="{A731E41F-D527-4E01-AB4C-C41F6D6191D2}">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6" authorId="4" shapeId="0" xr:uid="{41DDEEFF-54E9-4B5C-A588-73ABEAF6E3C2}">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2" authorId="5" shapeId="0" xr:uid="{C2925B7C-FD5E-4432-932A-2302DEBA3547}">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tc={4D2D5B57-A46A-49A8-928E-CE820AAA1BCD}</author>
    <author>tc={5964237E-0A04-4C2C-9EC5-80A44CBBE189}</author>
    <author>tc={19E1DE1C-107A-4BFA-ABF5-2CEB8EA3902C}</author>
    <author>tc={92D31FAD-8DD6-49ED-94D6-318E1DB5A32E}</author>
    <author>tc={B2A10464-A2D9-46EA-A214-5A258456B24B}</author>
    <author>tc={FE9F34A6-6713-4430-AE87-47D5994271F5}</author>
    <author>tc={B52F0D21-D313-4D26-AC2B-CD84E168583D}</author>
  </authors>
  <commentList>
    <comment ref="H12" authorId="0" shapeId="0" xr:uid="{4D2D5B57-A46A-49A8-928E-CE820AAA1BCD}">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5964237E-0A04-4C2C-9EC5-80A44CBBE189}">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19E1DE1C-107A-4BFA-ABF5-2CEB8EA3902C}">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9" authorId="3" shapeId="0" xr:uid="{92D31FAD-8DD6-49ED-94D6-318E1DB5A32E}">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G138" authorId="4" shapeId="0" xr:uid="{B2A10464-A2D9-46EA-A214-5A258456B24B}">
      <text>
        <t>[Threaded comment]
Your version of Excel allows you to read this threaded comment; however, any edits to it will get removed if the file is opened in a newer version of Excel. Learn more: https://go.microsoft.com/fwlink/?linkid=870924
Comment:
    RESULTADOS INDIVIDUALES</t>
      </text>
    </comment>
    <comment ref="B139" authorId="5" shapeId="0" xr:uid="{FE9F34A6-6713-4430-AE87-47D5994271F5}">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5" authorId="6" shapeId="0" xr:uid="{B52F0D21-D313-4D26-AC2B-CD84E168583D}">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tc={AA1EEF56-A667-4F67-8C2A-6ACF54598E04}</author>
    <author>tc={E87B0CA1-CB79-4D9C-BBDB-7110E86EE858}</author>
    <author>tc={BE0CF62F-C54F-476F-81B6-5C2CAD108D8E}</author>
    <author>tc={1C695384-27BE-4A02-AD88-2B793B863CA0}</author>
    <author>tc={D438F25C-0B8B-41E5-BB0F-C1AC63477B38}</author>
    <author>tc={04B076D6-4637-45C4-96AE-93A51A020918}</author>
    <author>tc={BB418B22-1487-4F84-BB11-E8A9D363D755}</author>
  </authors>
  <commentList>
    <comment ref="G6" authorId="0" shapeId="0" xr:uid="{AA1EEF56-A667-4F67-8C2A-6ACF54598E04}">
      <text>
        <t>[Threaded comment]
Your version of Excel allows you to read this threaded comment; however, any edits to it will get removed if the file is opened in a newer version of Excel. Learn more: https://go.microsoft.com/fwlink/?linkid=870924
Comment:
    FUSIÓN EGP AMERICAS SPA</t>
      </text>
    </comment>
    <comment ref="H12" authorId="1" shapeId="0" xr:uid="{E87B0CA1-CB79-4D9C-BBDB-7110E86EE858}">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4" authorId="2" shapeId="0" xr:uid="{BE0CF62F-C54F-476F-81B6-5C2CAD108D8E}">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5" authorId="3" shapeId="0" xr:uid="{1C695384-27BE-4A02-AD88-2B793B863CA0}">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7" authorId="4" shapeId="0" xr:uid="{D438F25C-0B8B-41E5-BB0F-C1AC63477B38}">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9" authorId="5" shapeId="0" xr:uid="{04B076D6-4637-45C4-96AE-93A51A020918}">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5" authorId="6" shapeId="0" xr:uid="{BB418B22-1487-4F84-BB11-E8A9D363D755}">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tc={D4CBD2D0-1792-44B3-92AF-ED714E2F95E1}</author>
    <author>tc={E0BFC7FC-D162-4905-98A8-D9E7F25D3ADC}</author>
    <author>tc={215047B0-04A7-41CE-AD82-2034EF87269A}</author>
    <author>tc={769DE8BA-7937-49A2-8F79-24CE983B08CD}</author>
    <author>tc={8CC7EED8-BCAE-4956-A722-75E1C7202263}</author>
    <author>tc={F0EE3BCE-78D5-4D62-9358-07012962481D}</author>
  </authors>
  <commentList>
    <comment ref="H12" authorId="0" shapeId="0" xr:uid="{D4CBD2D0-1792-44B3-92AF-ED714E2F95E1}">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E0BFC7FC-D162-4905-98A8-D9E7F25D3ADC}">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215047B0-04A7-41CE-AD82-2034EF87269A}">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8" authorId="3" shapeId="0" xr:uid="{769DE8BA-7937-49A2-8F79-24CE983B08CD}">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52" authorId="4" shapeId="0" xr:uid="{8CC7EED8-BCAE-4956-A722-75E1C7202263}">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59" authorId="5" shapeId="0" xr:uid="{F0EE3BCE-78D5-4D62-9358-07012962481D}">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tc={14A2434E-431F-45D5-843B-934D2D5D0E33}</author>
    <author>tc={9F9FCDB2-F3C9-44B6-B944-DE490777704A}</author>
    <author>tc={7302E6CE-3FAC-42EB-9564-290DD190E681}</author>
    <author>tc={5754AE33-0C76-42D8-B0B4-4D66D6803E88}</author>
    <author>tc={DE195255-6BDE-491A-A2B1-BF971120EA0E}</author>
  </authors>
  <commentList>
    <comment ref="B25" authorId="0" shapeId="0" xr:uid="{14A2434E-431F-45D5-843B-934D2D5D0E33}">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6" authorId="1" shapeId="0" xr:uid="{9F9FCDB2-F3C9-44B6-B944-DE490777704A}">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7" authorId="2" shapeId="0" xr:uid="{7302E6CE-3FAC-42EB-9564-290DD190E681}">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8" authorId="3" shapeId="0" xr:uid="{5754AE33-0C76-42D8-B0B4-4D66D6803E88}">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4" authorId="4" shapeId="0" xr:uid="{DE195255-6BDE-491A-A2B1-BF971120EA0E}">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tc={E23E3857-3979-4566-AB77-554D8ABE477D}</author>
    <author>tc={CED59EE8-CB8D-4177-98E3-A6DF672567D9}</author>
    <author>tc={3EFA24F0-F496-4AC0-A72A-ADBE6085081D}</author>
    <author>tc={92B66135-0926-470D-A889-30EEA5132E6D}</author>
    <author>tc={39459E67-F7C5-48CE-B72B-79D1590704AD}</author>
    <author>tc={30E23DDE-4C54-4074-85A0-AA0CB4900557}</author>
  </authors>
  <commentList>
    <comment ref="H12" authorId="0" shapeId="0" xr:uid="{E23E3857-3979-4566-AB77-554D8ABE477D}">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CED59EE8-CB8D-4177-98E3-A6DF672567D9}">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3EFA24F0-F496-4AC0-A72A-ADBE6085081D}">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2" authorId="3" shapeId="0" xr:uid="{92B66135-0926-470D-A889-30EEA5132E6D}">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46" authorId="4" shapeId="0" xr:uid="{39459E67-F7C5-48CE-B72B-79D1590704AD}">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52" authorId="5" shapeId="0" xr:uid="{30E23DDE-4C54-4074-85A0-AA0CB4900557}">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tc={19560040-D9D8-41A8-815F-87B9B8B2EEDE}</author>
    <author>tc={93028581-374E-41DE-A534-A2357A3EB6E4}</author>
    <author>tc={28440C4D-12BB-4EB1-A70A-CABCE42B0B76}</author>
    <author>tc={0E34C06F-FE93-4CA3-8BB9-36728C5B4C38}</author>
    <author>tc={E2F9A6A1-6152-460F-8FE4-547D854C1D8D}</author>
    <author>tc={A9A96EFB-66F8-421B-B4A8-5BD303D96ADB}</author>
  </authors>
  <commentList>
    <comment ref="H12" authorId="0" shapeId="0" xr:uid="{19560040-D9D8-41A8-815F-87B9B8B2EEDE}">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93028581-374E-41DE-A534-A2357A3EB6E4}">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28440C4D-12BB-4EB1-A70A-CABCE42B0B76}">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4" authorId="3" shapeId="0" xr:uid="{0E34C06F-FE93-4CA3-8BB9-36728C5B4C38}">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4" authorId="4" shapeId="0" xr:uid="{E2F9A6A1-6152-460F-8FE4-547D854C1D8D}">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0" authorId="5" shapeId="0" xr:uid="{A9A96EFB-66F8-421B-B4A8-5BD303D96ADB}">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tc={416F74DB-9831-4401-8568-ADD0E9564C8E}</author>
    <author>tc={808B5C10-331F-4CA7-961A-B5100530C351}</author>
    <author>tc={FFE9866D-815C-4901-BC2C-62645698C486}</author>
    <author>tc={22A6AC5A-4EDA-4003-B596-F21E734C5927}</author>
    <author>tc={4515D5BD-F15F-4B8A-A9E2-8AB97BB06F41}</author>
  </authors>
  <commentList>
    <comment ref="B23" authorId="0" shapeId="0" xr:uid="{416F74DB-9831-4401-8568-ADD0E9564C8E}">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1" shapeId="0" xr:uid="{808B5C10-331F-4CA7-961A-B5100530C351}">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4" authorId="2" shapeId="0" xr:uid="{FFE9866D-815C-4901-BC2C-62645698C486}">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6" authorId="3" shapeId="0" xr:uid="{22A6AC5A-4EDA-4003-B596-F21E734C5927}">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2" authorId="4" shapeId="0" xr:uid="{4515D5BD-F15F-4B8A-A9E2-8AB97BB06F41}">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tc={C7768F0C-5493-4250-A23B-AD7AF755E7A5}</author>
    <author>tc={6A8EFB23-7695-4698-A8F7-81BC3E8EF6F4}</author>
    <author>tc={63048600-0898-40F1-9270-B0F5BDF81BE1}</author>
    <author>tc={78D60A72-7718-497C-9E27-60970BB3F877}</author>
    <author>tc={B12AED99-A364-42ED-AFD6-FF24F14CCF7C}</author>
    <author>tc={2985BEB9-2E5F-4BF8-971D-1107FF4D7583}</author>
  </authors>
  <commentList>
    <comment ref="H12" authorId="0" shapeId="0" xr:uid="{C7768F0C-5493-4250-A23B-AD7AF755E7A5}">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6A8EFB23-7695-4698-A8F7-81BC3E8EF6F4}">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63048600-0898-40F1-9270-B0F5BDF81BE1}">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3" authorId="3" shapeId="0" xr:uid="{78D60A72-7718-497C-9E27-60970BB3F877}">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5" authorId="4" shapeId="0" xr:uid="{B12AED99-A364-42ED-AFD6-FF24F14CCF7C}">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1" authorId="5" shapeId="0" xr:uid="{2985BEB9-2E5F-4BF8-971D-1107FF4D7583}">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tc={3FDCED88-4129-43E7-883F-29D4DBD6D38C}</author>
    <author>tc={F3611697-89A8-4D5C-A36B-FC258AC6F4AA}</author>
    <author>tc={0DEA93FF-8B3A-4648-A640-22F899BC0229}</author>
    <author>tc={1644B17E-3007-4A1F-B26A-4DD07716F52D}</author>
    <author>tc={224391B3-60E5-493A-B2A5-8F90C4A4D217}</author>
    <author>tc={A10057D0-9BD8-460D-817F-1F5832BF58F1}</author>
    <author>tc={9087030E-28BA-4C65-8E80-5BB6DE64623E}</author>
  </authors>
  <commentList>
    <comment ref="G6" authorId="0" shapeId="0" xr:uid="{3FDCED88-4129-43E7-883F-29D4DBD6D38C}">
      <text>
        <t>[Threaded comment]
Your version of Excel allows you to read this threaded comment; however, any edits to it will get removed if the file is opened in a newer version of Excel. Learn more: https://go.microsoft.com/fwlink/?linkid=870924
Comment:
    División sociedad Gasco - Gascoinv</t>
      </text>
    </comment>
    <comment ref="H12" authorId="1" shapeId="0" xr:uid="{F3611697-89A8-4D5C-A36B-FC258AC6F4AA}">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2" shapeId="0" xr:uid="{0DEA93FF-8B3A-4648-A640-22F899BC0229}">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3" shapeId="0" xr:uid="{1644B17E-3007-4A1F-B26A-4DD07716F52D}">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0" authorId="4" shapeId="0" xr:uid="{224391B3-60E5-493A-B2A5-8F90C4A4D217}">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42" authorId="5" shapeId="0" xr:uid="{A10057D0-9BD8-460D-817F-1F5832BF58F1}">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8" authorId="6" shapeId="0" xr:uid="{9087030E-28BA-4C65-8E80-5BB6DE64623E}">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tc={8A676AB4-5A5A-4716-9E8C-CEC5B0483C5E}</author>
    <author>tc={663121E2-AA88-4D47-94CC-A46C65E12CF0}</author>
    <author>tc={FA617C79-789E-4C11-87A1-F48A84954CC3}</author>
    <author>tc={9682E77B-FFF5-4325-A4ED-04629AADA925}</author>
    <author>tc={D8E4CD6C-0634-47A9-9D62-6A0F37C445CB}</author>
    <author>tc={2AC72F1D-87AA-4F5B-A76C-10C8BFD9A22D}</author>
    <author>tc={9247FD25-4CD7-4FE1-BD10-F26D1E843C44}</author>
    <author>tc={8EC3CA95-8DFE-4784-A1EE-6CB96E1B67FB}</author>
    <author>tc={8AF8052A-D2C9-4C4F-90FC-773637698F07}</author>
  </authors>
  <commentList>
    <comment ref="G6" authorId="0" shapeId="0" xr:uid="{8A676AB4-5A5A-4716-9E8C-CEC5B0483C5E}">
      <text>
        <t>[Threaded comment]
Your version of Excel allows you to read this threaded comment; however, any edits to it will get removed if the file is opened in a newer version of Excel. Learn more: https://go.microsoft.com/fwlink/?linkid=870924
Comment:
    SPIN-OFF (AAISA)</t>
      </text>
    </comment>
    <comment ref="B28" authorId="1" shapeId="0" xr:uid="{663121E2-AA88-4D47-94CC-A46C65E12CF0}">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9" authorId="2" shapeId="0" xr:uid="{FA617C79-789E-4C11-87A1-F48A84954CC3}">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2" authorId="3" shapeId="0" xr:uid="{9682E77B-FFF5-4325-A4ED-04629AADA925}">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15" authorId="4" shapeId="0" xr:uid="{D8E4CD6C-0634-47A9-9D62-6A0F37C445CB}">
      <text>
        <t>[Threaded comment]
Your version of Excel allows you to read this threaded comment; however, any edits to it will get removed if the file is opened in a newer version of Excel. Learn more: https://go.microsoft.com/fwlink/?linkid=870924
Comment:
    Otros gastos varios de operación (menos)</t>
      </text>
    </comment>
    <comment ref="B118" authorId="5" shapeId="0" xr:uid="{2AC72F1D-87AA-4F5B-A76C-10C8BFD9A22D}">
      <text>
        <t>[Threaded comment]
Your version of Excel allows you to read this threaded comment; however, any edits to it will get removed if the file is opened in a newer version of Excel. Learn more: https://go.microsoft.com/fwlink/?linkid=870924
Comment:
    Ganancia (pérdida) procedente de inversiones</t>
      </text>
    </comment>
    <comment ref="G130" authorId="6" shapeId="0" xr:uid="{9247FD25-4CD7-4FE1-BD10-F26D1E843C44}">
      <text>
        <t>[Threaded comment]
Your version of Excel allows you to read this threaded comment; however, any edits to it will get removed if the file is opened in a newer version of Excel. Learn more: https://go.microsoft.com/fwlink/?linkid=870924
Comment:
    RESULTADOS INDIVIDUALES</t>
      </text>
    </comment>
    <comment ref="B131" authorId="7" shapeId="0" xr:uid="{8EC3CA95-8DFE-4784-A1EE-6CB96E1B67FB}">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37" authorId="8" shapeId="0" xr:uid="{8AF8052A-D2C9-4C4F-90FC-773637698F07}">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tc={F0F1E65D-A723-457D-8A21-E91F113DA75F}</author>
    <author>tc={1DE31A38-D109-468B-A7C3-F21C297D50D2}</author>
    <author>tc={C9A6B77F-A72C-4A3A-B19A-58D7B4EB8285}</author>
    <author>tc={0CCEBFEA-0312-43B0-89E9-87E344434BAF}</author>
    <author>tc={F2BD8778-206D-4E5B-9408-0346387555A3}</author>
  </authors>
  <commentList>
    <comment ref="B23" authorId="0" shapeId="0" xr:uid="{F0F1E65D-A723-457D-8A21-E91F113DA75F}">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1" shapeId="0" xr:uid="{1DE31A38-D109-468B-A7C3-F21C297D50D2}">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4" authorId="2" shapeId="0" xr:uid="{C9A6B77F-A72C-4A3A-B19A-58D7B4EB8285}">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6" authorId="3" shapeId="0" xr:uid="{0CCEBFEA-0312-43B0-89E9-87E344434BAF}">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2" authorId="4" shapeId="0" xr:uid="{F2BD8778-206D-4E5B-9408-0346387555A3}">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tc={6E434CF9-8980-42FA-BFB1-EC9B5B36E56D}</author>
    <author>tc={E5FDAD60-E413-4A2B-8AF8-DBA60E8BA3FA}</author>
    <author>tc={489579A5-48B4-4DF1-BCCF-AA981F109C9E}</author>
    <author>tc={D620EE5F-E309-4EE7-931F-002225CB4A52}</author>
    <author>tc={7D426B9D-D07A-4760-A1D9-B89C1B23F3D0}</author>
    <author>tc={225266DF-7A71-459B-9D3A-B5B7FB49AA64}</author>
  </authors>
  <commentList>
    <comment ref="H13" authorId="0" shapeId="0" xr:uid="{6E434CF9-8980-42FA-BFB1-EC9B5B36E56D}">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5" authorId="1" shapeId="0" xr:uid="{E5FDAD60-E413-4A2B-8AF8-DBA60E8BA3FA}">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6" authorId="2" shapeId="0" xr:uid="{489579A5-48B4-4DF1-BCCF-AA981F109C9E}">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4" authorId="3" shapeId="0" xr:uid="{D620EE5F-E309-4EE7-931F-002225CB4A52}">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5" authorId="4" shapeId="0" xr:uid="{7D426B9D-D07A-4760-A1D9-B89C1B23F3D0}">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1" authorId="5" shapeId="0" xr:uid="{225266DF-7A71-459B-9D3A-B5B7FB49AA64}">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tc={8CC86FD6-D473-4057-8817-6A984A564C16}</author>
    <author>tc={D8114B5D-21BD-46AD-876F-06F22E4623FC}</author>
    <author>tc={C0C5534C-68FA-41D9-B6E2-88CD1541C2E8}</author>
    <author>tc={EB8BB3B6-04CD-41D4-9A40-16D5281C43C0}</author>
    <author>tc={94674DBD-099B-4CDE-B33E-EC55E775B75C}</author>
    <author>tc={21721255-A201-4EA0-9807-73053D4295DC}</author>
  </authors>
  <commentList>
    <comment ref="H12" authorId="0" shapeId="0" xr:uid="{8CC86FD6-D473-4057-8817-6A984A564C16}">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5" authorId="1" shapeId="0" xr:uid="{D8114B5D-21BD-46AD-876F-06F22E4623FC}">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6" authorId="2" shapeId="0" xr:uid="{C0C5534C-68FA-41D9-B6E2-88CD1541C2E8}">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8" authorId="3" shapeId="0" xr:uid="{EB8BB3B6-04CD-41D4-9A40-16D5281C43C0}">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51" authorId="4" shapeId="0" xr:uid="{94674DBD-099B-4CDE-B33E-EC55E775B75C}">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57" authorId="5" shapeId="0" xr:uid="{21721255-A201-4EA0-9807-73053D4295DC}">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tc={DE38EB8B-E4B2-4AB9-A601-509D4AEE4D93}</author>
    <author>tc={39860721-F47D-46D0-928C-2ED366CE7099}</author>
    <author>tc={B373A1A9-4223-45C6-BE03-0636EADCBB6D}</author>
    <author>tc={F084EA5D-1ED0-40DE-9926-CE057C924720}</author>
    <author>tc={58635633-F4E1-4D1F-804D-9BA243DE21DB}</author>
    <author>tc={86738D06-2DA4-4E4D-BD17-2AF4B86E1150}</author>
  </authors>
  <commentList>
    <comment ref="H12" authorId="0" shapeId="0" xr:uid="{DE38EB8B-E4B2-4AB9-A601-509D4AEE4D93}">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39860721-F47D-46D0-928C-2ED366CE7099}">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B373A1A9-4223-45C6-BE03-0636EADCBB6D}">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0" authorId="3" shapeId="0" xr:uid="{F084EA5D-1ED0-40DE-9926-CE057C924720}">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42" authorId="4" shapeId="0" xr:uid="{58635633-F4E1-4D1F-804D-9BA243DE21DB}">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8" authorId="5" shapeId="0" xr:uid="{86738D06-2DA4-4E4D-BD17-2AF4B86E1150}">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tc={EF1A0458-7F59-4119-AB57-8AD3351FF161}</author>
    <author>tc={A1BEB5F1-CA62-4EFD-B734-AF7B37BF990D}</author>
    <author>tc={7AD0F2A7-BE3D-4651-ACFA-D054FADF6127}</author>
    <author>tc={ACB31FE2-F01B-4FBB-ADED-7CB2C3180836}</author>
    <author>Usuario</author>
    <author>tc={AACEB8A4-0BAD-418A-B7D9-A7B596EFBAFC}</author>
    <author>tc={FEA9C572-DA5B-4169-9B01-E8BF0F7D175D}</author>
    <author>tc={3A81A629-33AC-47C5-B21F-DA5FE8B42E92}</author>
  </authors>
  <commentList>
    <comment ref="H12" authorId="0" shapeId="0" xr:uid="{EF1A0458-7F59-4119-AB57-8AD3351FF161}">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C19" authorId="1" shapeId="0" xr:uid="{A1BEB5F1-CA62-4EFD-B734-AF7B37BF990D}">
      <text>
        <t>[Threaded comment]
Your version of Excel allows you to read this threaded comment; however, any edits to it will get removed if the file is opened in a newer version of Excel. Learn more: https://go.microsoft.com/fwlink/?linkid=870924
Comment:
    ESTIMADO</t>
      </text>
    </comment>
    <comment ref="B23" authorId="2" shapeId="0" xr:uid="{7AD0F2A7-BE3D-4651-ACFA-D054FADF6127}">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3" shapeId="0" xr:uid="{ACB31FE2-F01B-4FBB-ADED-7CB2C3180836}">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G35" authorId="4" shapeId="0" xr:uid="{7898D701-BD41-44CA-A292-BCF2650681FA}">
      <text>
        <r>
          <rPr>
            <b/>
            <sz val="9"/>
            <color indexed="81"/>
            <rFont val="Tahoma"/>
            <family val="2"/>
          </rPr>
          <t>Usuario:</t>
        </r>
        <r>
          <rPr>
            <sz val="9"/>
            <color indexed="81"/>
            <rFont val="Tahoma"/>
            <family val="2"/>
          </rPr>
          <t xml:space="preserve">
VENTA MACROLOTES (MAYORES INGRESOS)</t>
        </r>
      </text>
    </comment>
    <comment ref="B114" authorId="5" shapeId="0" xr:uid="{AACEB8A4-0BAD-418A-B7D9-A7B596EFBAFC}">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5" authorId="6" shapeId="0" xr:uid="{FEA9C572-DA5B-4169-9B01-E8BF0F7D175D}">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1" authorId="7" shapeId="0" xr:uid="{3A81A629-33AC-47C5-B21F-DA5FE8B42E92}">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tc={05099F9F-827F-4AC3-9E38-BB8224B08DE8}</author>
    <author>tc={DABF9797-CBFA-4EFE-86ED-AA0F85E504CD}</author>
    <author>tc={A0D4AA93-9021-41F8-89DE-34466EC28F5E}</author>
    <author>tc={EFA03637-FC94-4E96-86CE-472CC2F0DB27}</author>
    <author>tc={1A9491E9-9F92-4C6F-BDEA-2C67F4AB00DA}</author>
    <author>tc={6DEC8EFB-CCDA-47CE-9F79-8612F6872C25}</author>
  </authors>
  <commentList>
    <comment ref="H13" authorId="0" shapeId="0" xr:uid="{05099F9F-827F-4AC3-9E38-BB8224B08DE8}">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5" authorId="1" shapeId="0" xr:uid="{DABF9797-CBFA-4EFE-86ED-AA0F85E504CD}">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6" authorId="2" shapeId="0" xr:uid="{A0D4AA93-9021-41F8-89DE-34466EC28F5E}">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7" authorId="3" shapeId="0" xr:uid="{EFA03637-FC94-4E96-86CE-472CC2F0DB27}">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8" authorId="4" shapeId="0" xr:uid="{1A9491E9-9F92-4C6F-BDEA-2C67F4AB00DA}">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4" authorId="5" shapeId="0" xr:uid="{6DEC8EFB-CCDA-47CE-9F79-8612F6872C25}">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tc={B15A6887-F45C-4418-9E33-BD49D3A3F710}</author>
    <author>tc={B605E010-F393-4A0D-BAE0-85ADAB217507}</author>
    <author>tc={957428C5-6CAE-49B9-AEF9-D0E7D4C3EB8A}</author>
    <author>tc={D6DEDD37-CD06-4EF2-8E2E-A1F2E0EA3780}</author>
    <author>tc={1FA4227E-2E18-4D15-8634-9A1A46451A89}</author>
    <author>tc={A19B7E35-3E99-466B-A7C5-D9345FECEC73}</author>
  </authors>
  <commentList>
    <comment ref="H13" authorId="0" shapeId="0" xr:uid="{B15A6887-F45C-4418-9E33-BD49D3A3F710}">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5" authorId="1" shapeId="0" xr:uid="{B605E010-F393-4A0D-BAE0-85ADAB217507}">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6" authorId="2" shapeId="0" xr:uid="{957428C5-6CAE-49B9-AEF9-D0E7D4C3EB8A}">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7" authorId="3" shapeId="0" xr:uid="{D6DEDD37-CD06-4EF2-8E2E-A1F2E0EA3780}">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8" authorId="4" shapeId="0" xr:uid="{1FA4227E-2E18-4D15-8634-9A1A46451A89}">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4" authorId="5" shapeId="0" xr:uid="{A19B7E35-3E99-466B-A7C5-D9345FECEC73}">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tc={E1C8FC46-CA1B-47B2-AF06-9CF492F90332}</author>
    <author>tc={98848B67-99B6-4436-8CBA-484469587783}</author>
    <author>tc={75B2DFEB-E7BB-4612-A233-FA9857BF3101}</author>
    <author>tc={C2D80D27-9BB0-4329-ABDB-418331C490D8}</author>
    <author>tc={C5E301A2-2C1C-45B6-85FC-9E9A82F9DA16}</author>
    <author>tc={3B2D3D48-ADD1-4BDD-AEC8-A2FE4C17A8F4}</author>
    <author>tc={7470B7DF-1233-422B-8210-A7362EA9EEA2}</author>
    <author>tc={6B5E65C1-AE31-41DA-BA75-F2DE9380A826}</author>
    <author>tc={9FC07717-4D17-482F-99EA-B4B9F2A0552A}</author>
    <author>tc={A494F323-C8E8-49C1-992F-8B57D23B1723}</author>
  </authors>
  <commentList>
    <comment ref="B24" authorId="0" shapeId="0" xr:uid="{E1C8FC46-CA1B-47B2-AF06-9CF492F90332}">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5" authorId="1" shapeId="0" xr:uid="{98848B67-99B6-4436-8CBA-484469587783}">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C81" authorId="2" shapeId="0" xr:uid="{75B2DFEB-E7BB-4612-A233-FA9857BF3101}">
      <text>
        <t>[Threaded comment]
Your version of Excel allows you to read this threaded comment; however, any edits to it will get removed if the file is opened in a newer version of Excel. Learn more: https://go.microsoft.com/fwlink/?linkid=870924
Comment:
    Más cuentas por cobrar (sólo año 2017)</t>
      </text>
    </comment>
    <comment ref="C104" authorId="3" shapeId="0" xr:uid="{C2D80D27-9BB0-4329-ABDB-418331C490D8}">
      <text>
        <t>[Threaded comment]
Your version of Excel allows you to read this threaded comment; however, any edits to it will get removed if the file is opened in a newer version of Excel. Learn more: https://go.microsoft.com/fwlink/?linkid=870924
Comment:
    Cuentas por pagar a entidades relacionadas</t>
      </text>
    </comment>
    <comment ref="D104" authorId="4" shapeId="0" xr:uid="{C5E301A2-2C1C-45B6-85FC-9E9A82F9DA16}">
      <text>
        <t>[Threaded comment]
Your version of Excel allows you to read this threaded comment; however, any edits to it will get removed if the file is opened in a newer version of Excel. Learn more: https://go.microsoft.com/fwlink/?linkid=870924
Comment:
    Cuentas por pagar a entidades relacionadas</t>
      </text>
    </comment>
    <comment ref="B123" authorId="5" shapeId="0" xr:uid="{3B2D3D48-ADD1-4BDD-AEC8-A2FE4C17A8F4}">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H129" authorId="6" shapeId="0" xr:uid="{7470B7DF-1233-422B-8210-A7362EA9EEA2}">
      <text>
        <t>[Threaded comment]
Your version of Excel allows you to read this threaded comment; however, any edits to it will get removed if the file is opened in a newer version of Excel. Learn more: https://go.microsoft.com/fwlink/?linkid=870924
Comment:
    MULTA</t>
      </text>
    </comment>
    <comment ref="G145" authorId="7" shapeId="0" xr:uid="{6B5E65C1-AE31-41DA-BA75-F2DE9380A826}">
      <text>
        <t>[Threaded comment]
Your version of Excel allows you to read this threaded comment; however, any edits to it will get removed if the file is opened in a newer version of Excel. Learn more: https://go.microsoft.com/fwlink/?linkid=870924
Comment:
    RESULTADOS INDIVIDUALES</t>
      </text>
    </comment>
    <comment ref="B146" authorId="8" shapeId="0" xr:uid="{9FC07717-4D17-482F-99EA-B4B9F2A0552A}">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53" authorId="9" shapeId="0" xr:uid="{A494F323-C8E8-49C1-992F-8B57D23B1723}">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tc={2FDA5142-8B07-41BB-9BF5-EAB469CD81F9}</author>
    <author>tc={1AD561A9-AC06-496D-BAB4-DD3B7E41B0BD}</author>
    <author>tc={4AA6D09C-5E6A-4BFF-90C1-BD6D2EA95802}</author>
    <author>tc={DF543FCF-347E-4ADB-8F2D-7CEA4F908F04}</author>
    <author>tc={05BFEBED-D9B2-4378-806F-A8590707B7E6}</author>
    <author>tc={7D413E12-3850-4756-9280-70E44F6D62A3}</author>
  </authors>
  <commentList>
    <comment ref="H12" authorId="0" shapeId="0" xr:uid="{2FDA5142-8B07-41BB-9BF5-EAB469CD81F9}">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1AD561A9-AC06-496D-BAB4-DD3B7E41B0BD}">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4AA6D09C-5E6A-4BFF-90C1-BD6D2EA95802}">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2" authorId="3" shapeId="0" xr:uid="{DF543FCF-347E-4ADB-8F2D-7CEA4F908F04}">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43" authorId="4" shapeId="0" xr:uid="{05BFEBED-D9B2-4378-806F-A8590707B7E6}">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8" authorId="5" shapeId="0" xr:uid="{7D413E12-3850-4756-9280-70E44F6D62A3}">
      <text>
        <t>[Threaded comment]
Your version of Excel allows you to read this threaded comment; however, any edits to it will get removed if the file is opened in a newer version of Excel. Learn more: https://go.microsoft.com/fwlink/?linkid=870924
Comment:
    Intereses se encuentran en el Flujo Operativo</t>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tc={B8A6EE32-6D9C-45EB-8832-A898F79C1DD4}</author>
    <author>tc={A99CFDCD-3151-4B0C-B26F-D4DB2D9F4B9B}</author>
    <author>tc={BD7A5B7C-9011-4A92-A27B-EA669FBEAAA8}</author>
    <author>tc={268827DF-DF14-4CB3-8238-755E74FD4579}</author>
    <author>tc={07618473-8681-4D5F-BCA2-D8EF430CB7CE}</author>
    <author>tc={C187DBD6-A825-463F-B737-788D3D620859}</author>
  </authors>
  <commentList>
    <comment ref="B24" authorId="0" shapeId="0" xr:uid="{B8A6EE32-6D9C-45EB-8832-A898F79C1DD4}">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5" authorId="1" shapeId="0" xr:uid="{A99CFDCD-3151-4B0C-B26F-D4DB2D9F4B9B}">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5" authorId="2" shapeId="0" xr:uid="{BD7A5B7C-9011-4A92-A27B-EA669FBEAAA8}">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7" authorId="3" shapeId="0" xr:uid="{268827DF-DF14-4CB3-8238-755E74FD4579}">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2" authorId="4" shapeId="0" xr:uid="{07618473-8681-4D5F-BCA2-D8EF430CB7CE}">
      <text>
        <t>[Threaded comment]
Your version of Excel allows you to read this threaded comment; however, any edits to it will get removed if the file is opened in a newer version of Excel. Learn more: https://go.microsoft.com/fwlink/?linkid=870924
Comment:
    Intereses de Oxiquim incluidos en el Flujo Operativo</t>
      </text>
    </comment>
    <comment ref="B143" authorId="5" shapeId="0" xr:uid="{C187DBD6-A825-463F-B737-788D3D620859}">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tc={A956C690-0457-46EC-85A1-31AFAEC16984}</author>
    <author>tc={706D0ABD-D0A6-46DA-95E4-5CCDC55DDD9B}</author>
    <author>tc={D71903F8-5086-46A5-A64D-68B689519B55}</author>
  </authors>
  <commentList>
    <comment ref="H12" authorId="0" shapeId="0" xr:uid="{A956C690-0457-46EC-85A1-31AFAEC16984}">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706D0ABD-D0A6-46DA-95E4-5CCDC55DDD9B}">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D71903F8-5086-46A5-A64D-68B689519B55}">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tc={0B150D3B-9EFB-47D4-BBF3-968F895B78BA}</author>
    <author>tc={D42808FE-6D75-432F-8FFF-4A0B92AB3017}</author>
    <author>tc={ED64BEA1-278E-4A75-A189-0B003F234473}</author>
    <author>tc={52834CD8-7FC7-4C66-9E9D-9571F9B85F0E}</author>
    <author>tc={AFCC5821-1A1D-46D2-BF0A-6F41EB8B175F}</author>
    <author>tc={85BCFD73-D2C4-42BC-923D-F758A2D21A04}</author>
  </authors>
  <commentList>
    <comment ref="B23" authorId="0" shapeId="0" xr:uid="{0B150D3B-9EFB-47D4-BBF3-968F895B78BA}">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1" shapeId="0" xr:uid="{D42808FE-6D75-432F-8FFF-4A0B92AB3017}">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C73" authorId="2" shapeId="0" xr:uid="{ED64BEA1-278E-4A75-A189-0B003F234473}">
      <text>
        <t>[Threaded comment]
Your version of Excel allows you to read this threaded comment; however, any edits to it will get removed if the file is opened in a newer version of Excel. Learn more: https://go.microsoft.com/fwlink/?linkid=870924
Comment:
    Activo por impuestos corrientes</t>
      </text>
    </comment>
    <comment ref="B107" authorId="3" shapeId="0" xr:uid="{52834CD8-7FC7-4C66-9E9D-9571F9B85F0E}">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29" authorId="4" shapeId="0" xr:uid="{AFCC5821-1A1D-46D2-BF0A-6F41EB8B175F}">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35" authorId="5" shapeId="0" xr:uid="{85BCFD73-D2C4-42BC-923D-F758A2D21A04}">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tc={F74593D8-220A-4EB5-B017-AAFB61217F28}</author>
    <author>tc={61F32115-D261-4934-962D-C74A52552652}</author>
    <author>tc={8E775456-9974-45B6-8459-3F0FBB9E1730}</author>
    <author>tc={D5365407-C940-4038-82EB-8CB6E14324DF}</author>
  </authors>
  <commentList>
    <comment ref="H12" authorId="0" shapeId="0" xr:uid="{F74593D8-220A-4EB5-B017-AAFB61217F28}">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61F32115-D261-4934-962D-C74A52552652}">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8E775456-9974-45B6-8459-3F0FBB9E1730}">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3" authorId="3" shapeId="0" xr:uid="{D5365407-C940-4038-82EB-8CB6E14324DF}">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tc={1520F16E-33CE-4EB7-9FDF-D24F4295868F}</author>
    <author>tc={228AD813-E494-4F7A-B490-AE164F7A7EE3}</author>
    <author>tc={C9B0E40E-BBCC-44B5-A127-B68BB9B4E2FC}</author>
    <author>tc={3601DF89-C77E-4E10-89AA-290CEE352FA2}</author>
    <author>tc={1CAAD727-BD0D-4E9D-B07D-9DE22F62A974}</author>
    <author>tc={955760FD-1279-4542-A20B-EF53A82458EC}</author>
    <author>tc={78836709-DC9F-43A5-925A-70BFAA274F4C}</author>
    <author>tc={27F7B5E1-B87D-42C5-B934-85736E6F17A3}</author>
    <author>tc={67312F46-9340-4D9D-82F6-9308E9AAE78E}</author>
  </authors>
  <commentList>
    <comment ref="B27" authorId="0" shapeId="0" xr:uid="{1520F16E-33CE-4EB7-9FDF-D24F4295868F}">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8" authorId="1" shapeId="0" xr:uid="{228AD813-E494-4F7A-B490-AE164F7A7EE3}">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6" authorId="2" shapeId="0" xr:uid="{C9B0E40E-BBCC-44B5-A127-B68BB9B4E2FC}">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19" authorId="3" shapeId="0" xr:uid="{3601DF89-C77E-4E10-89AA-290CEE352FA2}">
      <text>
        <t>[Threaded comment]
Your version of Excel allows you to read this threaded comment; however, any edits to it will get removed if the file is opened in a newer version of Excel. Learn more: https://go.microsoft.com/fwlink/?linkid=870924
Comment:
    Otros gastos varios de operación (menos)</t>
      </text>
    </comment>
    <comment ref="B121" authorId="4" shapeId="0" xr:uid="{1CAAD727-BD0D-4E9D-B07D-9DE22F62A974}">
      <text>
        <t>[Threaded comment]
Your version of Excel allows you to read this threaded comment; however, any edits to it will get removed if the file is opened in a newer version of Excel. Learn more: https://go.microsoft.com/fwlink/?linkid=870924
Comment:
    Ganancia (pérdida) procedente de inversiones</t>
      </text>
    </comment>
    <comment ref="B122" authorId="5" shapeId="0" xr:uid="{955760FD-1279-4542-A20B-EF53A82458EC}">
      <text>
        <t>[Threaded comment]
Your version of Excel allows you to read this threaded comment; however, any edits to it will get removed if the file is opened in a newer version of Excel. Learn more: https://go.microsoft.com/fwlink/?linkid=870924
Comment:
    Ganancia (pérdida) procedente de inversiones</t>
      </text>
    </comment>
    <comment ref="G135" authorId="6" shapeId="0" xr:uid="{78836709-DC9F-43A5-925A-70BFAA274F4C}">
      <text>
        <t>[Threaded comment]
Your version of Excel allows you to read this threaded comment; however, any edits to it will get removed if the file is opened in a newer version of Excel. Learn more: https://go.microsoft.com/fwlink/?linkid=870924
Comment:
    RESULTADOS INDIVIDUALES</t>
      </text>
    </comment>
    <comment ref="B136" authorId="7" shapeId="0" xr:uid="{27F7B5E1-B87D-42C5-B934-85736E6F17A3}">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2" authorId="8" shapeId="0" xr:uid="{67312F46-9340-4D9D-82F6-9308E9AAE78E}">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tc={17B9D228-42AB-4EBE-8AAF-104A8503DB9A}</author>
    <author>tc={7C88C861-44E9-42C5-9454-CA022203828E}</author>
    <author>tc={E93094B7-60CF-4772-8C57-7A31B7D8A20C}</author>
    <author>tc={C2A7BD4C-65AF-4C79-A8F0-52C2FD182D4C}</author>
    <author>tc={28608131-CF89-44C9-B507-88D4222A4BC7}</author>
    <author>tc={29D4B694-6BBC-4F69-B18C-AD1CE41B1CE6}</author>
    <author>tc={0099B322-75DC-4231-BA69-C3A3319829B8}</author>
    <author>tc={6863B574-C506-4C6C-9FEF-B43420694327}</author>
  </authors>
  <commentList>
    <comment ref="B27" authorId="0" shapeId="0" xr:uid="{17B9D228-42AB-4EBE-8AAF-104A8503DB9A}">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8" authorId="1" shapeId="0" xr:uid="{7C88C861-44E9-42C5-9454-CA022203828E}">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1" authorId="2" shapeId="0" xr:uid="{E93094B7-60CF-4772-8C57-7A31B7D8A20C}">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14" authorId="3" shapeId="0" xr:uid="{C2A7BD4C-65AF-4C79-A8F0-52C2FD182D4C}">
      <text>
        <t>[Threaded comment]
Your version of Excel allows you to read this threaded comment; however, any edits to it will get removed if the file is opened in a newer version of Excel. Learn more: https://go.microsoft.com/fwlink/?linkid=870924
Comment:
    Otros gastos varios de operación (menos)</t>
      </text>
    </comment>
    <comment ref="B117" authorId="4" shapeId="0" xr:uid="{28608131-CF89-44C9-B507-88D4222A4BC7}">
      <text>
        <t>[Threaded comment]
Your version of Excel allows you to read this threaded comment; however, any edits to it will get removed if the file is opened in a newer version of Excel. Learn more: https://go.microsoft.com/fwlink/?linkid=870924
Comment:
    Ganancia (pérdida) procedente de inversiones</t>
      </text>
    </comment>
    <comment ref="G129" authorId="5" shapeId="0" xr:uid="{29D4B694-6BBC-4F69-B18C-AD1CE41B1CE6}">
      <text>
        <t>[Threaded comment]
Your version of Excel allows you to read this threaded comment; however, any edits to it will get removed if the file is opened in a newer version of Excel. Learn more: https://go.microsoft.com/fwlink/?linkid=870924
Comment:
    RESULTADOS INDIVIDUALES</t>
      </text>
    </comment>
    <comment ref="B130" authorId="6" shapeId="0" xr:uid="{0099B322-75DC-4231-BA69-C3A3319829B8}">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36" authorId="7" shapeId="0" xr:uid="{6863B574-C506-4C6C-9FEF-B43420694327}">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tc={0FFDFD07-8DD5-47AB-9238-5BCD78E83A9D}</author>
    <author>tc={BF526AA6-5D6E-4E59-9EED-D29717E6A4C8}</author>
    <author>tc={D833A51C-34A9-42BC-B3D7-9AA8A9A0D4AD}</author>
    <author>tc={573493DB-8876-465D-983D-9D9DA691488F}</author>
    <author>tc={4B0BDD62-AA86-4D19-A94B-81B1E3DAE507}</author>
    <author>tc={19C7C592-FA5F-44B4-8E59-6335595F03EE}</author>
  </authors>
  <commentList>
    <comment ref="H12" authorId="0" shapeId="0" xr:uid="{0FFDFD07-8DD5-47AB-9238-5BCD78E83A9D}">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BF526AA6-5D6E-4E59-9EED-D29717E6A4C8}">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D833A51C-34A9-42BC-B3D7-9AA8A9A0D4AD}">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4" authorId="3" shapeId="0" xr:uid="{573493DB-8876-465D-983D-9D9DA691488F}">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5" authorId="4" shapeId="0" xr:uid="{4B0BDD62-AA86-4D19-A94B-81B1E3DAE507}">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1" authorId="5" shapeId="0" xr:uid="{19C7C592-FA5F-44B4-8E59-6335595F03EE}">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tc={CC251CDD-4905-4C95-B7E6-1BD8BC59AA22}</author>
    <author>tc={5B27FADA-D71D-4E65-81BA-599AB2A252CC}</author>
    <author>tc={DA9BD3DA-8F87-4114-8460-28CAEEA95EE3}</author>
    <author>tc={6E708210-09FF-4F43-A386-60CB977B5366}</author>
    <author>tc={B2BDE3A2-CE36-42E4-A51A-4A19CC6EDD19}</author>
  </authors>
  <commentList>
    <comment ref="B23" authorId="0" shapeId="0" xr:uid="{CC251CDD-4905-4C95-B7E6-1BD8BC59AA22}">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1" shapeId="0" xr:uid="{5B27FADA-D71D-4E65-81BA-599AB2A252CC}">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3" authorId="2" shapeId="0" xr:uid="{DA9BD3DA-8F87-4114-8460-28CAEEA95EE3}">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4" authorId="3" shapeId="0" xr:uid="{6E708210-09FF-4F43-A386-60CB977B5366}">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0" authorId="4" shapeId="0" xr:uid="{B2BDE3A2-CE36-42E4-A51A-4A19CC6EDD19}">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tc={61195611-A246-4F4A-982A-D1C312227EEC}</author>
    <author>tc={DADAF90D-8E3A-4552-8C2C-9AE95BF0CAE1}</author>
    <author>tc={95ED86DD-FE57-419D-957D-4CF2C15725F6}</author>
    <author>lp.macaya@gmail.com</author>
    <author>tc={56B94403-D24C-42E7-9477-7F85FC2E767E}</author>
    <author>tc={A170B073-08B6-4F5D-9490-45CD99269BC0}</author>
    <author>tc={056051AE-5DA0-4C44-9D96-6209F7C5989D}</author>
  </authors>
  <commentList>
    <comment ref="H13" authorId="0" shapeId="0" xr:uid="{61195611-A246-4F4A-982A-D1C312227EEC}">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5" authorId="1" shapeId="0" xr:uid="{DADAF90D-8E3A-4552-8C2C-9AE95BF0CAE1}">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6" authorId="2" shapeId="0" xr:uid="{95ED86DD-FE57-419D-957D-4CF2C15725F6}">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J27" authorId="3" shapeId="0" xr:uid="{A3B1413B-F457-46AC-995D-3A245749374B}">
      <text>
        <r>
          <rPr>
            <sz val="11"/>
            <color theme="1"/>
            <rFont val="Calibri"/>
            <family val="2"/>
            <scheme val="minor"/>
          </rPr>
          <t xml:space="preserve">lp.macaya@gmail.com:
</t>
        </r>
      </text>
    </comment>
    <comment ref="B125" authorId="4" shapeId="0" xr:uid="{56B94403-D24C-42E7-9477-7F85FC2E767E}">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46" authorId="5" shapeId="0" xr:uid="{A170B073-08B6-4F5D-9490-45CD99269BC0}">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52" authorId="6" shapeId="0" xr:uid="{056051AE-5DA0-4C44-9D96-6209F7C5989D}">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tc={2F1CEA37-D6F0-407C-9EF3-BD0645F3255C}</author>
    <author>tc={64F1C210-0B9E-4B96-9E4C-BCD8A6ADD82B}</author>
    <author>tc={2E7E6462-BE67-4151-95AB-BF1E87958101}</author>
    <author>tc={421789BD-532F-4EB8-8738-C8BB6455BE08}</author>
    <author>tc={E26BB487-04BD-4597-A015-D04198A08642}</author>
    <author>tc={C563EB5C-A609-442C-BBEA-34037CCD8A70}</author>
  </authors>
  <commentList>
    <comment ref="H12" authorId="0" shapeId="0" xr:uid="{2F1CEA37-D6F0-407C-9EF3-BD0645F3255C}">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64F1C210-0B9E-4B96-9E4C-BCD8A6ADD82B}">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2E7E6462-BE67-4151-95AB-BF1E87958101}">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1" authorId="3" shapeId="0" xr:uid="{421789BD-532F-4EB8-8738-C8BB6455BE08}">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43" authorId="4" shapeId="0" xr:uid="{E26BB487-04BD-4597-A015-D04198A08642}">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9" authorId="5" shapeId="0" xr:uid="{C563EB5C-A609-442C-BBEA-34037CCD8A70}">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tc={BE1FEE53-9679-4CC0-A463-787C3328807D}</author>
    <author>tc={7435D611-F8B0-4AC2-97AA-70F3737F8A59}</author>
    <author>tc={A89438CA-51AD-42C5-9C08-0FA122667A66}</author>
    <author>tc={197B550E-5BF2-4534-AECE-F60B5BBFBC56}</author>
    <author>tc={2EC8B83A-E0D3-4161-A362-1A5A3A03BD6B}</author>
    <author>tc={F49FCA98-EC5A-4594-87E5-216C0C0FCF61}</author>
    <author>tc={0F1E76F6-5D28-4F02-8E3A-03DB3B1AC4E3}</author>
    <author>tc={E2BFE00A-AA5E-4AB5-BF62-B5E53E463F32}</author>
  </authors>
  <commentList>
    <comment ref="H13" authorId="0" shapeId="0" xr:uid="{BE1FEE53-9679-4CC0-A463-787C3328807D}">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6" authorId="1" shapeId="0" xr:uid="{7435D611-F8B0-4AC2-97AA-70F3737F8A59}">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7" authorId="2" shapeId="0" xr:uid="{A89438CA-51AD-42C5-9C08-0FA122667A66}">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25" authorId="3" shapeId="0" xr:uid="{197B550E-5BF2-4534-AECE-F60B5BBFBC56}">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29" authorId="4" shapeId="0" xr:uid="{2EC8B83A-E0D3-4161-A362-1A5A3A03BD6B}">
      <text>
        <t>[Threaded comment]
Your version of Excel allows you to read this threaded comment; however, any edits to it will get removed if the file is opened in a newer version of Excel. Learn more: https://go.microsoft.com/fwlink/?linkid=870924
Comment:
    Otros gastos varios de operación (menos)</t>
      </text>
    </comment>
    <comment ref="B143" authorId="5" shapeId="0" xr:uid="{F49FCA98-EC5A-4594-87E5-216C0C0FCF61}">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8" authorId="6" shapeId="0" xr:uid="{0F1E76F6-5D28-4F02-8E3A-03DB3B1AC4E3}">
      <text>
        <t>[Threaded comment]
Your version of Excel allows you to read this threaded comment; however, any edits to it will get removed if the file is opened in a newer version of Excel. Learn more: https://go.microsoft.com/fwlink/?linkid=870924
Comment:
    Intereses pagados en el Flujo Operativo</t>
      </text>
    </comment>
    <comment ref="B149" authorId="7" shapeId="0" xr:uid="{E2BFE00A-AA5E-4AB5-BF62-B5E53E463F32}">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tc={9AA20E64-384B-4046-B950-3581B7CB1504}</author>
    <author>tc={E422825A-CE0D-42C7-A1B9-479B18FCD86D}</author>
    <author>tc={D0237493-702C-4E00-84D4-F64AAB48A968}</author>
    <author>tc={1B5937E2-C724-4237-AC8E-2826D1CEE93A}</author>
    <author>tc={10F32834-17C1-49BE-951A-27C4EB9633AC}</author>
    <author>tc={E6B98C59-1986-438F-AA76-3CF7A8DFBD36}</author>
  </authors>
  <commentList>
    <comment ref="H12" authorId="0" shapeId="0" xr:uid="{9AA20E64-384B-4046-B950-3581B7CB1504}">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E422825A-CE0D-42C7-A1B9-479B18FCD86D}">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D0237493-702C-4E00-84D4-F64AAB48A968}">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9" authorId="3" shapeId="0" xr:uid="{1B5937E2-C724-4237-AC8E-2826D1CEE93A}">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9" authorId="4" shapeId="0" xr:uid="{10F32834-17C1-49BE-951A-27C4EB9633AC}">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5" authorId="5" shapeId="0" xr:uid="{E6B98C59-1986-438F-AA76-3CF7A8DFBD36}">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tc={25EE0A22-B9DC-466A-B3BD-5E2155EA8DB5}</author>
    <author>tc={A4621151-DBAF-478C-A5D7-CF7506DE5C6B}</author>
    <author>tc={FC7239D5-A211-4CFD-B76B-DACA61ED0C75}</author>
    <author>tc={79F7E63D-E5E8-4721-B6E6-AE4135A51781}</author>
    <author>tc={D6589DB0-BB00-410B-A92E-E2E8145C3703}</author>
    <author>tc={28A86ECA-2245-41DA-9770-113A4FBF56FC}</author>
    <author>tc={AD29C0DD-AB16-4CA9-B6E1-7E8E55D7A70D}</author>
  </authors>
  <commentList>
    <comment ref="H12" authorId="0" shapeId="0" xr:uid="{25EE0A22-B9DC-466A-B3BD-5E2155EA8DB5}">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A4621151-DBAF-478C-A5D7-CF7506DE5C6B}">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FC7239D5-A211-4CFD-B76B-DACA61ED0C75}">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3" authorId="3" shapeId="0" xr:uid="{79F7E63D-E5E8-4721-B6E6-AE4135A51781}">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6" authorId="4" shapeId="0" xr:uid="{D6589DB0-BB00-410B-A92E-E2E8145C3703}">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41" authorId="5" shapeId="0" xr:uid="{28A86ECA-2245-41DA-9770-113A4FBF56FC}">
      <text>
        <t>[Threaded comment]
Your version of Excel allows you to read this threaded comment; however, any edits to it will get removed if the file is opened in a newer version of Excel. Learn more: https://go.microsoft.com/fwlink/?linkid=870924
Comment:
    Intereses están incluidos en el Flujo Operativo</t>
      </text>
    </comment>
    <comment ref="B142" authorId="6" shapeId="0" xr:uid="{AD29C0DD-AB16-4CA9-B6E1-7E8E55D7A70D}">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tc={0F5EABEF-78E5-4423-83EA-3848E0ADAEE7}</author>
    <author>tc={16E44650-2E41-4804-ABDA-CEC4CEB1FE42}</author>
    <author>tc={26E1CB14-4830-44D6-B9F5-C6F2649AF90A}</author>
    <author>tc={F9ED0F56-3DCA-4BB3-96F9-62126E131C65}</author>
    <author>tc={BF5C42BF-0C2C-4321-A908-96EDD091989C}</author>
    <author>tc={DEA3CB46-9BE5-4056-BB57-B7376B8B3825}</author>
  </authors>
  <commentList>
    <comment ref="H12" authorId="0" shapeId="0" xr:uid="{0F5EABEF-78E5-4423-83EA-3848E0ADAEE7}">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16E44650-2E41-4804-ABDA-CEC4CEB1FE42}">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26E1CB14-4830-44D6-B9F5-C6F2649AF90A}">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05" authorId="3" shapeId="0" xr:uid="{F9ED0F56-3DCA-4BB3-96F9-62126E131C65}">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24" authorId="4" shapeId="0" xr:uid="{BF5C42BF-0C2C-4321-A908-96EDD091989C}">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30" authorId="5" shapeId="0" xr:uid="{DEA3CB46-9BE5-4056-BB57-B7376B8B3825}">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tc={3C849799-1158-4B07-8EF1-3A2923D1E5FB}</author>
    <author>tc={93CD200D-B8B7-4C25-9BBC-9C1FF33E5B6A}</author>
    <author>tc={C951FE37-3FF3-485F-B6D3-7DCB3DB33EA9}</author>
    <author>tc={4C7FD853-08AD-4599-B9C8-2B068EEACA38}</author>
    <author>tc={303AFA6D-C5B4-45B1-8C85-AC4AEB987899}</author>
    <author>tc={954221E2-5661-4624-A5E7-4E59AE2878AE}</author>
  </authors>
  <commentList>
    <comment ref="H12" authorId="0" shapeId="0" xr:uid="{3C849799-1158-4B07-8EF1-3A2923D1E5FB}">
      <text>
        <t>[Threaded comment]
Your version of Excel allows you to read this threaded comment; however, any edits to it will get removed if the file is opened in a newer version of Excel. Learn more: https://go.microsoft.com/fwlink/?linkid=870924
Comment:
    Provisión dividendos</t>
      </text>
    </comment>
    <comment ref="B23" authorId="1" shapeId="0" xr:uid="{93CD200D-B8B7-4C25-9BBC-9C1FF33E5B6A}">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24" authorId="2" shapeId="0" xr:uid="{C951FE37-3FF3-485F-B6D3-7DCB3DB33EA9}">
      <text>
        <t xml:space="preserve">[Threaded comment]
Your version of Excel allows you to read this threaded comment; however, any edits to it will get removed if the file is opened in a newer version of Excel. Learn more: https://go.microsoft.com/fwlink/?linkid=870924
Comment:
    Empresas con ROE superior a 15%, bolsa libro entre 2 y 2,5 veces
Empresas con ROE entre 10 y 15%, bolsa libro entre 1 y 2
Empresas con ROE bajo 10%, Bolsa libro 1 o menor
</t>
      </text>
    </comment>
    <comment ref="B110" authorId="3" shapeId="0" xr:uid="{4C7FD853-08AD-4599-B9C8-2B068EEACA38}">
      <text>
        <t>[Threaded comment]
Your version of Excel allows you to read this threaded comment; however, any edits to it will get removed if the file is opened in a newer version of Excel. Learn more: https://go.microsoft.com/fwlink/?linkid=870924
Comment:
    Gastos de personal (menos)</t>
      </text>
    </comment>
    <comment ref="B131" authorId="4" shapeId="0" xr:uid="{303AFA6D-C5B4-45B1-8C85-AC4AEB987899}">
      <text>
        <t>[Threaded comment]
Your version of Excel allows you to read this threaded comment; however, any edits to it will get removed if the file is opened in a newer version of Excel. Learn more: https://go.microsoft.com/fwlink/?linkid=870924
Comment:
    Flujos de efectivo neto de (utilizados en) actividades de operación</t>
      </text>
    </comment>
    <comment ref="B137" authorId="5" shapeId="0" xr:uid="{954221E2-5661-4624-A5E7-4E59AE2878AE}">
      <text>
        <t>[Threaded comment]
Your version of Excel allows you to read this threaded comment; however, any edits to it will get removed if the file is opened in a newer version of Excel. Learn more: https://go.microsoft.com/fwlink/?linkid=870924
Comment:
    Incremento (disminución) neto de efectivo y equivalentes al efectivo</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8"/>
        </ext>
      </extLst>
    </bk>
    <bk>
      <extLst>
        <ext uri="{3e2802c4-a4d2-4d8b-9148-e3be6c30e623}">
          <xlrd:rvb i="61"/>
        </ext>
      </extLst>
    </bk>
    <bk>
      <extLst>
        <ext uri="{3e2802c4-a4d2-4d8b-9148-e3be6c30e623}">
          <xlrd:rvb i="64"/>
        </ext>
      </extLst>
    </bk>
    <bk>
      <extLst>
        <ext uri="{3e2802c4-a4d2-4d8b-9148-e3be6c30e623}">
          <xlrd:rvb i="67"/>
        </ext>
      </extLst>
    </bk>
    <bk>
      <extLst>
        <ext uri="{3e2802c4-a4d2-4d8b-9148-e3be6c30e623}">
          <xlrd:rvb i="70"/>
        </ext>
      </extLst>
    </bk>
    <bk>
      <extLst>
        <ext uri="{3e2802c4-a4d2-4d8b-9148-e3be6c30e623}">
          <xlrd:rvb i="73"/>
        </ext>
      </extLst>
    </bk>
    <bk>
      <extLst>
        <ext uri="{3e2802c4-a4d2-4d8b-9148-e3be6c30e623}">
          <xlrd:rvb i="76"/>
        </ext>
      </extLst>
    </bk>
    <bk>
      <extLst>
        <ext uri="{3e2802c4-a4d2-4d8b-9148-e3be6c30e623}">
          <xlrd:rvb i="79"/>
        </ext>
      </extLst>
    </bk>
    <bk>
      <extLst>
        <ext uri="{3e2802c4-a4d2-4d8b-9148-e3be6c30e623}">
          <xlrd:rvb i="82"/>
        </ext>
      </extLst>
    </bk>
    <bk>
      <extLst>
        <ext uri="{3e2802c4-a4d2-4d8b-9148-e3be6c30e623}">
          <xlrd:rvb i="85"/>
        </ext>
      </extLst>
    </bk>
    <bk>
      <extLst>
        <ext uri="{3e2802c4-a4d2-4d8b-9148-e3be6c30e623}">
          <xlrd:rvb i="88"/>
        </ext>
      </extLst>
    </bk>
    <bk>
      <extLst>
        <ext uri="{3e2802c4-a4d2-4d8b-9148-e3be6c30e623}">
          <xlrd:rvb i="91"/>
        </ext>
      </extLst>
    </bk>
    <bk>
      <extLst>
        <ext uri="{3e2802c4-a4d2-4d8b-9148-e3be6c30e623}">
          <xlrd:rvb i="94"/>
        </ext>
      </extLst>
    </bk>
    <bk>
      <extLst>
        <ext uri="{3e2802c4-a4d2-4d8b-9148-e3be6c30e623}">
          <xlrd:rvb i="97"/>
        </ext>
      </extLst>
    </bk>
    <bk>
      <extLst>
        <ext uri="{3e2802c4-a4d2-4d8b-9148-e3be6c30e623}">
          <xlrd:rvb i="100"/>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2"/>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3"/>
        </ext>
      </extLst>
    </bk>
    <bk>
      <extLst>
        <ext uri="{3e2802c4-a4d2-4d8b-9148-e3be6c30e623}">
          <xlrd:rvb i="136"/>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0"/>
        </ext>
      </extLst>
    </bk>
    <bk>
      <extLst>
        <ext uri="{3e2802c4-a4d2-4d8b-9148-e3be6c30e623}">
          <xlrd:rvb i="172"/>
        </ext>
      </extLst>
    </bk>
    <bk>
      <extLst>
        <ext uri="{3e2802c4-a4d2-4d8b-9148-e3be6c30e623}">
          <xlrd:rvb i="175"/>
        </ext>
      </extLst>
    </bk>
    <bk>
      <extLst>
        <ext uri="{3e2802c4-a4d2-4d8b-9148-e3be6c30e623}">
          <xlrd:rvb i="178"/>
        </ext>
      </extLst>
    </bk>
    <bk>
      <extLst>
        <ext uri="{3e2802c4-a4d2-4d8b-9148-e3be6c30e623}">
          <xlrd:rvb i="181"/>
        </ext>
      </extLst>
    </bk>
    <bk>
      <extLst>
        <ext uri="{3e2802c4-a4d2-4d8b-9148-e3be6c30e623}">
          <xlrd:rvb i="184"/>
        </ext>
      </extLst>
    </bk>
    <bk>
      <extLst>
        <ext uri="{3e2802c4-a4d2-4d8b-9148-e3be6c30e623}">
          <xlrd:rvb i="187"/>
        </ext>
      </extLst>
    </bk>
    <bk>
      <extLst>
        <ext uri="{3e2802c4-a4d2-4d8b-9148-e3be6c30e623}">
          <xlrd:rvb i="190"/>
        </ext>
      </extLst>
    </bk>
    <bk>
      <extLst>
        <ext uri="{3e2802c4-a4d2-4d8b-9148-e3be6c30e623}">
          <xlrd:rvb i="193"/>
        </ext>
      </extLst>
    </bk>
    <bk>
      <extLst>
        <ext uri="{3e2802c4-a4d2-4d8b-9148-e3be6c30e623}">
          <xlrd:rvb i="196"/>
        </ext>
      </extLst>
    </bk>
    <bk>
      <extLst>
        <ext uri="{3e2802c4-a4d2-4d8b-9148-e3be6c30e623}">
          <xlrd:rvb i="199"/>
        </ext>
      </extLst>
    </bk>
  </futureMetadata>
  <cellMetadata count="1">
    <bk>
      <rc t="1" v="0"/>
    </bk>
  </cellMetadata>
  <valueMetadata count="6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valueMetadata>
</metadata>
</file>

<file path=xl/sharedStrings.xml><?xml version="1.0" encoding="utf-8"?>
<sst xmlns="http://schemas.openxmlformats.org/spreadsheetml/2006/main" count="8164" uniqueCount="870">
  <si>
    <r>
      <rPr>
        <b/>
        <sz val="26"/>
        <color rgb="FF000000"/>
        <rFont val="Calibri"/>
      </rPr>
      <t xml:space="preserve">PÁGINA PARA DEFINIR QUE </t>
    </r>
    <r>
      <rPr>
        <b/>
        <sz val="26"/>
        <color rgb="FF70AD47"/>
        <rFont val="Calibri"/>
      </rPr>
      <t>PERSONAS AGREGAN Y EDITAN</t>
    </r>
    <r>
      <rPr>
        <b/>
        <sz val="26"/>
        <color rgb="FF000000"/>
        <rFont val="Calibri"/>
      </rPr>
      <t xml:space="preserve"> LOS DATOS POR EMPRESA Y QUE </t>
    </r>
    <r>
      <rPr>
        <b/>
        <sz val="26"/>
        <color rgb="FFFF0000"/>
        <rFont val="Calibri"/>
      </rPr>
      <t>PERSONAS REVISAN</t>
    </r>
    <r>
      <rPr>
        <b/>
        <sz val="26"/>
        <color rgb="FF000000"/>
        <rFont val="Calibri"/>
      </rPr>
      <t xml:space="preserve"> ESTOS DATOS</t>
    </r>
  </si>
  <si>
    <t>*POR FAVOR SOLO LAS PERSONAS CON BUEN DOMINIO DE EXCEL TOMEN EL ROL DE EDITORES (ASI EVITAREMOS MUCHOS ERRORES)</t>
  </si>
  <si>
    <t>EMPRESA</t>
  </si>
  <si>
    <t>Empresa</t>
  </si>
  <si>
    <t>¿Quién EDITA LOS DATOS DE LA EMPRESA?</t>
  </si>
  <si>
    <t>ESTADO DE LLENADO? Indicar Trimetre y Año de datos (ejemplo: Q4-2025)</t>
  </si>
  <si>
    <t>Contacto EDITOR</t>
  </si>
  <si>
    <t>Comentario EDITOR</t>
  </si>
  <si>
    <t>¿Quién REVISA LOS DATOS DE LA EMPRESA?</t>
  </si>
  <si>
    <t>Comentario Revisor</t>
  </si>
  <si>
    <t>TOMAR ESTA HOJA COMO REFERENCIA PARA LLENAR DATOS</t>
  </si>
  <si>
    <t>EMBOTELLADORA</t>
  </si>
  <si>
    <t>ANDINA A</t>
  </si>
  <si>
    <t>Victor Araya</t>
  </si>
  <si>
    <t>Q4-2025</t>
  </si>
  <si>
    <t>ANDINA B</t>
  </si>
  <si>
    <t>ELÉCTRICAS</t>
  </si>
  <si>
    <t>COLBUN</t>
  </si>
  <si>
    <t>BANCO</t>
  </si>
  <si>
    <t>BANCO CHILE</t>
  </si>
  <si>
    <t>Van Olivares</t>
  </si>
  <si>
    <t>volivaresh@outlook.com</t>
  </si>
  <si>
    <t>Listo</t>
  </si>
  <si>
    <t>PEHUENCHE</t>
  </si>
  <si>
    <t>Victor Jofré</t>
  </si>
  <si>
    <t>NO COMPLETADO</t>
  </si>
  <si>
    <t>EMBONOR B</t>
  </si>
  <si>
    <t>EMBONOR A</t>
  </si>
  <si>
    <t>AFP</t>
  </si>
  <si>
    <t>HABITAT</t>
  </si>
  <si>
    <t>GAS</t>
  </si>
  <si>
    <t>LIPIGAS</t>
  </si>
  <si>
    <t>AAISA</t>
  </si>
  <si>
    <t>CONCESIÓN</t>
  </si>
  <si>
    <t>ZOFRI</t>
  </si>
  <si>
    <t>HOLDING</t>
  </si>
  <si>
    <t>QUIÑENCO</t>
  </si>
  <si>
    <t>Manuel González</t>
  </si>
  <si>
    <t>(+56)941389809</t>
  </si>
  <si>
    <t>INMOBILIARIO</t>
  </si>
  <si>
    <t>CENCOMALLS</t>
  </si>
  <si>
    <t>ENELGXCH</t>
  </si>
  <si>
    <t>PROVIDA</t>
  </si>
  <si>
    <t>Alvaro De la Quintana</t>
  </si>
  <si>
    <t>PLANVITAL</t>
  </si>
  <si>
    <t>Q4-2024</t>
  </si>
  <si>
    <t>CUPRUM</t>
  </si>
  <si>
    <t>AFPCAPITAL</t>
  </si>
  <si>
    <t>CGE</t>
  </si>
  <si>
    <t>EDELMAG</t>
  </si>
  <si>
    <t>NTGCLGAS</t>
  </si>
  <si>
    <t>GASCO</t>
  </si>
  <si>
    <t>CCU</t>
  </si>
  <si>
    <t>Jean Herrera</t>
  </si>
  <si>
    <t>ENELCHILE</t>
  </si>
  <si>
    <t>SANTANDER</t>
  </si>
  <si>
    <t>SUPERMERCADOS</t>
  </si>
  <si>
    <t>SMU</t>
  </si>
  <si>
    <t>PARAUCO</t>
  </si>
  <si>
    <t>MALLPLAZA</t>
  </si>
  <si>
    <t>FERTILIZANTES</t>
  </si>
  <si>
    <t>SOQUICOM</t>
  </si>
  <si>
    <t>Gian Carlo Giuliano</t>
  </si>
  <si>
    <t>Q1-2025</t>
  </si>
  <si>
    <t>(+56)998724806</t>
  </si>
  <si>
    <t>TRICAHUE</t>
  </si>
  <si>
    <t>jpg139@gmail.com</t>
  </si>
  <si>
    <t>FINANCIERA</t>
  </si>
  <si>
    <t>NUAM</t>
  </si>
  <si>
    <t>Edo Otero</t>
  </si>
  <si>
    <t>eoterovtmt@gmail.com</t>
  </si>
  <si>
    <t>ILC</t>
  </si>
  <si>
    <t>CFINRENTAS</t>
  </si>
  <si>
    <t>Diego Muñoz C</t>
  </si>
  <si>
    <t>Por crear</t>
  </si>
  <si>
    <t>POR FAVOR TOMAR EN CUENTA ESTAS INDICACIONES ANTES DE EDITAR LAS EMPRESAS</t>
  </si>
  <si>
    <r>
      <rPr>
        <sz val="18"/>
        <color rgb="FF000000"/>
        <rFont val="Calibri"/>
        <scheme val="minor"/>
      </rPr>
      <t xml:space="preserve">Por favor solo las personas que se sientan bien capacitadas en Excel tomen el rol de "editores" de las hojas. Las demás solo contribuyan revisando, pero no editando. </t>
    </r>
    <r>
      <rPr>
        <b/>
        <sz val="18"/>
        <color rgb="FF000000"/>
        <rFont val="Calibri"/>
        <scheme val="minor"/>
      </rPr>
      <t>En conjunto haremos que esto funcione.</t>
    </r>
  </si>
  <si>
    <t>Se deben llenar los dividendos "año calendario" y los dividendos "año utilidad" según se indica  en hoja "Como llenar dividendos". Esto es LA PARTE PRINCIPAL Y MÁS DIFÍCIL.</t>
  </si>
  <si>
    <t>En toda empresa se debe agregar el concepto "PRECIO" en alguna fila de la columna B asociada al año 2017 (y no en otro año). Este precio debe apuntar al precio al cual cotiza la empresa. CLAVE QUE FUNCIONE</t>
  </si>
  <si>
    <t>No cambiar el nombre de las hojas a las empresas que ya están listas en Power BI. Si la hoja se llama Andina A, dejar tal como está.</t>
  </si>
  <si>
    <t>La columna A de todas las empresas debe estar vacía (debe existir, pero en blanco sin datos)</t>
  </si>
  <si>
    <t>Cuando agregues datos de una nueva empresa que no esté en Power BI, debes ir a hoja "Empresas Power BI" y llenar sus datos (usa el mismo nombre de hoja de empresa). LUEGO AVÍSAME PARA INCLUIRLA</t>
  </si>
  <si>
    <t>La columna B (únicamente)  debe tener los conceptos a usar (activos corrientes, Cuentas por cobrar, etc). Deben tener exactamente los mismos nombres en todas las empresas.</t>
  </si>
  <si>
    <t>Tomar ANDINA-A como referencia de los conceptos. Es decir, estos son los nombres que se usarán en Power BI y que deben ser iguales en todas las empresas donde aplique.</t>
  </si>
  <si>
    <t>No importa si un mismo concepto en una empresa se encuentra fila 5 y en otra se encuentra en fila 20 (solo importa que estén en columna B y que tengan EXACTAMENTE el mismo nombre)</t>
  </si>
  <si>
    <t>Power BI solo está usando los conceptos que ven en ese reporte. Más adelante podremos incluir más cosas que crean relevantes.</t>
  </si>
  <si>
    <t>Power BI distingue entre mayúsculas, minúsculas, espacios, saltos de líneas, etc. Los nombres a usar en todas las empresas deben ser EXACTAMENTE iguales y UBICADOS EN LA MISMA COLUMNA B.</t>
  </si>
  <si>
    <t>Todas las empresas deben partir en 2017, aun cuando no haya datos de esos años o no quieras llenarlos (dejar en blanco en estos casos)</t>
  </si>
  <si>
    <t>Los colores de las celdas no influyen. Tampoco influye que haya filas vacías.</t>
  </si>
  <si>
    <t>Dado que son datos anuales, en las columnas solo deben ir años en formato numérico y no trimestres, ni meses, ni ningún otro período</t>
  </si>
  <si>
    <t>Durante el año es ideal seguir agregando la información acumulada mientras salga, pero siempre dejando en el encabezado de columna el año (en comentarios pág. 1 poner ej: "datos acum a Q3 2025 por ej.)</t>
  </si>
  <si>
    <t>Al agregar números, estos deben ser formato número. Dicho de otra forma, nunca agregar texto en partes donde se espera número.</t>
  </si>
  <si>
    <t>Cualquier duda la pueden escribir aquí mismo.</t>
  </si>
  <si>
    <t>Actualización Power BI</t>
  </si>
  <si>
    <t>Enlace a reporte (público):</t>
  </si>
  <si>
    <t>https://app.powerbi.com/view?r=eyJrIjoiZDNmYTQ1YjYtZGJmOS00MWUwLTg1Y2QtNGMyNTZkMjEyNTkxIiwidCI6IjYxZWJjMzI1LWFlNTAtNDhmZC1iOTdmLTk5ZDI3N2RmMjg3NCIsImMiOjR9</t>
  </si>
  <si>
    <t>Frecuencia de actualización (AM):</t>
  </si>
  <si>
    <t>8:30, 9, 9:30, 10, 10:30, 11, 11:30 y 12 hrs todos los días (consideren un delay de 30 minutos, aunque en general es menos)</t>
  </si>
  <si>
    <t>El reporte se actualizará solo en estos horarios y tomará lo que vea en este Excel en ese momento.</t>
  </si>
  <si>
    <t>Abrir Excel 1 vez por día al menos para reflejar cambio de precios (solo basta 1 vez, ejecutado por cualquier persona).</t>
  </si>
  <si>
    <t>Dado que los precios de las acciones solo cambian cuando se abre el Excel, es necesario por ahora que cualquier persona abra el Excel en la mañana.</t>
  </si>
  <si>
    <t xml:space="preserve">Cuando tenga tiempo pienso mejorar esto, de forma que el archivo se abra y se cierre solo. </t>
  </si>
  <si>
    <t>Debe haber algo mejor, así que por favor cualquier idea de mejora vamos compartiendo!</t>
  </si>
  <si>
    <r>
      <rPr>
        <b/>
        <sz val="16"/>
        <color rgb="FF000000"/>
        <rFont val="Calibri"/>
      </rPr>
      <t xml:space="preserve">En todas las hojas debemos llenar 2 tipos de dividendos, </t>
    </r>
    <r>
      <rPr>
        <b/>
        <sz val="16"/>
        <color rgb="FFFFC000"/>
        <rFont val="Calibri"/>
      </rPr>
      <t>GRUPO 1</t>
    </r>
    <r>
      <rPr>
        <b/>
        <sz val="16"/>
        <color rgb="FF000000"/>
        <rFont val="Calibri"/>
      </rPr>
      <t xml:space="preserve"> y </t>
    </r>
    <r>
      <rPr>
        <b/>
        <sz val="16"/>
        <color rgb="FF70AD47"/>
        <rFont val="Calibri"/>
      </rPr>
      <t xml:space="preserve">GRUPO 2 </t>
    </r>
    <r>
      <rPr>
        <b/>
        <sz val="16"/>
        <color rgb="FF000000"/>
        <rFont val="Calibri"/>
      </rPr>
      <t>(ver ANDINA-A como referencia)</t>
    </r>
  </si>
  <si>
    <t>EJEMPLO ANDINA-A CON DATOS EN FOTO (MISMOS DIVIDENDOS, PERO ASOCIADOS A AÑOS DISTINTOS). SE LLENAN AMBOS TIPOS.</t>
  </si>
  <si>
    <t>GRUPO 1: Los dividendos se deben dejar en  la columna del año en el cual se reparten (año calendario). Es el más simple de llenar.</t>
  </si>
  <si>
    <t>GRUPO 2:  Los dividendos se deben dejar en  la columna del año al cual corresponde realmente la utilidad (año fiscal). Es el más difícil de llenar.</t>
  </si>
  <si>
    <t>Año 2025</t>
  </si>
  <si>
    <t>LOS NOMBRES QUE SE DEBEN USAR EN CADA HOJA DE EMPRESA SON:</t>
  </si>
  <si>
    <t>Utilidad 2024</t>
  </si>
  <si>
    <t>Año 2024</t>
  </si>
  <si>
    <t>Dividendos calendario</t>
  </si>
  <si>
    <t>Dividendos sin eventual Calendario</t>
  </si>
  <si>
    <t>Utilidad 2023</t>
  </si>
  <si>
    <t>Definitivo año calendario</t>
  </si>
  <si>
    <t>Provisorio calendario</t>
  </si>
  <si>
    <t>Adicional calendario</t>
  </si>
  <si>
    <t>Eventual calendario</t>
  </si>
  <si>
    <r>
      <rPr>
        <b/>
        <sz val="14"/>
        <color rgb="FF000000"/>
        <rFont val="Calibri"/>
      </rPr>
      <t xml:space="preserve">Pueden revisar los fórmulas para que vean como se van asociando los dividendos al año correcto, </t>
    </r>
    <r>
      <rPr>
        <b/>
        <sz val="14"/>
        <color rgb="FFFFC000"/>
        <rFont val="Calibri"/>
      </rPr>
      <t>según año calendario</t>
    </r>
    <r>
      <rPr>
        <b/>
        <sz val="14"/>
        <color rgb="FF000000"/>
        <rFont val="Calibri"/>
      </rPr>
      <t xml:space="preserve"> o </t>
    </r>
    <r>
      <rPr>
        <b/>
        <sz val="14"/>
        <color rgb="FF70AD47"/>
        <rFont val="Calibri"/>
      </rPr>
      <t>según año de utilidad (fiscal)</t>
    </r>
  </si>
  <si>
    <t>Dividendos</t>
  </si>
  <si>
    <t>Dividendos sin eventual</t>
  </si>
  <si>
    <t>Definitivo</t>
  </si>
  <si>
    <t>Provisorio</t>
  </si>
  <si>
    <t>Adicional</t>
  </si>
  <si>
    <t>Eventual</t>
  </si>
  <si>
    <t>SE DEBEN USAR EXACTAMENTE ESTOS NOMBRES</t>
  </si>
  <si>
    <t>SI EN ALGUNA HOJA NO VEN ESTOS NOMBRES, SE DEBEN CREAR INSERTANDO FILAS</t>
  </si>
  <si>
    <t>NO IMPORTA LA POSICIÓN DE LA FILA (PUEDEN ESTAR EN LAS ÚLTIMAS FILAS O ANTES, DA IGUAL)</t>
  </si>
  <si>
    <t>SI IMPORTA LA POSICIÓN DE LA COLUMNA (TODOS LOS CONCEPTOS VAN EN LA COLUMNA B)</t>
  </si>
  <si>
    <t>LOS COLORES NO IMPORTAN, SON SOLO PARA RESALTAR LA DIFERENCIA DE DIVIDENDO EN ESTA PÁGINA</t>
  </si>
  <si>
    <t>NO MODIFICAR NOMBRE DE TABLA NI NOMBRE DE COLUMNAS</t>
  </si>
  <si>
    <t>AGREGAR FILAS CUANDO EXISTA UNA EMPRESA NUEVA QUE NO ESTÉ EN EL POWER BI</t>
  </si>
  <si>
    <t>Empresas</t>
  </si>
  <si>
    <t>Industria</t>
  </si>
  <si>
    <t>TIPO EMPPRESA</t>
  </si>
  <si>
    <t>CHILE</t>
  </si>
  <si>
    <t>BANCOS</t>
  </si>
  <si>
    <t>DGI</t>
  </si>
  <si>
    <t>COLBÚN</t>
  </si>
  <si>
    <t>QUINENCO</t>
  </si>
  <si>
    <t>VACA LECHERA</t>
  </si>
  <si>
    <t xml:space="preserve"> No están completos estos datos TRICAHUE. Faltan dividendos "Utilidad" y no está en hoja Responsables</t>
  </si>
  <si>
    <t>¿BUENA EMPRESA?</t>
  </si>
  <si>
    <t>BALANCE</t>
  </si>
  <si>
    <t>KPI</t>
  </si>
  <si>
    <t>Criterio</t>
  </si>
  <si>
    <t>SEMAFORO</t>
  </si>
  <si>
    <t>Capital de Trabajo </t>
  </si>
  <si>
    <t>Positivo</t>
  </si>
  <si>
    <t>Razón corriente</t>
  </si>
  <si>
    <t>Bueno: 1,5-2</t>
  </si>
  <si>
    <t>Razón acida</t>
  </si>
  <si>
    <t>Bueno: 1-1,5</t>
  </si>
  <si>
    <t>Razón de endeudamiento</t>
  </si>
  <si>
    <t>Max 50%</t>
  </si>
  <si>
    <t>EERR</t>
  </si>
  <si>
    <t>EBIT</t>
  </si>
  <si>
    <t>Creciente</t>
  </si>
  <si>
    <t>%MARGEN EBITDA</t>
  </si>
  <si>
    <t>EPS</t>
  </si>
  <si>
    <t>ROE</t>
  </si>
  <si>
    <t>Constante o &gt; 15%</t>
  </si>
  <si>
    <t>FCF </t>
  </si>
  <si>
    <t>FCF Simplificado</t>
  </si>
  <si>
    <t>¿BUEN PRECIO?</t>
  </si>
  <si>
    <t>TIPO EMPRESA</t>
  </si>
  <si>
    <t>PROMEDIO</t>
  </si>
  <si>
    <t>PAY OUT</t>
  </si>
  <si>
    <t>VALORIZACION POR DIVIDENDOS</t>
  </si>
  <si>
    <t>VALORIZACION "ME SIRVE"</t>
  </si>
  <si>
    <t>Dividendos Promedio 3 Ultimado años</t>
  </si>
  <si>
    <t>PAY OUT  Promedio 3 Ultimado años</t>
  </si>
  <si>
    <t>PRECIO ACTUAL ACCION AL 22/FEB</t>
  </si>
  <si>
    <t xml:space="preserve">% RETENCION </t>
  </si>
  <si>
    <t>Rentabilidad por Dividendo</t>
  </si>
  <si>
    <t>ROE  Promedio 3 Ultimado años</t>
  </si>
  <si>
    <t>G</t>
  </si>
  <si>
    <t>TASA EXIGIDA %</t>
  </si>
  <si>
    <t>PRECIO MAXIMO</t>
  </si>
  <si>
    <t>ANDINA - A</t>
  </si>
  <si>
    <t> </t>
  </si>
  <si>
    <t>EBITDA</t>
  </si>
  <si>
    <t>? incluye eventuales??</t>
  </si>
  <si>
    <t xml:space="preserve"> </t>
  </si>
  <si>
    <t>MANUAL</t>
  </si>
  <si>
    <t>DIVIDENDOS SIN ADIC/EVENTUALES</t>
  </si>
  <si>
    <t>DIVIDENDOS TOTALES</t>
  </si>
  <si>
    <t>LISTADO EMPRESAS DIVIDENDERAS</t>
  </si>
  <si>
    <t>RENT ESPERADA</t>
  </si>
  <si>
    <t>CANTIDAD</t>
  </si>
  <si>
    <t>INDUSTRIA</t>
  </si>
  <si>
    <t>PRECIO DE CIERRE</t>
  </si>
  <si>
    <t>PAYOUT</t>
  </si>
  <si>
    <t>DY</t>
  </si>
  <si>
    <t>PRECIO MAX A CONSIDERAR</t>
  </si>
  <si>
    <t>Ret Est Precio Cierre</t>
  </si>
  <si>
    <t>ANDINA-A</t>
  </si>
  <si>
    <t>MINERA VALPARAISO</t>
  </si>
  <si>
    <t>ENTEL</t>
  </si>
  <si>
    <t>TELECOMUNICACIONES</t>
  </si>
  <si>
    <t>f</t>
  </si>
  <si>
    <t>EMBONOR-A</t>
  </si>
  <si>
    <t>OXIQUIM</t>
  </si>
  <si>
    <t>INDUSTRIAL</t>
  </si>
  <si>
    <t>VOLCAN</t>
  </si>
  <si>
    <t>SECURITY</t>
  </si>
  <si>
    <t>EMBONOR-B</t>
  </si>
  <si>
    <r>
      <rPr>
        <sz val="16"/>
        <color rgb="FF000000"/>
        <rFont val="Calibri"/>
        <scheme val="minor"/>
      </rPr>
      <t>XC,</t>
    </r>
    <r>
      <rPr>
        <u val="double"/>
        <sz val="16"/>
        <color rgb="FF000000"/>
        <rFont val="Calibri"/>
        <scheme val="minor"/>
      </rPr>
      <t>,,,,,,,,,,,</t>
    </r>
  </si>
  <si>
    <t>AGUAS-A</t>
  </si>
  <si>
    <t>AGUAS</t>
  </si>
  <si>
    <t>AGUAS-B</t>
  </si>
  <si>
    <t>MOLYMET</t>
  </si>
  <si>
    <t>BSANTANDER</t>
  </si>
  <si>
    <t>MANQUEHUE</t>
  </si>
  <si>
    <t>INMOBILIARIA</t>
  </si>
  <si>
    <t>BCI</t>
  </si>
  <si>
    <t>CONCHATORO</t>
  </si>
  <si>
    <t>FOSFOROS</t>
  </si>
  <si>
    <t>ITAUCL</t>
  </si>
  <si>
    <t>+</t>
  </si>
  <si>
    <t>ANASAC</t>
  </si>
  <si>
    <t>BOLSASTGO</t>
  </si>
  <si>
    <t>ALMENDRAL</t>
  </si>
  <si>
    <t>FORUS</t>
  </si>
  <si>
    <t>VESTUARIO</t>
  </si>
  <si>
    <t>SONDA</t>
  </si>
  <si>
    <t>ENELAM</t>
  </si>
  <si>
    <t>IAM</t>
  </si>
  <si>
    <t>ELECMETAL</t>
  </si>
  <si>
    <t>CMPC</t>
  </si>
  <si>
    <t>CELULOSA</t>
  </si>
  <si>
    <t>ENLASA</t>
  </si>
  <si>
    <t>CAP</t>
  </si>
  <si>
    <t>MINERA</t>
  </si>
  <si>
    <t>BESALCO</t>
  </si>
  <si>
    <t>CONSTRUCTORA</t>
  </si>
  <si>
    <t>SALFACORP</t>
  </si>
  <si>
    <t>EISA</t>
  </si>
  <si>
    <t>BANVIDA</t>
  </si>
  <si>
    <t>ASEGURADORA</t>
  </si>
  <si>
    <t>INGEVEC</t>
  </si>
  <si>
    <t>MOLLER</t>
  </si>
  <si>
    <t>SOCOVESA</t>
  </si>
  <si>
    <t>COPEC</t>
  </si>
  <si>
    <t>PARA CURIOSEAR</t>
  </si>
  <si>
    <t>CENCOSUD</t>
  </si>
  <si>
    <t>RETAIL</t>
  </si>
  <si>
    <t>RIPLEY</t>
  </si>
  <si>
    <t>FALABELLA</t>
  </si>
  <si>
    <t>HITES</t>
  </si>
  <si>
    <t>CAROZZI</t>
  </si>
  <si>
    <t>CONSUMO</t>
  </si>
  <si>
    <t>CIC</t>
  </si>
  <si>
    <t>MARINSA</t>
  </si>
  <si>
    <t>IANSA</t>
  </si>
  <si>
    <t>SQM</t>
  </si>
  <si>
    <t>ORO BLANCO (?)</t>
  </si>
  <si>
    <t>NORTE GRANDE (?)</t>
  </si>
  <si>
    <t>FONDO INMOBILIARIO</t>
  </si>
  <si>
    <t>CFIBTGRCA</t>
  </si>
  <si>
    <t>CFILVPARI1</t>
  </si>
  <si>
    <t>BICECORP (?)</t>
  </si>
  <si>
    <t>SER. FINANCIEROS</t>
  </si>
  <si>
    <t>INVERCAP</t>
  </si>
  <si>
    <t>.............................................................</t>
  </si>
  <si>
    <t>PROM DIVIDENDOS SIN ADIC/EVENT</t>
  </si>
  <si>
    <t>PROM DIVIDENDOS TOTALES</t>
  </si>
  <si>
    <t>Activos corrientes</t>
  </si>
  <si>
    <t>INVENTARIOS</t>
  </si>
  <si>
    <t>Acitvos fijos</t>
  </si>
  <si>
    <t>Encaje</t>
  </si>
  <si>
    <t>INTANGIBLE</t>
  </si>
  <si>
    <t>Activos totales</t>
  </si>
  <si>
    <t>Pasivos corrientes</t>
  </si>
  <si>
    <t>Pasivos no corrientes</t>
  </si>
  <si>
    <t>Total Pasivos</t>
  </si>
  <si>
    <t>Patrimonio</t>
  </si>
  <si>
    <t>Patrimonio Sin Intangible</t>
  </si>
  <si>
    <t>Cantidad de acciones</t>
  </si>
  <si>
    <t>Valor libro</t>
  </si>
  <si>
    <t>Valor Libro sin intangible</t>
  </si>
  <si>
    <t>Valor sólo con Encaje</t>
  </si>
  <si>
    <t>Precio FIN AÑO</t>
  </si>
  <si>
    <t>PER</t>
  </si>
  <si>
    <t>Bolsa/Libro</t>
  </si>
  <si>
    <t>GRAHAM</t>
  </si>
  <si>
    <t>Bolsa Libro Banda Menor</t>
  </si>
  <si>
    <t>Bolsa Libro Banda Mayor</t>
  </si>
  <si>
    <t>Precio Objetivo Menor</t>
  </si>
  <si>
    <t>Precio Obejtivo Promedio</t>
  </si>
  <si>
    <t>Precio Objetivo Mayor</t>
  </si>
  <si>
    <t>Capital de Trabajo</t>
  </si>
  <si>
    <t>Razón ácida</t>
  </si>
  <si>
    <t>Ingresos</t>
  </si>
  <si>
    <t>Margen EBITDA</t>
  </si>
  <si>
    <t>Utilidad neta</t>
  </si>
  <si>
    <t>Margen neto porcentual</t>
  </si>
  <si>
    <t>ROE AJUSTADO</t>
  </si>
  <si>
    <t>FCF</t>
  </si>
  <si>
    <t>DIV/YIELD</t>
  </si>
  <si>
    <t>PRECIO</t>
  </si>
  <si>
    <t>Bolsa Libro</t>
  </si>
  <si>
    <t>ROE PROMEDIO 3 AÑOS</t>
  </si>
  <si>
    <t>PAY OUT PROMEDIO 3 AÑOS</t>
  </si>
  <si>
    <t>DIVIDEND YIELD AÑO</t>
  </si>
  <si>
    <t>DIVIDEND YIEDL PROM 3 AÑOS</t>
  </si>
  <si>
    <t>G PROMEDIO 3 AÑOS</t>
  </si>
  <si>
    <t>ESTADO DE SITUACIÓN (BALANCE)</t>
  </si>
  <si>
    <t>AÑOS</t>
  </si>
  <si>
    <t>ACTIVOS</t>
  </si>
  <si>
    <t>CORRIENTES (CIRCULANTES)</t>
  </si>
  <si>
    <t>EFECTIVO Y EQUIVALENTE</t>
  </si>
  <si>
    <t>ACTIVOS FINANCIEROS A VALOR RAZONABLE CON CAMBIOS EN RESULTADOS</t>
  </si>
  <si>
    <t>CUENTAS POR COBRAR CORRIENTES</t>
  </si>
  <si>
    <t>CUENTAS POR COBRAR ENTIDADES RELACIONADAS</t>
  </si>
  <si>
    <t>PAGOS ANTICIPADOS</t>
  </si>
  <si>
    <t>CUENTAS POR COBRAR POR IMPUESTOS CORRIENTES</t>
  </si>
  <si>
    <t>OTROS ACTIVOS CORRIENTES</t>
  </si>
  <si>
    <t>OTROS CORRIENTES</t>
  </si>
  <si>
    <t>NO CORRIENTES (NO CIRCULANTES)</t>
  </si>
  <si>
    <t>ENCAJE</t>
  </si>
  <si>
    <t>Otros activos financieros</t>
  </si>
  <si>
    <t>Inversiones en coligadas contabilizadas por el método de la participación</t>
  </si>
  <si>
    <t>Activos intangibles, Neto</t>
  </si>
  <si>
    <t>PROPIEDADES, PLANTAS Y EQUIPOS</t>
  </si>
  <si>
    <t>Activos por impuestos diferidos</t>
  </si>
  <si>
    <t>Pagos anticipados</t>
  </si>
  <si>
    <t>Efectivo de utilización restringida o afectados en garantía</t>
  </si>
  <si>
    <t>OTROS NO CORRIENTES</t>
  </si>
  <si>
    <t>TOTAL ACTIVOS</t>
  </si>
  <si>
    <t>PASIVOS</t>
  </si>
  <si>
    <t>Préstamos que devengan intereses</t>
  </si>
  <si>
    <t>Acreedores comerciales y otras cuentas por pagar</t>
  </si>
  <si>
    <t>cuentas por pagar a entidades relacionadas</t>
  </si>
  <si>
    <t>Provisiones</t>
  </si>
  <si>
    <t>Cuentas por pagar por impuestos corrientes</t>
  </si>
  <si>
    <t>Otros pasivos corrientes</t>
  </si>
  <si>
    <t>Pasivos acumulados (o devengados)</t>
  </si>
  <si>
    <t>Otros</t>
  </si>
  <si>
    <t>Pasivos por impuestos diferidos</t>
  </si>
  <si>
    <t>Otros pasivos no corrientes</t>
  </si>
  <si>
    <t>OTROS PASIVOS NO CORRIENTES</t>
  </si>
  <si>
    <t>TOTAL PASIVOS</t>
  </si>
  <si>
    <t>PATRIMONIO</t>
  </si>
  <si>
    <t>Capital</t>
  </si>
  <si>
    <t>Otras Reservas</t>
  </si>
  <si>
    <t>Resultados Retenidos (Ganancias y pérdidas acumuladas)</t>
  </si>
  <si>
    <t>TOTAL PATRIMONIO</t>
  </si>
  <si>
    <t>ESTADO DE RESULTADOS</t>
  </si>
  <si>
    <t>INGRESOS POR VENTAS (Ingresos Ordinarios)</t>
  </si>
  <si>
    <t>RENTABILIDAD DEL ENCAJE</t>
  </si>
  <si>
    <t>GASTOS DE PERSONAL</t>
  </si>
  <si>
    <t>RESULTADO BRUTO (EBITDA)</t>
  </si>
  <si>
    <t>DEPRECIACIÓN Y AMORTIZACIÓN</t>
  </si>
  <si>
    <t>OTROS GASTOS</t>
  </si>
  <si>
    <t>RESULTADO OPERACIONAL</t>
  </si>
  <si>
    <t>Costos FINANCIEROS (intereses por préstamos)</t>
  </si>
  <si>
    <t>Otras ganancias (pérdidas)</t>
  </si>
  <si>
    <t>Participación en ganancia (pérdida) de coligadas contabilizadas por método  de participación</t>
  </si>
  <si>
    <t>Tipos de cambio y reajustes</t>
  </si>
  <si>
    <t>Otros ingresos distintos de los de operación</t>
  </si>
  <si>
    <t>Otros gastos distintos de los de operación (menos)</t>
  </si>
  <si>
    <t>GANANCIAS ANTES DE IMPUESTOS</t>
  </si>
  <si>
    <t>IMPUESTOS</t>
  </si>
  <si>
    <t>Ganancia (pérdida) de actividades descontinuadas, neta de impuesto</t>
  </si>
  <si>
    <t>GANANCIA (PÉRDIDA)</t>
  </si>
  <si>
    <t>GANANCIA (PÉRDIDA) por acción</t>
  </si>
  <si>
    <t>ESTADO DE FLUJO DE EFECTIVO</t>
  </si>
  <si>
    <t>ACTIVIDADES DE OPERACIÓN (FLUJO OPERACIONAL)</t>
  </si>
  <si>
    <t>ACTIVIDADES DE INVERSIÓN (FLUJO DE INVERSIÓN)</t>
  </si>
  <si>
    <t>COMPRAS DE PP&amp;E (CAPEX)</t>
  </si>
  <si>
    <t>COMPRA DE INTANGIBLE</t>
  </si>
  <si>
    <t>ACTIVIDADES DE FINANCIAMIENTO</t>
  </si>
  <si>
    <t>Pagos por dividendos por la entidad que informa</t>
  </si>
  <si>
    <t>Intereses</t>
  </si>
  <si>
    <t>FLUJO DE EFECTIVO DEL PERIODO</t>
  </si>
  <si>
    <t>FREE CASH FLOW</t>
  </si>
  <si>
    <t>Cuentas por cobrar</t>
  </si>
  <si>
    <t>Inventario</t>
  </si>
  <si>
    <t>Acitvos no corrientes (no circulantes o fijos)</t>
  </si>
  <si>
    <t xml:space="preserve">Bolsa/Libro </t>
  </si>
  <si>
    <t>Margen EBIT</t>
  </si>
  <si>
    <t>ROE PROMEDIO</t>
  </si>
  <si>
    <t>Dividendos sin Adic/Event</t>
  </si>
  <si>
    <t>DIVIDEND YIELD PROM 3 AÑOS</t>
  </si>
  <si>
    <t xml:space="preserve">AÑOS </t>
  </si>
  <si>
    <t>Efectivo y equivalentes al efectivo</t>
  </si>
  <si>
    <t>Otros activos financieros, corrientes</t>
  </si>
  <si>
    <t>Otros activos no financieros, corrientes</t>
  </si>
  <si>
    <t>Deudores comerciales y otras cuentas por cobrar, corrientes</t>
  </si>
  <si>
    <t>Cuentas por cobrar entidades relacionadas, corriente neto</t>
  </si>
  <si>
    <t>Inventarios, neto</t>
  </si>
  <si>
    <t>Activos por impuestos corrientes</t>
  </si>
  <si>
    <t>Otros activos financieros, no corrientes</t>
  </si>
  <si>
    <t>Otros activos no financieros, no corrientes</t>
  </si>
  <si>
    <t>Inversiones en asociadas</t>
  </si>
  <si>
    <t>Plusvalía</t>
  </si>
  <si>
    <t>Activos intangibles distintos a la plusvalía</t>
  </si>
  <si>
    <t>Propiedades, plantas y equipos</t>
  </si>
  <si>
    <t>Propiedades de inversión</t>
  </si>
  <si>
    <t>Activos por derecho de uso</t>
  </si>
  <si>
    <t xml:space="preserve">Activos por impuestos diferidos </t>
  </si>
  <si>
    <t>Otros pasivos financieros, corrientes</t>
  </si>
  <si>
    <t>Pasivos por arrendamientos, corrientes</t>
  </si>
  <si>
    <t>Otros pasivos no financieros</t>
  </si>
  <si>
    <t>Cuentas por pagar comerciales y otras cuentas por pagar</t>
  </si>
  <si>
    <t>Cuentas por pagar entidades relacionadas</t>
  </si>
  <si>
    <t>Otras provisiones</t>
  </si>
  <si>
    <t>Pasivos por impuestos corrientes</t>
  </si>
  <si>
    <t xml:space="preserve">Provisiones por beneficios a los empleados, corrientes </t>
  </si>
  <si>
    <t xml:space="preserve">Otros </t>
  </si>
  <si>
    <t>Otros pasivos financieros, no corrientes</t>
  </si>
  <si>
    <t>Pasivos por arrendamientos, no corrientes</t>
  </si>
  <si>
    <t>Pasivos por impuestos diferidos, no corrientes</t>
  </si>
  <si>
    <t>Provisiones por beneficios a los empleados, no corrientes</t>
  </si>
  <si>
    <t>Capital Pagado</t>
  </si>
  <si>
    <t>Ganancias Acumuladas</t>
  </si>
  <si>
    <t>Primas de emisión</t>
  </si>
  <si>
    <t>Otras participaciones en el patrimonio</t>
  </si>
  <si>
    <t>Participación NO controladora</t>
  </si>
  <si>
    <t>TOTAL PATRIMONIO CONTROLADORA</t>
  </si>
  <si>
    <t>Materias primas y consumibles utilizados</t>
  </si>
  <si>
    <t>GANANCIA BRUTA</t>
  </si>
  <si>
    <t>Gastos por beneficios a los empleaods</t>
  </si>
  <si>
    <t>Gastos por depreciación y amortización</t>
  </si>
  <si>
    <t>Pérdidas por deterioro de valor</t>
  </si>
  <si>
    <t>Otros gastos, por naturaleza</t>
  </si>
  <si>
    <t>Otras (pérdidas)</t>
  </si>
  <si>
    <t>RESULTADO OPERACIONAL (EBIT)</t>
  </si>
  <si>
    <t>Ingresos financieros</t>
  </si>
  <si>
    <t>Costos financieros</t>
  </si>
  <si>
    <t>Participación en ganancia de asociadas contabilizadas a método de participación</t>
  </si>
  <si>
    <t>Diferencias de cambio</t>
  </si>
  <si>
    <t>Resultados por unidades de reajuste</t>
  </si>
  <si>
    <t>Ganancias (pérdidas) procedentes de operaciones discontinuadas</t>
  </si>
  <si>
    <t>Ganancia (pérdida) atribuible a participaciones no controladoras</t>
  </si>
  <si>
    <t>GANANCIA (PÉRDIDA) CONTROLADORA</t>
  </si>
  <si>
    <t>Intereses pagados</t>
  </si>
  <si>
    <t>Datos no siguen estructura solicitada</t>
  </si>
  <si>
    <t>SUBYACENTE = ENTEL</t>
  </si>
  <si>
    <t>PRECIO SUBYACENTE</t>
  </si>
  <si>
    <t>PRECIO ENTEL</t>
  </si>
  <si>
    <t>ACCIONES SUBYACENTE</t>
  </si>
  <si>
    <t>ACCIONES ENTEL</t>
  </si>
  <si>
    <t>% CONTROLADO</t>
  </si>
  <si>
    <t>ACCIONES CONTROLADAS</t>
  </si>
  <si>
    <t>ACCIONES ENTEL x % CONTROLADO</t>
  </si>
  <si>
    <t>MARKET CAP SUBYACENTE</t>
  </si>
  <si>
    <t>MC ENTEL</t>
  </si>
  <si>
    <t>MC CONTROLADO</t>
  </si>
  <si>
    <t>% MC</t>
  </si>
  <si>
    <t>CASH SUBYACENTE</t>
  </si>
  <si>
    <t>CASH ENTEL</t>
  </si>
  <si>
    <t>CASH TOTAL HOLDING</t>
  </si>
  <si>
    <t>CASH ALMENDRAL</t>
  </si>
  <si>
    <t>CASH REAL HOLDING</t>
  </si>
  <si>
    <t>HOLD - SUBYACENTE</t>
  </si>
  <si>
    <t>DEUDA SUBYACENTE</t>
  </si>
  <si>
    <t>DEUDA ENTEL</t>
  </si>
  <si>
    <t>DEUDA HOLDING</t>
  </si>
  <si>
    <t>DEUDA ALMENDRAL</t>
  </si>
  <si>
    <t>DEUDA REAL HOLDING</t>
  </si>
  <si>
    <t>DEUDA NETA HOLDING</t>
  </si>
  <si>
    <t>DEUDA REAL HOLD - CAJA HOLD</t>
  </si>
  <si>
    <t>NAV FILIAL SUBYACENTE</t>
  </si>
  <si>
    <t>MC SUB - DEUDA NETA HOLD</t>
  </si>
  <si>
    <t>ACCIONES HOLDING</t>
  </si>
  <si>
    <t>NAV FILIAL/ ACCIONES HOLDING</t>
  </si>
  <si>
    <t>PRECIO HOLDING</t>
  </si>
  <si>
    <t>Diferencia</t>
  </si>
  <si>
    <t>Descuento</t>
  </si>
  <si>
    <t>Inventarios</t>
  </si>
  <si>
    <t>OK</t>
  </si>
  <si>
    <t>Patrimonio (controladora)</t>
  </si>
  <si>
    <t>Bolsa / Libro</t>
  </si>
  <si>
    <t>EPS / BPA / UPA</t>
  </si>
  <si>
    <t>Dividendos Totales</t>
  </si>
  <si>
    <t>Adicional/Eventual</t>
  </si>
  <si>
    <t>Div/Yield</t>
  </si>
  <si>
    <t>AÑOS  (VALORES EN PESOS CHILENOS)</t>
  </si>
  <si>
    <t>Efectivo y equivalente al efectivo</t>
  </si>
  <si>
    <t>Otros activos financieros corrientes</t>
  </si>
  <si>
    <t>Otros activos no financieros corrientes</t>
  </si>
  <si>
    <t>Deudores comerciales y otras cuentas por cobrar</t>
  </si>
  <si>
    <t>Cuentas por cobrar a entidades relacionadas</t>
  </si>
  <si>
    <t>Activos no corrientes clasificados como mantenidos para la venta</t>
  </si>
  <si>
    <t>Otros activos no financieros , no corrientes</t>
  </si>
  <si>
    <t>Inversiones contabilizadas utilizando el método de la participación</t>
  </si>
  <si>
    <t>Activos Intangibles distintos de la plusvalía</t>
  </si>
  <si>
    <t>Propiedades, Plantas y Equipos</t>
  </si>
  <si>
    <t>OTROS ACTIVOS NO CORRIENTES</t>
  </si>
  <si>
    <t>Otros pasivos financieros corrientes</t>
  </si>
  <si>
    <t>Pasivos por arrendamientos corrientes</t>
  </si>
  <si>
    <t>Cuentas por pagar a entidades relacionadas, corrientes</t>
  </si>
  <si>
    <t>Otras provisiones a corto plazo</t>
  </si>
  <si>
    <t>Provisiones corrientes por beneficios a los empleados</t>
  </si>
  <si>
    <t>Otros pasivos no financieros corrientes</t>
  </si>
  <si>
    <t>Otros pasivos financieros no corrientes</t>
  </si>
  <si>
    <t>Pasivos por arrendamientos no corrientes</t>
  </si>
  <si>
    <t>Pasivo por impuestos diferidos</t>
  </si>
  <si>
    <t>Otros pasivos no financieros no corrientes</t>
  </si>
  <si>
    <t>Capital pagado</t>
  </si>
  <si>
    <t>Resultados acumulados</t>
  </si>
  <si>
    <t>Otras reservas</t>
  </si>
  <si>
    <t>TOTAL PATRIMONIO ATRIBUIBLE A LOS PROPIETARIOS DE LA CONTROLADORA</t>
  </si>
  <si>
    <t>Participaciones no controladoras</t>
  </si>
  <si>
    <t>TOTAL PATRIMONIO NETO</t>
  </si>
  <si>
    <t>GASTOS POR BENEFICIOS A LOS EMPLEADOS</t>
  </si>
  <si>
    <t>Costos de distribución</t>
  </si>
  <si>
    <t>Gastos de administración y ventas</t>
  </si>
  <si>
    <t>Otros gastos, por función</t>
  </si>
  <si>
    <t>Otras pérdidas</t>
  </si>
  <si>
    <t>Ingresos Financieros</t>
  </si>
  <si>
    <t>Costos Financieros</t>
  </si>
  <si>
    <t>Participación en ganancias asociadas y negocios conjuntos contabilizadas por el método de la participación</t>
  </si>
  <si>
    <t>Resultados por unidades de reajustes</t>
  </si>
  <si>
    <t>Ganancia (pérdida) atribuible a participaciones de la controladoras</t>
  </si>
  <si>
    <t>Dividendos pagados</t>
  </si>
  <si>
    <t>PROM DIVIDENDOS SIN EVENT</t>
  </si>
  <si>
    <t>Activos no corrientes</t>
  </si>
  <si>
    <t>Bolsa/Libro SERIE A</t>
  </si>
  <si>
    <t>GRAHAM SERIE A</t>
  </si>
  <si>
    <t>Activos Intangibles distintos de plusvalía</t>
  </si>
  <si>
    <t>Activos por impuestos diferidos, no corrientes</t>
  </si>
  <si>
    <t xml:space="preserve"> $                                  -</t>
  </si>
  <si>
    <t>Otros pasivos financieros</t>
  </si>
  <si>
    <t>Cuenetas por pagar a entidades relacionadas</t>
  </si>
  <si>
    <t>Pasivos por impuestos</t>
  </si>
  <si>
    <t>Cuentas por pagar a entidades relacionadas</t>
  </si>
  <si>
    <t>Provisiones no corrientes por beneficios a los empleados</t>
  </si>
  <si>
    <t>Otros pasivos no finacieros</t>
  </si>
  <si>
    <t>OTROS</t>
  </si>
  <si>
    <t>Capital Emitido</t>
  </si>
  <si>
    <t>Resultados retenidos</t>
  </si>
  <si>
    <t>COSTOS DE VENTAS</t>
  </si>
  <si>
    <t>Otros ingresos</t>
  </si>
  <si>
    <t>Gastos de distribución</t>
  </si>
  <si>
    <t>Gastos de administración</t>
  </si>
  <si>
    <t>GANANCIA (PÉRDIDA) por acción SERIE A</t>
  </si>
  <si>
    <t>victor</t>
  </si>
  <si>
    <t>Bolsa/Libro SERIE B</t>
  </si>
  <si>
    <t>GRAHAM SERIE B</t>
  </si>
  <si>
    <t>RESULTADO OPERACIONAL (EBITDA)</t>
  </si>
  <si>
    <t>GANANCIA (PÉRDIDA) por acción SERIE B</t>
  </si>
  <si>
    <t>PROM DIV SIN ADIC/EVENT</t>
  </si>
  <si>
    <t>PROM DIV TOTALES</t>
  </si>
  <si>
    <t>Total Activos</t>
  </si>
  <si>
    <t>Precio al FIN AÑO</t>
  </si>
  <si>
    <t>ROE PROMEDIO (últimos 3 años)</t>
  </si>
  <si>
    <t>DIVIDEND YELD PROMEDIO 3 AÑOS</t>
  </si>
  <si>
    <t>TOTAL ACTIVOS CORRIENTES</t>
  </si>
  <si>
    <t>Otros activos circulantes</t>
  </si>
  <si>
    <t>TOTAL ACTIVOS NO CORRIENTES</t>
  </si>
  <si>
    <t>Inversiones contabilizadas por el método de la participación</t>
  </si>
  <si>
    <t>TOTAL PASIVOS CORRIENTES</t>
  </si>
  <si>
    <t xml:space="preserve">TOTAL PASIVOS NO CORRIENTES </t>
  </si>
  <si>
    <t>Capital emitido</t>
  </si>
  <si>
    <t>Patrimonio atribuible a los propietarios de la controladora</t>
  </si>
  <si>
    <t>Ingresos por ventas (Ingresos de actividades ordinarias)</t>
  </si>
  <si>
    <t>Costo de ventas</t>
  </si>
  <si>
    <t>Participación en ganancia (pérdida) de asociadas y negocios conjuntos contabilizadas por método  de participación</t>
  </si>
  <si>
    <t>GANANCIA ANTES DE IMPUESTOS</t>
  </si>
  <si>
    <t>Impuestos</t>
  </si>
  <si>
    <t>Compras de PP&amp;E (CAPEX)</t>
  </si>
  <si>
    <t>Incremento (disminución) neto de efectivo y equivalentes al efectivo</t>
  </si>
  <si>
    <t>Efectivo y equivalentes al efectivo al inicio del período</t>
  </si>
  <si>
    <t>Pasivos Totales</t>
  </si>
  <si>
    <t>Número de acciones</t>
  </si>
  <si>
    <t>Precio fin de año</t>
  </si>
  <si>
    <t>Ingresos totales</t>
  </si>
  <si>
    <t>Resultado operacional</t>
  </si>
  <si>
    <t>utilidad</t>
  </si>
  <si>
    <t xml:space="preserve">utilidad por acción </t>
  </si>
  <si>
    <t>Dividendo</t>
  </si>
  <si>
    <t>Pay out</t>
  </si>
  <si>
    <t>pandemia</t>
  </si>
  <si>
    <t>margen operacional</t>
  </si>
  <si>
    <t>margen neto</t>
  </si>
  <si>
    <t>DIVIDEND YIELD</t>
  </si>
  <si>
    <t>DIV YIELD PROM 3 AÑOS</t>
  </si>
  <si>
    <t>Valor inicial</t>
  </si>
  <si>
    <t>valor actual</t>
  </si>
  <si>
    <t>diuvidendos recibidos</t>
  </si>
  <si>
    <t>valor actual + div</t>
  </si>
  <si>
    <t>MULTIPLICADOR EEFF</t>
  </si>
  <si>
    <t>PAY OUT PROMEDIO 7 AÑOS</t>
  </si>
  <si>
    <t>DIVIDEND YIELD PROM 7 AÑOS</t>
  </si>
  <si>
    <t>G PROMEDIO 7 AÑOS</t>
  </si>
  <si>
    <t>CUENTAS POR COBRAR</t>
  </si>
  <si>
    <t>OTROS POR COBRAR</t>
  </si>
  <si>
    <t>Inversiones relacionadas utilizando el método de la participación</t>
  </si>
  <si>
    <t>Prima de emisión</t>
  </si>
  <si>
    <t>Otros ingresos por función</t>
  </si>
  <si>
    <t>Otras Ganancias (pérdidas)</t>
  </si>
  <si>
    <t>BENEFICIO OPERATIVO</t>
  </si>
  <si>
    <t>FREE CASH FLOW CALCULADO</t>
  </si>
  <si>
    <t>FREE CASH FLOW DESDE TIKR</t>
  </si>
  <si>
    <t>Valor libro (USD)</t>
  </si>
  <si>
    <t>Valor Libro PESOS</t>
  </si>
  <si>
    <t>EPS DÓLARES</t>
  </si>
  <si>
    <t>DÓLAR</t>
  </si>
  <si>
    <t>Miles de dólares</t>
  </si>
  <si>
    <t>AÑOS  MUS$</t>
  </si>
  <si>
    <t>OTROS ACTIVOS FINANCIEROS CORRIENTES</t>
  </si>
  <si>
    <t>OTROS ACTIVOS NO FINANCIEROS CORRIENTES</t>
  </si>
  <si>
    <t>CUENTAS COMERCIALES POR COBRAR Y OTRAS CUENTAS POR COBRAR CORRIENTES</t>
  </si>
  <si>
    <t>CUENTAS POR COMBRAR A ENTIDADES RELACIONADAS, CORRIENTES</t>
  </si>
  <si>
    <t>INVENTARIOS CORRIENTES</t>
  </si>
  <si>
    <t>ACTIVOS POR IMPUESTOS CORRIENTE</t>
  </si>
  <si>
    <t xml:space="preserve"> $                                                                 -</t>
  </si>
  <si>
    <t>cuentas comerciales por cobrar y otras cuentas por cobrar no corrientes</t>
  </si>
  <si>
    <t>Activos intangibles distintos de plusvalía</t>
  </si>
  <si>
    <t>Otras provisiones corrientes</t>
  </si>
  <si>
    <t>Previsiones corrientes por beneficios a los empleados</t>
  </si>
  <si>
    <t>Otros pasivos , corrientes</t>
  </si>
  <si>
    <t>Cuentas comerciales por pagar y otras cuentas por pagar no corrientes</t>
  </si>
  <si>
    <t>Otras provisiones no corrientes</t>
  </si>
  <si>
    <t>Otros pasivos no  financieros no corrientes</t>
  </si>
  <si>
    <t>Ganancias (pérdidas) acumuladas</t>
  </si>
  <si>
    <t>Prima de Emisión</t>
  </si>
  <si>
    <t>PATRIMONIO NO CONTROLADORA</t>
  </si>
  <si>
    <t>Materias Primas y consumibles utilizados</t>
  </si>
  <si>
    <t xml:space="preserve">RESULTADO BRUTO </t>
  </si>
  <si>
    <t>Gastos por beneficios a los empleados</t>
  </si>
  <si>
    <t>Participación en las ganancias (Pérdidas) de asociadoas y negocios conjuntos que se contabilicen utilizando el método de la participación</t>
  </si>
  <si>
    <t>Ganancias (pérdidas) de cambio en moneda extranjera</t>
  </si>
  <si>
    <t>GANANCIA (PÉRDIDA) por acción US$/acción</t>
  </si>
  <si>
    <t>Intereses Pagados</t>
  </si>
  <si>
    <t>Patrimonio CONTROLADORA</t>
  </si>
  <si>
    <t>DEUDORES COMERCIALES Y OTRAS CUENTAS POR COBRAR</t>
  </si>
  <si>
    <t>CUENTAS POR COBRAR A ENTIDADES RELACIONADAS CTES</t>
  </si>
  <si>
    <t>ACTIVOS POR IMPUESTOS CORRIENTES</t>
  </si>
  <si>
    <t>INVERSIONES CONTABILIZADAS METODO PARTICIPACIÓN</t>
  </si>
  <si>
    <t>ACTIVOS INTANGIBLES DISTINTOS DE LA PLUSVALIA</t>
  </si>
  <si>
    <t>ACTIVOS POR DERECHO DE USO</t>
  </si>
  <si>
    <t>ACTIVOS POR IMPUESTOS DIFERIDOS</t>
  </si>
  <si>
    <t>PASIVOS POR ARRENDAMIENTOS CORRIENTES</t>
  </si>
  <si>
    <t>CUENTAS POR PAGAR COMERCIALES Y OTRAS CUENTAS POR PAGAR</t>
  </si>
  <si>
    <t>PASIVOS POR IMPUESTOS CORRIENTES</t>
  </si>
  <si>
    <t>PROVISIONES CORRIENTES POR BENEFICIOS A LOS EMPLEADOS</t>
  </si>
  <si>
    <t>OTROS PASIVOS FINANCIERS NO CORRIENTES</t>
  </si>
  <si>
    <t>PASIVOS POR ARRENDAMIENTOS NO CORRIENTES</t>
  </si>
  <si>
    <t>PASIVOS NO CORRIENTES</t>
  </si>
  <si>
    <t>PASIVOS POR IMPUESTOS DIFERIDOS</t>
  </si>
  <si>
    <t>PROVISIONES NO CORRIENTES POR BENEFICIOS A EMPLEADOS</t>
  </si>
  <si>
    <t>CAPITAL EMITIDO</t>
  </si>
  <si>
    <t>GANANCIAS (PERDIDAS) ACUMULADAS</t>
  </si>
  <si>
    <t>OTROS RESULTADOS INTEGRALES</t>
  </si>
  <si>
    <t>OTRAS RESERVAS</t>
  </si>
  <si>
    <t>OTROS GASTOS POR NATURALEZA</t>
  </si>
  <si>
    <t>OTRAS GANANCIAS (PERDIDAS)</t>
  </si>
  <si>
    <t>INGRESOS FINANCIEROS</t>
  </si>
  <si>
    <t>GASTOS POR DEPRECIACIÓN Y AMORTIZACIÓN</t>
  </si>
  <si>
    <t>PARTICIPACIÓN DE LA GANANCIA(PERDIDA) METODO PARTICIPACIÓN</t>
  </si>
  <si>
    <t>DIFERENCIA DE CAMBIO</t>
  </si>
  <si>
    <t>RESULTADO POR UNIDADES DE REAJUSTE</t>
  </si>
  <si>
    <t>Valor libro CLP</t>
  </si>
  <si>
    <t>Precio FIN AÑO (CLP)</t>
  </si>
  <si>
    <t>EPS DÓLAR</t>
  </si>
  <si>
    <t>EPS PESOS</t>
  </si>
  <si>
    <t>EBIT (resultado operativo)</t>
  </si>
  <si>
    <t>Activos Biológicos corrientes</t>
  </si>
  <si>
    <t>Activos no corrientes mantenidos para la venta</t>
  </si>
  <si>
    <t>Cuentas por cobrar no corrientes</t>
  </si>
  <si>
    <t>Activos intangibles distintos de la plusvalía</t>
  </si>
  <si>
    <t>Propiedades, plantas y equipos (neto)</t>
  </si>
  <si>
    <t>Activos por impuestos Diferidos</t>
  </si>
  <si>
    <t>Activos por impuestos corrientes, no corrientes</t>
  </si>
  <si>
    <t>Cuentas por pagar comerciales y otras cuenta por pagar</t>
  </si>
  <si>
    <t>Provisiones corrientes por beneficios a empleados</t>
  </si>
  <si>
    <t>Otrs pasivos no financieros</t>
  </si>
  <si>
    <t>Otras cuentas por pagar</t>
  </si>
  <si>
    <t>Otras provisiones a largo plazo</t>
  </si>
  <si>
    <t>PATRIMONIO CONTROLADORA</t>
  </si>
  <si>
    <t>ACTUALIZADO 2024</t>
  </si>
  <si>
    <t>otras Provisiones corrientes</t>
  </si>
  <si>
    <t>otros pasivos no financieros corrientes</t>
  </si>
  <si>
    <t>Primas de emision</t>
  </si>
  <si>
    <t>Cuentas por pagar</t>
  </si>
  <si>
    <t>Pasivos por arrendamientos</t>
  </si>
  <si>
    <t>Acciones propias en cartera</t>
  </si>
  <si>
    <t>Ganancia (pérdida) procedente de operaciones discontinuadas</t>
  </si>
  <si>
    <t>Patrimonio Controladora</t>
  </si>
  <si>
    <t>Gastos de Distribución</t>
  </si>
  <si>
    <t>DÓLARES ESTADOUNIDENSES</t>
  </si>
  <si>
    <t>Valor Libro (USD)</t>
  </si>
  <si>
    <t>Precio FIN AÑO CLP</t>
  </si>
  <si>
    <t>OTROS PASIVOS CORRIENTES</t>
  </si>
  <si>
    <t>CUENTAS POR PAGAR CORRIENTES</t>
  </si>
  <si>
    <t>CUENTAS POR PAGAR ENTIDADES RELACIONADAS</t>
  </si>
  <si>
    <t>CUENTAS POR PAGAR</t>
  </si>
  <si>
    <t>Obligación por beneficios post-empleo</t>
  </si>
  <si>
    <t>COSTOS Y GASTOS DE OPERACIÓN</t>
  </si>
  <si>
    <t>RESULTADO BRUTO</t>
  </si>
  <si>
    <t>ADQUISICIÓN DE INTANGIBLES</t>
  </si>
  <si>
    <t>Acitvos no corrientes</t>
  </si>
  <si>
    <t xml:space="preserve">AÑOS  </t>
  </si>
  <si>
    <t>CUENTAS POR COBRAR A ENTIDADES RELACIONADAS CORRIENTES</t>
  </si>
  <si>
    <t>INVENTARIO CORRIENTE</t>
  </si>
  <si>
    <t>Activos por derecho de uso.</t>
  </si>
  <si>
    <t>Cuentas por pagar comerciales y otras cuentas por pagar, corrientes</t>
  </si>
  <si>
    <t>Cuentas por pagar a entidades relacionadas corrientes</t>
  </si>
  <si>
    <t>Otros pasicos no financieros</t>
  </si>
  <si>
    <t>Otros pasivos no financieros, corrientes</t>
  </si>
  <si>
    <t>Otras pasivos financieros</t>
  </si>
  <si>
    <t xml:space="preserve">Otros ingresos por funsion </t>
  </si>
  <si>
    <t>Gastos de Adminitración</t>
  </si>
  <si>
    <t>ok</t>
  </si>
  <si>
    <t>Pérdidas por deterioro de valor sobre activos no financieros</t>
  </si>
  <si>
    <t>Ganancias (Pérdidas) de cambio en moneda extranjera</t>
  </si>
  <si>
    <t>Resultado por unidades de reajuste</t>
  </si>
  <si>
    <t>Gastos de istribución</t>
  </si>
  <si>
    <t>Autocartera</t>
  </si>
  <si>
    <t>MILES DE DÓLARES</t>
  </si>
  <si>
    <t>Valor libro DÓLAR</t>
  </si>
  <si>
    <t>Valor libro ajustado PESOS</t>
  </si>
  <si>
    <t>Otros ingresos, por naturaleza</t>
  </si>
  <si>
    <t>Ganancias (pérdidas) procedente de operaciones discontinuadas</t>
  </si>
  <si>
    <t>INVENTARIO</t>
  </si>
  <si>
    <t>Activos fijos</t>
  </si>
  <si>
    <t xml:space="preserve">Activos no corrientes o grupos de activos para su disposición clasificados como mantenidos para la venta </t>
  </si>
  <si>
    <t>Otros activos no financieros no corrientes</t>
  </si>
  <si>
    <t>Cuentas comerciales por borar y otras cuentas por cobrar no corrientes</t>
  </si>
  <si>
    <t>Cuentas por cobrar a entidades relacionadas no corrientes</t>
  </si>
  <si>
    <t>Cuentas comerciales y otras cuentas por pagar, no corrientes</t>
  </si>
  <si>
    <t>Cuentas por pagar a entidades relacionadas no corrientes</t>
  </si>
  <si>
    <t>Provisiones por beneficios a los empleados no corrientes</t>
  </si>
  <si>
    <t>Ganancias acumuladas</t>
  </si>
  <si>
    <t>TOTAL PATRIMONIO DE LA CONTROLADORA</t>
  </si>
  <si>
    <t>INGRESOS DE ACTIVIDADES ORDINARIAS</t>
  </si>
  <si>
    <t>OTROS INGRESOS, POR NATURALEZA</t>
  </si>
  <si>
    <t>Otros trabajos realizados por la entidad y capitalizados</t>
  </si>
  <si>
    <t>Reversión de pérdidas por deterioro de valor (pérdidas por deterioro de valor) reconocidas sobre activos no financieros</t>
  </si>
  <si>
    <t>Ganancias por deterioro y reversos de pérdidas por deterioro (Pérdidas por deterioro) determinado de acuerdo con NIIF 9 sobre activos financieros</t>
  </si>
  <si>
    <t>Otros gastos por naturaleza</t>
  </si>
  <si>
    <t>Otras ganancias</t>
  </si>
  <si>
    <t>Participación en las ganancias (pérdidas) de asociadas y negocios conjuntos que se contabilicen utilizando el método de la participación</t>
  </si>
  <si>
    <t>INTERESES PAGADOS</t>
  </si>
  <si>
    <t>INTERESES POR ARRENDAMIENTO</t>
  </si>
  <si>
    <t>Otros ingesos, por naturaleza</t>
  </si>
  <si>
    <t xml:space="preserve">Gastos por beneficios a los empleados </t>
  </si>
  <si>
    <t>Gasto por depreciación y amortización</t>
  </si>
  <si>
    <t>Reversión de pérdidas por deterioro de valor (pérdidas por deterioro de valor) reconocidas sobre activos 
no financieros</t>
  </si>
  <si>
    <t xml:space="preserve">Ganancias por deterioro y reversos de pérdidas por deterioro (Pérdidas por deterioro) determinado de 
acuerdo con NIIF 9 sobre activos financieros </t>
  </si>
  <si>
    <t xml:space="preserve">Margen EBIT </t>
  </si>
  <si>
    <t>Activos Intangibles</t>
  </si>
  <si>
    <t>Activos por impuestos no corrientes</t>
  </si>
  <si>
    <t>Obligaciones por arrendamientos corrientes</t>
  </si>
  <si>
    <t>Obligaciones por arrendamientos no corrientes</t>
  </si>
  <si>
    <t>Gastos por Depreciación y amortización</t>
  </si>
  <si>
    <t>Pérdidas por deterioros (reversiones), neto</t>
  </si>
  <si>
    <t>Otros Gastos</t>
  </si>
  <si>
    <t>Derechos por cobrar no corrientes</t>
  </si>
  <si>
    <t>Primas de Emisión</t>
  </si>
  <si>
    <t>Ganancias procedentes de operaciones discontinuadas</t>
  </si>
  <si>
    <t>PROVISIONES</t>
  </si>
  <si>
    <t>CUENTAS POR PAGAR POR IMPUESTOS CORRIENTES</t>
  </si>
  <si>
    <t>Otras ganancias (Pérdidas)</t>
  </si>
  <si>
    <t>Ganancias (perdidas) procedentes de operaciones discontinuadas</t>
  </si>
  <si>
    <t>Activos aseguradora</t>
  </si>
  <si>
    <t>Activos bancarios</t>
  </si>
  <si>
    <t>Pasivos Aseguradora</t>
  </si>
  <si>
    <t>Pasivos Bancarios</t>
  </si>
  <si>
    <t>ACTIVOS ASEGURADORAS</t>
  </si>
  <si>
    <t>ACTIVOS BANCOS</t>
  </si>
  <si>
    <t>PASIVOS ASEGURADORAS</t>
  </si>
  <si>
    <t>PASIVOS BANCOS</t>
  </si>
  <si>
    <t>Otros gastos por función</t>
  </si>
  <si>
    <t>ASEGURADORAS</t>
  </si>
  <si>
    <t>Deudores comerciales y otras cuentas por cobrar, no corrientes</t>
  </si>
  <si>
    <t>Otras provisiones, corrientes</t>
  </si>
  <si>
    <t>Pasivos por impuestos, corrientes</t>
  </si>
  <si>
    <t>Provisiones por benenficios a los empleados, corrientes</t>
  </si>
  <si>
    <t>Otros ingresos, por función</t>
  </si>
  <si>
    <t>Sobreprecio en colocación de acciones</t>
  </si>
  <si>
    <t>Patrimonio controladora</t>
  </si>
  <si>
    <t>Utilidad controladora</t>
  </si>
  <si>
    <t>EFECTIVO Y EQUIVALENTE AL EFECTIVO</t>
  </si>
  <si>
    <t>OTROS ACTIVOS FINANCIEROS</t>
  </si>
  <si>
    <t>OTROS ACTIVOS NO FINANCIEROS</t>
  </si>
  <si>
    <t>CUENTAS POR COBRAR A ENTIDADES RELACIONADAS</t>
  </si>
  <si>
    <t>ACTIVOS POR IMPUESTOS</t>
  </si>
  <si>
    <t>INVERSIONES CONTABILIZADS UTILIZANDO EL MÉTODO DE LA PARTICIPACIÓN</t>
  </si>
  <si>
    <t>ACTIVOS INTANGINBLES DISTINTOS DE LA PLUSVALÍA</t>
  </si>
  <si>
    <t>PLUSVALÍA</t>
  </si>
  <si>
    <t>PASIVOS CORRIENTES</t>
  </si>
  <si>
    <t>OTROS PASIVOS FINANCIEROS</t>
  </si>
  <si>
    <t>CUENTAS POR PAGAR COMERICALES Y OTRAS CUENTAS POR PAGAR</t>
  </si>
  <si>
    <t>CUENTAS POR PAGAR A ENTIEDADES RELACIONADAS</t>
  </si>
  <si>
    <t>OTRAS PROVISIONES</t>
  </si>
  <si>
    <t>PASIVOS POR IMPUESTOS</t>
  </si>
  <si>
    <t>PROVISIONES POR BENEFICIOS A LOS EMPLEADOS</t>
  </si>
  <si>
    <t>OTROS PASIVOS NO FINANCIEROS</t>
  </si>
  <si>
    <t>PASIVOS POR ARRENDAMIENTO</t>
  </si>
  <si>
    <t>GANANCIAS (PÉRDIDAS) ACUMULADAS</t>
  </si>
  <si>
    <t>PARTICIPACIONES NO CONTROLADORAS</t>
  </si>
  <si>
    <t>Pérdidas por deterioro de valor (ganancias)</t>
  </si>
  <si>
    <t>INTERESES</t>
  </si>
  <si>
    <t>Inventarios/AC</t>
  </si>
  <si>
    <t>Adicional/Provisorio</t>
  </si>
  <si>
    <t>AÑOS  (VALORES EN DÓLARES)</t>
  </si>
  <si>
    <t>Otros activos financieros no corrientes</t>
  </si>
  <si>
    <t>Activos por derechos de uso</t>
  </si>
  <si>
    <t xml:space="preserve"> $- </t>
  </si>
  <si>
    <t>Precio de compra máximo</t>
  </si>
  <si>
    <t>Revisión por deterioro de valor sobre activos no financieros</t>
  </si>
  <si>
    <t>Prima de seguro de invalidez y sobrevivencia</t>
  </si>
  <si>
    <t>Otros gastos varios de operación</t>
  </si>
  <si>
    <t>Gancias (pérdidas) procedentes de inversiones</t>
  </si>
  <si>
    <t>ACTIVOS FINANCIEROS A VALOR RAZONABLE CON CAMBIOS DE RESULTADOS</t>
  </si>
  <si>
    <t>Pagos Anticipados</t>
  </si>
  <si>
    <t>Otros Pasivos Financieros</t>
  </si>
  <si>
    <t>CRECIMIENTO</t>
  </si>
  <si>
    <t>NAV</t>
  </si>
  <si>
    <t>VALORIZACION POR CAPITALIZACION DE MERCADO</t>
  </si>
  <si>
    <t>DESCUENTO HOLDING</t>
  </si>
  <si>
    <t>ACCIONES QUIÑENCO</t>
  </si>
  <si>
    <t>ACCIONES</t>
  </si>
  <si>
    <t>MARKET CAP</t>
  </si>
  <si>
    <t xml:space="preserve"> PRECIO </t>
  </si>
  <si>
    <t>MRK.CAP</t>
  </si>
  <si>
    <t>PARTICIPACION</t>
  </si>
  <si>
    <t>VALOR</t>
  </si>
  <si>
    <t>MRK.CAP. AJUSTADO</t>
  </si>
  <si>
    <t>Activos no corrientes (no circulantes o fijos)</t>
  </si>
  <si>
    <t>Activos Bancarios</t>
  </si>
  <si>
    <t>ENEX</t>
  </si>
  <si>
    <t>VALORIZACIÓN MK</t>
  </si>
  <si>
    <t>ACTIVOS BANCARIOS</t>
  </si>
  <si>
    <t>PASIVOS BANCARIOS</t>
  </si>
  <si>
    <t>Ganancia de negocios no bancarios</t>
  </si>
  <si>
    <t xml:space="preserve">Ganancia (pérdida) de servicios bancarios </t>
  </si>
  <si>
    <t>Utilidades del año de operaciones discontinuadas</t>
  </si>
  <si>
    <t>AÑO / VALORES EN DÓLARES</t>
  </si>
  <si>
    <t>Valor libro ajustado</t>
  </si>
  <si>
    <t>Precio FIN AÑO USD</t>
  </si>
  <si>
    <t>EPS EN DÓLARES</t>
  </si>
  <si>
    <t>Dividendos calendario USD</t>
  </si>
  <si>
    <t>Dividendos sin eventual Calendario USD</t>
  </si>
  <si>
    <t>Definitivo año calendario USD</t>
  </si>
  <si>
    <t>Provisorio calendario USD</t>
  </si>
  <si>
    <t>Adicional calendario USD</t>
  </si>
  <si>
    <t>Eventual calendario USD</t>
  </si>
  <si>
    <t>Dividendos USD</t>
  </si>
  <si>
    <t>Dividendos sin eventual USD</t>
  </si>
  <si>
    <t>Definitivo USD</t>
  </si>
  <si>
    <t>Provisorio USD</t>
  </si>
  <si>
    <t>Adicional USD</t>
  </si>
  <si>
    <t>Eventual USD</t>
  </si>
  <si>
    <t>DIV YIELD</t>
  </si>
  <si>
    <t xml:space="preserve">Activos intangibles distintos de la plusvalía </t>
  </si>
  <si>
    <t>Propiedades, plantas y equipos, neto</t>
  </si>
  <si>
    <t>Activos por impuestos diferidos, neto</t>
  </si>
  <si>
    <t>OTROS PASIVOS FINANCIEROS CORRIENTES</t>
  </si>
  <si>
    <t>Pasivos por impuestos corrientes neto</t>
  </si>
  <si>
    <t>Provisiones por beneficios a los empleados corrientes</t>
  </si>
  <si>
    <t>OTROS GASTOS, por función</t>
  </si>
  <si>
    <t>EBIT o EBITDA</t>
  </si>
  <si>
    <t>Margen EBIT o EBITDA</t>
  </si>
  <si>
    <t xml:space="preserve"> $                                                                    -</t>
  </si>
  <si>
    <t>Inversiones contabilizadas usando el método de la participación</t>
  </si>
  <si>
    <t>Otros ingresos (gastos) por función</t>
  </si>
  <si>
    <t>Ganancia (pérdida) por deterioro de valor</t>
  </si>
  <si>
    <t>Cuentas por pagar comerciales y otras cuentas por pagar, no corrientes</t>
  </si>
  <si>
    <t>Otros pasivos no financieros, no corrientes</t>
  </si>
  <si>
    <t>Deterioro de valor de ganancias y reversión de pérdidas por deterioro de valor</t>
  </si>
  <si>
    <t>Otros gastos</t>
  </si>
  <si>
    <t>Gastos financieros</t>
  </si>
  <si>
    <t>Diferencia de cambio</t>
  </si>
  <si>
    <t>Resultados por unidad de reajuste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</si>
</sst>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6" formatCode="&quot;$&quot;#,##0_);[Red]\(&quot;$&quot;#,##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quot;$&quot;#,##0;[Red]&quot;$&quot;\-#,##0"/>
    <numFmt numFmtId="165" formatCode="_ &quot;$&quot;* #,##0_ ;_ &quot;$&quot;* \-#,##0_ ;_ &quot;$&quot;* &quot;-&quot;_ ;_ @_ "/>
    <numFmt numFmtId="166" formatCode="_ * #,##0_ ;_ * \-#,##0_ ;_ * &quot;-&quot;_ ;_ @_ "/>
    <numFmt numFmtId="167" formatCode="_ &quot;$&quot;* #,##0.00_ ;_ &quot;$&quot;* \-#,##0.00_ ;_ &quot;$&quot;* &quot;-&quot;??_ ;_ @_ "/>
    <numFmt numFmtId="168" formatCode="_ &quot;$&quot;* #,##0.00_ ;_ &quot;$&quot;* \-#,##0.00_ ;_ &quot;$&quot;* &quot;-&quot;_ ;_ @_ "/>
    <numFmt numFmtId="169" formatCode="_ * #,##0.00_ ;_ * \-#,##0.00_ ;_ * &quot;-&quot;_ ;_ @_ "/>
    <numFmt numFmtId="170" formatCode="_ &quot;$&quot;* #,##0.0000_ ;_ &quot;$&quot;* \-#,##0.0000_ ;_ &quot;$&quot;* &quot;-&quot;_ ;_ @_ "/>
    <numFmt numFmtId="171" formatCode="0.0%"/>
    <numFmt numFmtId="172" formatCode="0.00000"/>
    <numFmt numFmtId="173" formatCode="_ &quot;$&quot;* #,##0.000_ ;_ &quot;$&quot;* \-#,##0.000_ ;_ &quot;$&quot;* &quot;-&quot;_ ;_ @_ "/>
    <numFmt numFmtId="174" formatCode="0.000%"/>
    <numFmt numFmtId="175" formatCode="_ &quot;$&quot;* #,##0.00000_ ;_ &quot;$&quot;* \-#,##0.00000_ ;_ &quot;$&quot;* &quot;-&quot;_ ;_ @_ "/>
    <numFmt numFmtId="176" formatCode="_ [$$-340A]* #,##0.00_ ;_ [$$-340A]* \-#,##0.00_ ;_ [$$-340A]* &quot;-&quot;??_ ;_ @_ "/>
    <numFmt numFmtId="177" formatCode="_ &quot;$&quot;* #,##0.0_ ;_ &quot;$&quot;* \-#,##0.0_ ;_ &quot;$&quot;* &quot;-&quot;_ ;_ @_ "/>
    <numFmt numFmtId="178" formatCode="[$$]#,##0.00"/>
    <numFmt numFmtId="179" formatCode="_-[$$-340A]* #,##0.00_-;\-[$$-340A]* #,##0.00_-;_-[$$-340A]* &quot;-&quot;??_-;_-@_-"/>
    <numFmt numFmtId="180" formatCode="&quot;$&quot;#,##0"/>
    <numFmt numFmtId="181" formatCode="0.000"/>
    <numFmt numFmtId="182" formatCode="#,##0_ ;\-#,##0\ "/>
    <numFmt numFmtId="183" formatCode="_([$$-409]* #,##0.00_);_([$$-409]* \(#,##0.00\);_([$$-409]* &quot;-&quot;??_);_(@_)"/>
    <numFmt numFmtId="184" formatCode="_([$$-409]* #,##0_);_([$$-409]* \(#,##0\);_([$$-409]* &quot;-&quot;??_);_(@_)"/>
    <numFmt numFmtId="185" formatCode="#,##0.000"/>
    <numFmt numFmtId="186" formatCode="_-[$$-47A]\ * #,##0.00_-;\-[$$-47A]\ * #,##0.00_-;_-[$$-47A]\ * &quot;-&quot;??_-;_-@_-"/>
    <numFmt numFmtId="187" formatCode="_-[$$-47A]\ * #,##0_-;\-[$$-47A]\ * #,##0_-;_-[$$-47A]\ * &quot;-&quot;??_-;_-@_-"/>
    <numFmt numFmtId="188" formatCode="_ [$$-340A]* #,##0.00000_ ;_ [$$-340A]* \-#,##0.00000_ ;_ [$$-340A]* &quot;-&quot;?????_ ;_ @_ "/>
    <numFmt numFmtId="189" formatCode="0.0"/>
    <numFmt numFmtId="190" formatCode="_ [$$-340A]* #,##0_ ;_ [$$-340A]* \-#,##0_ ;_ [$$-340A]* &quot;-&quot;_ ;_ @_ "/>
    <numFmt numFmtId="191" formatCode="#,##0.0"/>
  </numFmts>
  <fonts count="117">
    <font>
      <sz val="11"/>
      <color theme="1"/>
      <name val="Calibri"/>
      <family val="2"/>
      <scheme val="minor"/>
    </font>
    <font>
      <b/>
      <sz val="16"/>
      <color theme="1"/>
      <name val="Calibri"/>
      <family val="2"/>
      <scheme val="minor"/>
    </font>
    <font>
      <sz val="16"/>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26"/>
      <color theme="1"/>
      <name val="Calibri"/>
      <family val="2"/>
      <scheme val="minor"/>
    </font>
    <font>
      <sz val="20"/>
      <color theme="1"/>
      <name val="Calibri"/>
      <family val="2"/>
      <scheme val="minor"/>
    </font>
    <font>
      <b/>
      <sz val="20"/>
      <color theme="1"/>
      <name val="Calibri"/>
      <family val="2"/>
      <scheme val="minor"/>
    </font>
    <font>
      <b/>
      <sz val="14"/>
      <color theme="1"/>
      <name val="Calibri"/>
      <family val="2"/>
      <scheme val="minor"/>
    </font>
    <font>
      <sz val="14"/>
      <color theme="1"/>
      <name val="Calibri"/>
      <family val="2"/>
      <scheme val="minor"/>
    </font>
    <font>
      <sz val="22"/>
      <color theme="1"/>
      <name val="Calibri"/>
      <family val="2"/>
      <scheme val="minor"/>
    </font>
    <font>
      <b/>
      <sz val="18"/>
      <color theme="1"/>
      <name val="Calibri"/>
      <family val="2"/>
      <scheme val="minor"/>
    </font>
    <font>
      <sz val="11"/>
      <name val="Calibri"/>
      <family val="2"/>
      <scheme val="minor"/>
    </font>
    <font>
      <sz val="12"/>
      <color theme="1"/>
      <name val="Calibri"/>
      <family val="2"/>
      <scheme val="minor"/>
    </font>
    <font>
      <u/>
      <sz val="11"/>
      <color theme="10"/>
      <name val="Calibri"/>
      <family val="2"/>
      <scheme val="minor"/>
    </font>
    <font>
      <u/>
      <sz val="16"/>
      <color theme="10"/>
      <name val="Calibri"/>
      <family val="2"/>
      <scheme val="minor"/>
    </font>
    <font>
      <b/>
      <sz val="11"/>
      <name val="Calibri"/>
      <family val="2"/>
      <scheme val="minor"/>
    </font>
    <font>
      <b/>
      <sz val="11"/>
      <color rgb="FFFF0000"/>
      <name val="Calibri"/>
      <family val="2"/>
      <scheme val="minor"/>
    </font>
    <font>
      <sz val="18"/>
      <color theme="1"/>
      <name val="Calibri"/>
      <family val="2"/>
      <scheme val="minor"/>
    </font>
    <font>
      <sz val="20"/>
      <name val="Calibri"/>
      <family val="2"/>
      <scheme val="minor"/>
    </font>
    <font>
      <sz val="20"/>
      <color rgb="FFFF0000"/>
      <name val="Calibri"/>
      <family val="2"/>
      <scheme val="minor"/>
    </font>
    <font>
      <b/>
      <sz val="20"/>
      <color rgb="FFFF0000"/>
      <name val="Calibri"/>
      <family val="2"/>
      <scheme val="minor"/>
    </font>
    <font>
      <sz val="9"/>
      <color indexed="81"/>
      <name val="Tahoma"/>
      <family val="2"/>
    </font>
    <font>
      <b/>
      <sz val="9"/>
      <color indexed="81"/>
      <name val="Tahoma"/>
      <family val="2"/>
    </font>
    <font>
      <u/>
      <sz val="16"/>
      <color rgb="FFFF0000"/>
      <name val="Calibri"/>
      <family val="2"/>
      <scheme val="minor"/>
    </font>
    <font>
      <b/>
      <sz val="22"/>
      <color theme="1"/>
      <name val="Calibri"/>
      <family val="2"/>
      <scheme val="minor"/>
    </font>
    <font>
      <b/>
      <sz val="22"/>
      <color rgb="FFFF0000"/>
      <name val="Calibri"/>
      <family val="2"/>
      <scheme val="minor"/>
    </font>
    <font>
      <sz val="16"/>
      <color rgb="FFFF0000"/>
      <name val="Calibri"/>
      <family val="2"/>
      <scheme val="minor"/>
    </font>
    <font>
      <b/>
      <sz val="12"/>
      <color theme="1"/>
      <name val="Calibri"/>
      <family val="2"/>
      <scheme val="minor"/>
    </font>
    <font>
      <b/>
      <sz val="11"/>
      <color rgb="FF000000"/>
      <name val="Calibri"/>
      <family val="2"/>
      <scheme val="minor"/>
    </font>
    <font>
      <sz val="11"/>
      <color theme="1"/>
      <name val="Calibri"/>
      <family val="2"/>
      <scheme val="minor"/>
    </font>
    <font>
      <b/>
      <sz val="9"/>
      <color rgb="FF000000"/>
      <name val="Tahoma"/>
      <family val="2"/>
    </font>
    <font>
      <sz val="9"/>
      <color rgb="FF000000"/>
      <name val="Tahoma"/>
      <family val="2"/>
    </font>
    <font>
      <i/>
      <sz val="16"/>
      <color theme="1"/>
      <name val="Calibri"/>
      <family val="2"/>
      <scheme val="minor"/>
    </font>
    <font>
      <sz val="18"/>
      <color rgb="FFFF0000"/>
      <name val="Calibri"/>
      <family val="2"/>
      <scheme val="minor"/>
    </font>
    <font>
      <sz val="16"/>
      <color rgb="FFFFFFFF"/>
      <name val="Aptos Narrow"/>
      <family val="2"/>
      <charset val="1"/>
    </font>
    <font>
      <b/>
      <sz val="18"/>
      <color rgb="FFFFFFFF"/>
      <name val="Aptos Narrow"/>
      <family val="2"/>
      <charset val="1"/>
    </font>
    <font>
      <sz val="12"/>
      <color rgb="FF000000"/>
      <name val="Aptos Narrow"/>
      <family val="2"/>
      <charset val="1"/>
    </font>
    <font>
      <b/>
      <sz val="14"/>
      <color rgb="FFFFFFFF"/>
      <name val="Aptos Narrow"/>
      <family val="2"/>
      <charset val="1"/>
    </font>
    <font>
      <sz val="12"/>
      <color rgb="FFFFFFFF"/>
      <name val="Aptos Narrow"/>
      <family val="2"/>
      <charset val="1"/>
    </font>
    <font>
      <b/>
      <sz val="18"/>
      <color theme="0"/>
      <name val="Aptos Narrow"/>
      <family val="2"/>
      <charset val="1"/>
    </font>
    <font>
      <sz val="11"/>
      <color rgb="FF242424"/>
      <name val="Consolas"/>
      <family val="3"/>
    </font>
    <font>
      <sz val="11"/>
      <color theme="0"/>
      <name val="Calibri"/>
      <family val="2"/>
      <scheme val="minor"/>
    </font>
    <font>
      <sz val="10"/>
      <color rgb="FF000000"/>
      <name val="Calibri"/>
      <family val="2"/>
    </font>
    <font>
      <b/>
      <sz val="20"/>
      <color rgb="FF000000"/>
      <name val="Calibri"/>
      <family val="2"/>
    </font>
    <font>
      <sz val="11"/>
      <color rgb="FF242424"/>
      <name val="Aptos Narrow"/>
      <family val="2"/>
    </font>
    <font>
      <sz val="11"/>
      <color theme="9"/>
      <name val="Calibri"/>
      <family val="2"/>
      <scheme val="minor"/>
    </font>
    <font>
      <sz val="11"/>
      <color theme="7"/>
      <name val="Calibri"/>
      <family val="2"/>
      <scheme val="minor"/>
    </font>
    <font>
      <u/>
      <sz val="11"/>
      <color theme="1"/>
      <name val="Calibri"/>
      <family val="2"/>
      <scheme val="minor"/>
    </font>
    <font>
      <sz val="10"/>
      <color theme="1"/>
      <name val="Arial"/>
    </font>
    <font>
      <b/>
      <sz val="10"/>
      <color theme="1"/>
      <name val="Arial"/>
    </font>
    <font>
      <sz val="10"/>
      <name val="Arial"/>
    </font>
    <font>
      <sz val="10"/>
      <color rgb="FFFF0000"/>
      <name val="Arial"/>
    </font>
    <font>
      <b/>
      <sz val="10"/>
      <color rgb="FFFF0000"/>
      <name val="Arial"/>
    </font>
    <font>
      <b/>
      <sz val="12"/>
      <color rgb="FF92D050"/>
      <name val="Calibri"/>
      <family val="2"/>
      <scheme val="minor"/>
    </font>
    <font>
      <sz val="11"/>
      <color theme="1"/>
      <name val="Calibri"/>
      <charset val="1"/>
    </font>
    <font>
      <b/>
      <sz val="14"/>
      <color theme="1"/>
      <name val="Calibri"/>
    </font>
    <font>
      <b/>
      <sz val="14"/>
      <color rgb="FF000000"/>
      <name val="Calibri"/>
    </font>
    <font>
      <b/>
      <sz val="14"/>
      <color rgb="FF70AD47"/>
      <name val="Calibri"/>
    </font>
    <font>
      <b/>
      <sz val="16"/>
      <color theme="1"/>
      <name val="Calibri"/>
    </font>
    <font>
      <b/>
      <sz val="16"/>
      <color rgb="FF000000"/>
      <name val="Calibri"/>
    </font>
    <font>
      <b/>
      <sz val="16"/>
      <color rgb="FF70AD47"/>
      <name val="Calibri"/>
    </font>
    <font>
      <b/>
      <i/>
      <u/>
      <sz val="20"/>
      <color theme="1"/>
      <name val="Calibri"/>
    </font>
    <font>
      <b/>
      <sz val="16"/>
      <color rgb="FFFFC000"/>
      <name val="Calibri"/>
    </font>
    <font>
      <b/>
      <sz val="14"/>
      <color rgb="FFFFC000"/>
      <name val="Calibri"/>
    </font>
    <font>
      <b/>
      <sz val="26"/>
      <color theme="1"/>
      <name val="Calibri"/>
    </font>
    <font>
      <b/>
      <sz val="26"/>
      <color rgb="FF000000"/>
      <name val="Calibri"/>
    </font>
    <font>
      <b/>
      <sz val="26"/>
      <color rgb="FF70AD47"/>
      <name val="Calibri"/>
    </font>
    <font>
      <b/>
      <sz val="26"/>
      <color rgb="FFFF0000"/>
      <name val="Calibri"/>
    </font>
    <font>
      <b/>
      <sz val="28"/>
      <color theme="1"/>
      <name val="Calibri"/>
      <family val="2"/>
      <scheme val="minor"/>
    </font>
    <font>
      <b/>
      <sz val="12"/>
      <color theme="9"/>
      <name val="Calibri"/>
      <family val="2"/>
      <scheme val="minor"/>
    </font>
    <font>
      <b/>
      <sz val="12"/>
      <color rgb="FFFF0000"/>
      <name val="Calibri"/>
      <family val="2"/>
      <scheme val="minor"/>
    </font>
    <font>
      <i/>
      <sz val="16"/>
      <color rgb="FFFF0000"/>
      <name val="Calibri"/>
      <family val="2"/>
      <scheme val="minor"/>
    </font>
    <font>
      <sz val="18"/>
      <color rgb="FF000000"/>
      <name val="Calibri"/>
      <scheme val="minor"/>
    </font>
    <font>
      <b/>
      <sz val="18"/>
      <color rgb="FF000000"/>
      <name val="Calibri"/>
      <scheme val="minor"/>
    </font>
    <font>
      <sz val="18"/>
      <color rgb="FF000000"/>
      <name val="Calibri"/>
      <family val="2"/>
      <scheme val="minor"/>
    </font>
    <font>
      <sz val="10"/>
      <color rgb="FF000000"/>
      <name val="Arial"/>
      <family val="2"/>
    </font>
    <font>
      <b/>
      <sz val="10"/>
      <color rgb="FF000000"/>
      <name val="Arial"/>
      <family val="2"/>
    </font>
    <font>
      <b/>
      <sz val="10"/>
      <color theme="1"/>
      <name val="Calibri"/>
      <family val="2"/>
      <scheme val="minor"/>
    </font>
    <font>
      <sz val="10"/>
      <color theme="1"/>
      <name val="Calibri"/>
      <family val="2"/>
      <scheme val="minor"/>
    </font>
    <font>
      <sz val="10"/>
      <name val="Calibri"/>
      <family val="2"/>
      <scheme val="minor"/>
    </font>
    <font>
      <sz val="10"/>
      <color rgb="FFFF0000"/>
      <name val="Calibri"/>
      <family val="2"/>
      <scheme val="minor"/>
    </font>
    <font>
      <b/>
      <sz val="10"/>
      <color rgb="FFFF0000"/>
      <name val="Calibri"/>
      <family val="2"/>
      <scheme val="minor"/>
    </font>
    <font>
      <sz val="10"/>
      <color rgb="FF242424"/>
      <name val="Arial"/>
    </font>
    <font>
      <b/>
      <sz val="10"/>
      <color theme="1"/>
      <name val="Calibri"/>
      <family val="2"/>
    </font>
    <font>
      <sz val="10"/>
      <color theme="1"/>
      <name val="Calibri"/>
      <family val="2"/>
    </font>
    <font>
      <sz val="10"/>
      <color theme="1"/>
      <name val="Arial"/>
      <family val="2"/>
    </font>
    <font>
      <sz val="10"/>
      <color rgb="FFFF0000"/>
      <name val="Calibri"/>
      <family val="2"/>
    </font>
    <font>
      <b/>
      <sz val="10"/>
      <color rgb="FFFF0000"/>
      <name val="Calibri"/>
      <family val="2"/>
    </font>
    <font>
      <sz val="10"/>
      <name val="Calibri"/>
      <family val="2"/>
    </font>
    <font>
      <b/>
      <sz val="11"/>
      <color rgb="FF000000"/>
      <name val="Calibri"/>
      <family val="2"/>
    </font>
    <font>
      <sz val="11"/>
      <color rgb="FF000000"/>
      <name val="Calibri"/>
      <family val="2"/>
    </font>
    <font>
      <sz val="11"/>
      <color rgb="FFFF0000"/>
      <name val="Calibri"/>
      <family val="2"/>
    </font>
    <font>
      <b/>
      <sz val="11"/>
      <color rgb="FFFF0000"/>
      <name val="Calibri"/>
      <family val="2"/>
    </font>
    <font>
      <sz val="11"/>
      <name val="Calibri"/>
      <family val="2"/>
    </font>
    <font>
      <sz val="14"/>
      <color rgb="FF000000"/>
      <name val="Calibri"/>
      <family val="2"/>
    </font>
    <font>
      <sz val="11"/>
      <color rgb="FF242424"/>
      <name val="Aptos Narrow"/>
      <charset val="1"/>
    </font>
    <font>
      <sz val="18"/>
      <color rgb="FF000000"/>
      <name val="Calibri"/>
      <family val="2"/>
    </font>
    <font>
      <sz val="20"/>
      <color rgb="FF000000"/>
      <name val="Aptos Narrow"/>
      <family val="2"/>
    </font>
    <font>
      <b/>
      <sz val="11"/>
      <color rgb="FF000000"/>
      <name val="Aptos Narrow"/>
      <family val="2"/>
    </font>
    <font>
      <sz val="11"/>
      <color rgb="FF000000"/>
      <name val="Aptos Narrow"/>
      <family val="2"/>
    </font>
    <font>
      <sz val="11"/>
      <color rgb="FFFF0000"/>
      <name val="Aptos Narrow"/>
      <family val="2"/>
    </font>
    <font>
      <sz val="11"/>
      <name val="Aptos Narrow"/>
      <family val="2"/>
    </font>
    <font>
      <b/>
      <sz val="11"/>
      <color rgb="FFFF0000"/>
      <name val="Aptos Narrow"/>
      <family val="2"/>
    </font>
    <font>
      <sz val="14"/>
      <color rgb="FFFF0000"/>
      <name val="Calibri"/>
      <family val="2"/>
      <scheme val="minor"/>
    </font>
    <font>
      <sz val="11"/>
      <color rgb="FF000000"/>
      <name val="Calibri"/>
      <family val="2"/>
      <scheme val="minor"/>
    </font>
    <font>
      <sz val="16"/>
      <color rgb="FF000000"/>
      <name val="Calibri"/>
      <scheme val="minor"/>
    </font>
    <font>
      <u val="double"/>
      <sz val="16"/>
      <color rgb="FF000000"/>
      <name val="Calibri"/>
      <scheme val="minor"/>
    </font>
    <font>
      <sz val="14"/>
      <color rgb="FF000000"/>
      <name val="Calibri"/>
    </font>
    <font>
      <b/>
      <sz val="10"/>
      <color rgb="FF000000"/>
      <name val="Calibri"/>
      <charset val="1"/>
    </font>
    <font>
      <b/>
      <sz val="20"/>
      <color rgb="FF000000"/>
      <name val="Calibri"/>
    </font>
    <font>
      <b/>
      <sz val="10"/>
      <color rgb="FF000000"/>
      <name val="Arial"/>
    </font>
    <font>
      <sz val="10"/>
      <color rgb="FF000000"/>
      <name val="Arial"/>
    </font>
    <font>
      <sz val="11"/>
      <color theme="5"/>
      <name val="Calibri"/>
      <family val="2"/>
      <scheme val="minor"/>
    </font>
    <font>
      <sz val="20"/>
      <color rgb="FF000000"/>
      <name val="Calibri"/>
      <family val="2"/>
    </font>
    <font>
      <sz val="12"/>
      <color rgb="FF000000"/>
      <name val="Calibri"/>
      <family val="2"/>
    </font>
  </fonts>
  <fills count="5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9" tint="0.59999389629810485"/>
        <bgColor indexed="64"/>
      </patternFill>
    </fill>
    <fill>
      <patternFill patternType="solid">
        <fgColor rgb="FFDEEAF6"/>
        <bgColor rgb="FFDEEAF6"/>
      </patternFill>
    </fill>
    <fill>
      <patternFill patternType="solid">
        <fgColor rgb="FFE7E6E6"/>
        <bgColor rgb="FFE7E6E6"/>
      </patternFill>
    </fill>
    <fill>
      <patternFill patternType="solid">
        <fgColor rgb="FF9CC2E5"/>
        <bgColor rgb="FF9CC2E5"/>
      </patternFill>
    </fill>
    <fill>
      <patternFill patternType="solid">
        <fgColor rgb="FFF7CAAC"/>
        <bgColor rgb="FFF7CAAC"/>
      </patternFill>
    </fill>
    <fill>
      <patternFill patternType="solid">
        <fgColor rgb="FFF4B083"/>
        <bgColor rgb="FFF4B083"/>
      </patternFill>
    </fill>
    <fill>
      <patternFill patternType="solid">
        <fgColor rgb="FFA8D08D"/>
        <bgColor rgb="FFA8D08D"/>
      </patternFill>
    </fill>
    <fill>
      <patternFill patternType="solid">
        <fgColor rgb="FFFFFF00"/>
        <bgColor rgb="FFFFFF00"/>
      </patternFill>
    </fill>
    <fill>
      <patternFill patternType="solid">
        <fgColor rgb="FFFEF2CB"/>
        <bgColor rgb="FFFEF2CB"/>
      </patternFill>
    </fill>
    <fill>
      <patternFill patternType="solid">
        <fgColor rgb="FFD9E2F3"/>
        <bgColor rgb="FFD9E2F3"/>
      </patternFill>
    </fill>
    <fill>
      <patternFill patternType="solid">
        <fgColor rgb="FFFFE598"/>
        <bgColor rgb="FFFFE598"/>
      </patternFill>
    </fill>
    <fill>
      <patternFill patternType="solid">
        <fgColor rgb="FFE2EFD9"/>
        <bgColor rgb="FFE2EFD9"/>
      </patternFill>
    </fill>
    <fill>
      <patternFill patternType="solid">
        <fgColor rgb="FFFBE4D5"/>
        <bgColor rgb="FFFBE4D5"/>
      </patternFill>
    </fill>
    <fill>
      <patternFill patternType="solid">
        <fgColor rgb="FFFFFF99"/>
        <bgColor indexed="64"/>
      </patternFill>
    </fill>
    <fill>
      <patternFill patternType="solid">
        <fgColor theme="8" tint="0.59999389629810485"/>
        <bgColor indexed="64"/>
      </patternFill>
    </fill>
    <fill>
      <patternFill patternType="solid">
        <fgColor rgb="FFFFFF66"/>
        <bgColor indexed="64"/>
      </patternFill>
    </fill>
    <fill>
      <patternFill patternType="solid">
        <fgColor rgb="FFE1E1FF"/>
        <bgColor indexed="64"/>
      </patternFill>
    </fill>
    <fill>
      <patternFill patternType="solid">
        <fgColor rgb="FFFFFFCC"/>
        <bgColor indexed="64"/>
      </patternFill>
    </fill>
    <fill>
      <patternFill patternType="solid">
        <fgColor rgb="FFCCFFCC"/>
        <bgColor indexed="64"/>
      </patternFill>
    </fill>
    <fill>
      <patternFill patternType="solid">
        <fgColor rgb="FFFFCCFF"/>
        <bgColor indexed="64"/>
      </patternFill>
    </fill>
    <fill>
      <patternFill patternType="solid">
        <fgColor rgb="FF213DFF"/>
        <bgColor indexed="64"/>
      </patternFill>
    </fill>
    <fill>
      <patternFill patternType="solid">
        <fgColor rgb="FF00B050"/>
        <bgColor indexed="64"/>
      </patternFill>
    </fill>
    <fill>
      <patternFill patternType="solid">
        <fgColor theme="8"/>
        <bgColor indexed="64"/>
      </patternFill>
    </fill>
    <fill>
      <patternFill patternType="solid">
        <fgColor rgb="FFFFFFFF"/>
        <bgColor rgb="FF000000"/>
      </patternFill>
    </fill>
    <fill>
      <patternFill patternType="solid">
        <fgColor rgb="FFE2EFDA"/>
        <bgColor rgb="FF000000"/>
      </patternFill>
    </fill>
    <fill>
      <patternFill patternType="solid">
        <fgColor rgb="FF0070C0"/>
        <bgColor indexed="64"/>
      </patternFill>
    </fill>
    <fill>
      <patternFill patternType="solid">
        <fgColor theme="9"/>
        <bgColor indexed="64"/>
      </patternFill>
    </fill>
    <fill>
      <patternFill patternType="solid">
        <fgColor theme="7"/>
        <bgColor indexed="64"/>
      </patternFill>
    </fill>
    <fill>
      <patternFill patternType="solid">
        <fgColor rgb="FFFFFF00"/>
        <bgColor rgb="FF000000"/>
      </patternFill>
    </fill>
    <fill>
      <patternFill patternType="solid">
        <fgColor rgb="FF9BC2E6"/>
        <bgColor rgb="FF000000"/>
      </patternFill>
    </fill>
    <fill>
      <patternFill patternType="solid">
        <fgColor rgb="FFF8CBAD"/>
        <bgColor rgb="FF000000"/>
      </patternFill>
    </fill>
    <fill>
      <patternFill patternType="solid">
        <fgColor rgb="FFC6E0B4"/>
        <bgColor rgb="FF000000"/>
      </patternFill>
    </fill>
    <fill>
      <patternFill patternType="solid">
        <fgColor rgb="FFD9E1F2"/>
        <bgColor rgb="FF000000"/>
      </patternFill>
    </fill>
    <fill>
      <patternFill patternType="solid">
        <fgColor rgb="FFFFE699"/>
        <bgColor rgb="FF000000"/>
      </patternFill>
    </fill>
    <fill>
      <patternFill patternType="solid">
        <fgColor rgb="FFEDEDED"/>
        <bgColor rgb="FF000000"/>
      </patternFill>
    </fill>
  </fills>
  <borders count="9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auto="1"/>
      </right>
      <top style="medium">
        <color indexed="64"/>
      </top>
      <bottom style="thin">
        <color indexed="64"/>
      </bottom>
      <diagonal/>
    </border>
    <border>
      <left/>
      <right style="medium">
        <color auto="1"/>
      </right>
      <top style="thin">
        <color indexed="64"/>
      </top>
      <bottom style="medium">
        <color indexed="64"/>
      </bottom>
      <diagonal/>
    </border>
    <border>
      <left/>
      <right style="medium">
        <color auto="1"/>
      </right>
      <top/>
      <bottom style="thin">
        <color indexed="64"/>
      </bottom>
      <diagonal/>
    </border>
    <border>
      <left/>
      <right style="medium">
        <color auto="1"/>
      </right>
      <top style="medium">
        <color indexed="64"/>
      </top>
      <bottom style="medium">
        <color indexed="64"/>
      </bottom>
      <diagonal/>
    </border>
    <border>
      <left/>
      <right style="medium">
        <color auto="1"/>
      </right>
      <top style="thin">
        <color indexed="64"/>
      </top>
      <bottom/>
      <diagonal/>
    </border>
    <border>
      <left style="thin">
        <color rgb="FFFFFFFF"/>
      </left>
      <right/>
      <top/>
      <bottom style="thin">
        <color rgb="FFFFFFFF"/>
      </bottom>
      <diagonal/>
    </border>
    <border>
      <left/>
      <right/>
      <top/>
      <bottom style="thin">
        <color rgb="FFFFFFFF"/>
      </bottom>
      <diagonal/>
    </border>
    <border>
      <left style="thin">
        <color rgb="FFFFFFFF"/>
      </left>
      <right style="thin">
        <color rgb="FFFFFFFF"/>
      </right>
      <top/>
      <bottom/>
      <diagonal/>
    </border>
    <border>
      <left/>
      <right style="thin">
        <color rgb="FFFFFFFF"/>
      </right>
      <top/>
      <bottom/>
      <diagonal/>
    </border>
    <border>
      <left style="thin">
        <color rgb="FFBFBFBF"/>
      </left>
      <right style="thin">
        <color rgb="FFBFBFBF"/>
      </right>
      <top style="thin">
        <color rgb="FFBFBFBF"/>
      </top>
      <bottom style="thin">
        <color rgb="FFBFBFBF"/>
      </bottom>
      <diagonal/>
    </border>
    <border>
      <left style="thin">
        <color rgb="FFFFFFFF"/>
      </left>
      <right style="thin">
        <color rgb="FFFFFFFF"/>
      </right>
      <top style="thin">
        <color theme="0"/>
      </top>
      <bottom style="thin">
        <color theme="0"/>
      </bottom>
      <diagonal/>
    </border>
    <border>
      <left style="thin">
        <color theme="0"/>
      </left>
      <right style="thin">
        <color theme="0"/>
      </right>
      <top style="thin">
        <color theme="0"/>
      </top>
      <bottom style="thin">
        <color theme="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style="medium">
        <color rgb="FF000000"/>
      </bottom>
      <diagonal/>
    </border>
    <border>
      <left style="thin">
        <color indexed="64"/>
      </left>
      <right style="medium">
        <color rgb="FF000000"/>
      </right>
      <top style="thin">
        <color indexed="64"/>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s>
  <cellStyleXfs count="6">
    <xf numFmtId="0" fontId="0" fillId="0" borderId="0"/>
    <xf numFmtId="166" fontId="3" fillId="0" borderId="0" applyFont="0" applyFill="0" applyBorder="0" applyAlignment="0" applyProtection="0"/>
    <xf numFmtId="165" fontId="3" fillId="0" borderId="0" applyFont="0" applyFill="0" applyBorder="0" applyAlignment="0" applyProtection="0"/>
    <xf numFmtId="9" fontId="3" fillId="0" borderId="0" applyFont="0" applyFill="0" applyBorder="0" applyAlignment="0" applyProtection="0"/>
    <xf numFmtId="0" fontId="31" fillId="0" borderId="0"/>
    <xf numFmtId="0" fontId="15" fillId="0" borderId="0" applyNumberFormat="0" applyFill="0" applyBorder="0" applyAlignment="0" applyProtection="0"/>
  </cellStyleXfs>
  <cellXfs count="1416">
    <xf numFmtId="0" fontId="0" fillId="0" borderId="0" xfId="0"/>
    <xf numFmtId="0" fontId="1" fillId="0" borderId="0" xfId="0" applyFont="1"/>
    <xf numFmtId="0" fontId="2" fillId="0" borderId="0" xfId="0" applyFont="1"/>
    <xf numFmtId="0" fontId="6" fillId="0" borderId="0" xfId="0" applyFont="1" applyAlignment="1">
      <alignment horizontal="center"/>
    </xf>
    <xf numFmtId="0" fontId="7" fillId="4" borderId="1" xfId="0" applyFont="1" applyFill="1" applyBorder="1"/>
    <xf numFmtId="165" fontId="7" fillId="4" borderId="1" xfId="2" applyFont="1" applyFill="1" applyBorder="1"/>
    <xf numFmtId="0" fontId="7" fillId="5" borderId="1" xfId="0" applyFont="1" applyFill="1" applyBorder="1"/>
    <xf numFmtId="165" fontId="7" fillId="5" borderId="1" xfId="2" applyFont="1" applyFill="1" applyBorder="1"/>
    <xf numFmtId="0" fontId="8" fillId="6" borderId="1" xfId="0" applyFont="1" applyFill="1" applyBorder="1"/>
    <xf numFmtId="165" fontId="8" fillId="6" borderId="1" xfId="2" applyFont="1" applyFill="1" applyBorder="1"/>
    <xf numFmtId="0" fontId="7" fillId="7" borderId="1" xfId="0" applyFont="1" applyFill="1" applyBorder="1"/>
    <xf numFmtId="165" fontId="7" fillId="7" borderId="1" xfId="2" applyFont="1" applyFill="1" applyBorder="1"/>
    <xf numFmtId="0" fontId="8" fillId="8" borderId="1" xfId="0" applyFont="1" applyFill="1" applyBorder="1"/>
    <xf numFmtId="165" fontId="8" fillId="8" borderId="1" xfId="2" applyFont="1" applyFill="1" applyBorder="1"/>
    <xf numFmtId="0" fontId="8" fillId="9" borderId="1" xfId="0" applyFont="1" applyFill="1" applyBorder="1"/>
    <xf numFmtId="165" fontId="8" fillId="9" borderId="1" xfId="2" applyFont="1" applyFill="1" applyBorder="1"/>
    <xf numFmtId="0" fontId="8" fillId="5" borderId="1" xfId="0" applyFont="1" applyFill="1" applyBorder="1"/>
    <xf numFmtId="165" fontId="8" fillId="5" borderId="1" xfId="2" applyFont="1" applyFill="1" applyBorder="1"/>
    <xf numFmtId="0" fontId="8" fillId="9" borderId="0" xfId="0" applyFont="1" applyFill="1"/>
    <xf numFmtId="168" fontId="8" fillId="9" borderId="0" xfId="2" applyNumberFormat="1" applyFont="1" applyFill="1" applyBorder="1"/>
    <xf numFmtId="0" fontId="8" fillId="5" borderId="0" xfId="0" applyFont="1" applyFill="1"/>
    <xf numFmtId="168" fontId="8" fillId="5" borderId="0" xfId="2" applyNumberFormat="1" applyFont="1" applyFill="1" applyBorder="1"/>
    <xf numFmtId="169" fontId="8" fillId="9" borderId="0" xfId="1" applyNumberFormat="1" applyFont="1" applyFill="1" applyBorder="1"/>
    <xf numFmtId="0" fontId="8" fillId="2" borderId="0" xfId="0" applyFont="1" applyFill="1"/>
    <xf numFmtId="169" fontId="8" fillId="2" borderId="0" xfId="1" applyNumberFormat="1" applyFont="1" applyFill="1" applyBorder="1"/>
    <xf numFmtId="0" fontId="8" fillId="10" borderId="0" xfId="0" applyFont="1" applyFill="1"/>
    <xf numFmtId="169" fontId="8" fillId="10" borderId="0" xfId="1" applyNumberFormat="1" applyFont="1" applyFill="1" applyBorder="1"/>
    <xf numFmtId="0" fontId="7" fillId="11" borderId="1" xfId="0" applyFont="1" applyFill="1" applyBorder="1"/>
    <xf numFmtId="165" fontId="7" fillId="11" borderId="1" xfId="0" applyNumberFormat="1" applyFont="1" applyFill="1" applyBorder="1"/>
    <xf numFmtId="165" fontId="7" fillId="12" borderId="1" xfId="0" applyNumberFormat="1" applyFont="1" applyFill="1" applyBorder="1"/>
    <xf numFmtId="0" fontId="7" fillId="10" borderId="1" xfId="0" applyFont="1" applyFill="1" applyBorder="1"/>
    <xf numFmtId="168" fontId="7" fillId="10" borderId="1" xfId="2" applyNumberFormat="1" applyFont="1" applyFill="1" applyBorder="1"/>
    <xf numFmtId="0" fontId="7" fillId="8" borderId="1" xfId="0" applyFont="1" applyFill="1" applyBorder="1"/>
    <xf numFmtId="9" fontId="7" fillId="8" borderId="1" xfId="3" applyFont="1" applyFill="1" applyBorder="1"/>
    <xf numFmtId="0" fontId="9" fillId="0" borderId="0" xfId="0" applyFont="1"/>
    <xf numFmtId="0" fontId="7" fillId="3" borderId="1" xfId="0" applyFont="1" applyFill="1" applyBorder="1"/>
    <xf numFmtId="165" fontId="7" fillId="3" borderId="1" xfId="2" applyFont="1" applyFill="1" applyBorder="1"/>
    <xf numFmtId="10" fontId="10" fillId="0" borderId="0" xfId="3" applyNumberFormat="1" applyFont="1"/>
    <xf numFmtId="0" fontId="10" fillId="0" borderId="0" xfId="0" applyFont="1"/>
    <xf numFmtId="0" fontId="8" fillId="2" borderId="1" xfId="0" applyFont="1" applyFill="1" applyBorder="1"/>
    <xf numFmtId="165" fontId="8" fillId="2" borderId="1" xfId="2" applyFont="1" applyFill="1" applyBorder="1"/>
    <xf numFmtId="9" fontId="7" fillId="3" borderId="1" xfId="3" applyFont="1" applyFill="1" applyBorder="1"/>
    <xf numFmtId="10" fontId="10" fillId="0" borderId="0" xfId="0" applyNumberFormat="1" applyFont="1"/>
    <xf numFmtId="0" fontId="8" fillId="11" borderId="1" xfId="0" applyFont="1" applyFill="1" applyBorder="1"/>
    <xf numFmtId="165" fontId="8" fillId="11" borderId="1" xfId="2" applyFont="1" applyFill="1" applyBorder="1"/>
    <xf numFmtId="9" fontId="7" fillId="10" borderId="1" xfId="3" applyFont="1" applyFill="1" applyBorder="1"/>
    <xf numFmtId="0" fontId="7" fillId="13" borderId="1" xfId="0" applyFont="1" applyFill="1" applyBorder="1"/>
    <xf numFmtId="165" fontId="7" fillId="13" borderId="1" xfId="0" applyNumberFormat="1" applyFont="1" applyFill="1" applyBorder="1"/>
    <xf numFmtId="0" fontId="8" fillId="3" borderId="1" xfId="0" applyFont="1" applyFill="1" applyBorder="1"/>
    <xf numFmtId="10" fontId="8" fillId="3" borderId="1" xfId="3" applyNumberFormat="1" applyFont="1" applyFill="1" applyBorder="1"/>
    <xf numFmtId="165" fontId="8" fillId="3" borderId="1" xfId="3" applyNumberFormat="1" applyFont="1" applyFill="1" applyBorder="1"/>
    <xf numFmtId="0" fontId="7" fillId="0" borderId="1" xfId="0" applyFont="1" applyBorder="1"/>
    <xf numFmtId="9" fontId="10" fillId="0" borderId="0" xfId="3" applyFont="1"/>
    <xf numFmtId="0" fontId="0" fillId="0" borderId="1" xfId="0" applyBorder="1" applyAlignment="1">
      <alignment horizontal="right"/>
    </xf>
    <xf numFmtId="9" fontId="11" fillId="0" borderId="1" xfId="3" applyFont="1" applyBorder="1"/>
    <xf numFmtId="0" fontId="7" fillId="0" borderId="0" xfId="0" applyFont="1"/>
    <xf numFmtId="165" fontId="7" fillId="0" borderId="0" xfId="2" applyFont="1" applyFill="1" applyBorder="1"/>
    <xf numFmtId="0" fontId="5" fillId="0" borderId="2" xfId="0" applyFont="1" applyBorder="1"/>
    <xf numFmtId="0" fontId="5" fillId="0" borderId="3" xfId="0" applyFont="1" applyBorder="1" applyAlignment="1">
      <alignment horizontal="left" indent="1"/>
    </xf>
    <xf numFmtId="0" fontId="0" fillId="0" borderId="3" xfId="0" applyBorder="1" applyAlignment="1">
      <alignment horizontal="left" indent="2"/>
    </xf>
    <xf numFmtId="0" fontId="5" fillId="0" borderId="4" xfId="0" applyFont="1" applyBorder="1"/>
    <xf numFmtId="0" fontId="0" fillId="0" borderId="5" xfId="0" applyBorder="1"/>
    <xf numFmtId="165" fontId="0" fillId="0" borderId="6" xfId="2" applyFont="1" applyBorder="1"/>
    <xf numFmtId="165" fontId="0" fillId="0" borderId="7" xfId="2" applyFont="1" applyBorder="1"/>
    <xf numFmtId="165" fontId="5" fillId="0" borderId="1" xfId="2" applyFont="1" applyBorder="1"/>
    <xf numFmtId="165" fontId="5" fillId="0" borderId="8" xfId="2" applyFont="1" applyBorder="1"/>
    <xf numFmtId="165" fontId="0" fillId="0" borderId="1" xfId="2" applyFont="1" applyBorder="1"/>
    <xf numFmtId="165" fontId="0" fillId="0" borderId="8" xfId="2" applyFont="1" applyBorder="1"/>
    <xf numFmtId="3" fontId="0" fillId="0" borderId="0" xfId="0" applyNumberFormat="1"/>
    <xf numFmtId="3" fontId="5" fillId="0" borderId="0" xfId="0" applyNumberFormat="1" applyFont="1"/>
    <xf numFmtId="165" fontId="5" fillId="0" borderId="9" xfId="2" applyFont="1" applyBorder="1"/>
    <xf numFmtId="165" fontId="5" fillId="0" borderId="10" xfId="2" applyFont="1" applyBorder="1"/>
    <xf numFmtId="165" fontId="0" fillId="0" borderId="5" xfId="2" applyFont="1" applyBorder="1"/>
    <xf numFmtId="165" fontId="0" fillId="0" borderId="11" xfId="2" applyFont="1" applyBorder="1"/>
    <xf numFmtId="0" fontId="12" fillId="0" borderId="6" xfId="0" applyFont="1" applyBorder="1" applyAlignment="1">
      <alignment horizontal="center"/>
    </xf>
    <xf numFmtId="0" fontId="5" fillId="3" borderId="0" xfId="0" applyFont="1" applyFill="1"/>
    <xf numFmtId="0" fontId="8" fillId="14" borderId="0" xfId="0" applyFont="1" applyFill="1"/>
    <xf numFmtId="168" fontId="8" fillId="14" borderId="0" xfId="2" applyNumberFormat="1" applyFont="1" applyFill="1" applyBorder="1"/>
    <xf numFmtId="0" fontId="0" fillId="14" borderId="0" xfId="0" applyFill="1"/>
    <xf numFmtId="0" fontId="7" fillId="14" borderId="1" xfId="0" applyFont="1" applyFill="1" applyBorder="1"/>
    <xf numFmtId="165" fontId="7" fillId="14" borderId="1" xfId="2" applyFont="1" applyFill="1" applyBorder="1"/>
    <xf numFmtId="165" fontId="7" fillId="2" borderId="1" xfId="0" applyNumberFormat="1" applyFont="1" applyFill="1" applyBorder="1"/>
    <xf numFmtId="0" fontId="5" fillId="0" borderId="12" xfId="0" applyFont="1" applyBorder="1"/>
    <xf numFmtId="0" fontId="5" fillId="0" borderId="13" xfId="0" applyFont="1" applyBorder="1"/>
    <xf numFmtId="0" fontId="5" fillId="0" borderId="1" xfId="0" applyFont="1" applyBorder="1"/>
    <xf numFmtId="0" fontId="0" fillId="0" borderId="1" xfId="0" applyBorder="1" applyAlignment="1">
      <alignment horizontal="left" indent="1"/>
    </xf>
    <xf numFmtId="0" fontId="5" fillId="0" borderId="1" xfId="0" applyFont="1" applyBorder="1" applyAlignment="1">
      <alignment horizontal="left"/>
    </xf>
    <xf numFmtId="0" fontId="0" fillId="0" borderId="1" xfId="0" applyBorder="1" applyAlignment="1">
      <alignment horizontal="left" wrapText="1" indent="1"/>
    </xf>
    <xf numFmtId="0" fontId="5" fillId="0" borderId="14" xfId="0" applyFont="1" applyBorder="1"/>
    <xf numFmtId="0" fontId="5" fillId="0" borderId="15" xfId="0" applyFont="1" applyBorder="1"/>
    <xf numFmtId="165" fontId="5" fillId="0" borderId="13" xfId="2" applyFont="1" applyBorder="1"/>
    <xf numFmtId="165" fontId="13" fillId="0" borderId="1" xfId="2" applyFont="1" applyBorder="1"/>
    <xf numFmtId="165" fontId="0" fillId="0" borderId="13" xfId="2" applyFont="1" applyBorder="1"/>
    <xf numFmtId="165" fontId="4" fillId="0" borderId="1" xfId="2" applyFont="1" applyBorder="1"/>
    <xf numFmtId="0" fontId="0" fillId="14" borderId="1" xfId="0" applyFill="1" applyBorder="1"/>
    <xf numFmtId="0" fontId="0" fillId="14" borderId="1" xfId="0" applyFill="1" applyBorder="1" applyAlignment="1">
      <alignment horizontal="right"/>
    </xf>
    <xf numFmtId="0" fontId="2" fillId="14" borderId="1" xfId="0" applyFont="1" applyFill="1" applyBorder="1" applyAlignment="1">
      <alignment horizontal="right"/>
    </xf>
    <xf numFmtId="0" fontId="6" fillId="0" borderId="1" xfId="0" applyFont="1" applyBorder="1" applyAlignment="1">
      <alignment horizontal="center"/>
    </xf>
    <xf numFmtId="2" fontId="7" fillId="10" borderId="1" xfId="0" applyNumberFormat="1" applyFont="1" applyFill="1" applyBorder="1"/>
    <xf numFmtId="10" fontId="7" fillId="10" borderId="1" xfId="3" applyNumberFormat="1" applyFont="1" applyFill="1" applyBorder="1"/>
    <xf numFmtId="165" fontId="8" fillId="14" borderId="1" xfId="2" applyFont="1" applyFill="1" applyBorder="1"/>
    <xf numFmtId="165" fontId="8" fillId="14" borderId="0" xfId="2" applyFont="1" applyFill="1" applyBorder="1"/>
    <xf numFmtId="165" fontId="8" fillId="0" borderId="0" xfId="2" applyFont="1" applyFill="1" applyBorder="1"/>
    <xf numFmtId="0" fontId="5" fillId="0" borderId="17" xfId="0" applyFont="1" applyBorder="1"/>
    <xf numFmtId="165" fontId="0" fillId="0" borderId="18" xfId="2" applyFont="1" applyBorder="1"/>
    <xf numFmtId="165" fontId="0" fillId="0" borderId="19" xfId="2" applyFont="1" applyBorder="1"/>
    <xf numFmtId="165" fontId="5" fillId="0" borderId="20" xfId="2" applyFont="1" applyBorder="1"/>
    <xf numFmtId="165" fontId="0" fillId="0" borderId="21" xfId="2" applyFont="1" applyBorder="1"/>
    <xf numFmtId="165" fontId="0" fillId="0" borderId="20" xfId="2" applyFont="1" applyBorder="1"/>
    <xf numFmtId="165" fontId="5" fillId="0" borderId="16" xfId="2" applyFont="1" applyBorder="1"/>
    <xf numFmtId="165" fontId="0" fillId="0" borderId="22" xfId="2" applyFont="1" applyBorder="1"/>
    <xf numFmtId="168" fontId="5" fillId="0" borderId="1" xfId="2" applyNumberFormat="1" applyFont="1" applyBorder="1"/>
    <xf numFmtId="168" fontId="5" fillId="0" borderId="8" xfId="2" applyNumberFormat="1" applyFont="1" applyBorder="1"/>
    <xf numFmtId="165" fontId="17" fillId="0" borderId="13" xfId="2" applyFont="1" applyBorder="1"/>
    <xf numFmtId="165" fontId="17" fillId="0" borderId="1" xfId="2" applyFont="1" applyBorder="1"/>
    <xf numFmtId="165" fontId="7" fillId="5" borderId="1" xfId="2" applyFont="1" applyFill="1" applyBorder="1" applyAlignment="1">
      <alignment horizontal="left" indent="1"/>
    </xf>
    <xf numFmtId="170" fontId="7" fillId="13" borderId="1" xfId="0" applyNumberFormat="1" applyFont="1" applyFill="1" applyBorder="1"/>
    <xf numFmtId="165" fontId="3" fillId="0" borderId="1" xfId="2" applyFont="1" applyBorder="1"/>
    <xf numFmtId="170" fontId="3" fillId="0" borderId="1" xfId="2" applyNumberFormat="1" applyFont="1" applyBorder="1"/>
    <xf numFmtId="165" fontId="4" fillId="0" borderId="13" xfId="2" applyFont="1" applyBorder="1"/>
    <xf numFmtId="165" fontId="18" fillId="0" borderId="1" xfId="2" applyFont="1" applyBorder="1"/>
    <xf numFmtId="168" fontId="7" fillId="13" borderId="1" xfId="0" applyNumberFormat="1" applyFont="1" applyFill="1" applyBorder="1"/>
    <xf numFmtId="171" fontId="0" fillId="0" borderId="0" xfId="3" applyNumberFormat="1" applyFont="1"/>
    <xf numFmtId="168" fontId="0" fillId="0" borderId="1" xfId="2" applyNumberFormat="1" applyFont="1" applyBorder="1"/>
    <xf numFmtId="17" fontId="6" fillId="0" borderId="0" xfId="0" applyNumberFormat="1" applyFont="1" applyAlignment="1">
      <alignment horizontal="center"/>
    </xf>
    <xf numFmtId="165" fontId="0" fillId="0" borderId="0" xfId="0" applyNumberFormat="1"/>
    <xf numFmtId="167" fontId="0" fillId="0" borderId="0" xfId="0" applyNumberFormat="1"/>
    <xf numFmtId="173" fontId="7" fillId="13" borderId="1" xfId="0" applyNumberFormat="1" applyFont="1" applyFill="1" applyBorder="1"/>
    <xf numFmtId="165" fontId="10" fillId="0" borderId="0" xfId="0" applyNumberFormat="1" applyFont="1"/>
    <xf numFmtId="0" fontId="0" fillId="0" borderId="23" xfId="0" applyBorder="1" applyAlignment="1">
      <alignment horizontal="left" indent="2"/>
    </xf>
    <xf numFmtId="165" fontId="5" fillId="0" borderId="8" xfId="2" applyFont="1" applyFill="1" applyBorder="1"/>
    <xf numFmtId="165" fontId="0" fillId="0" borderId="8" xfId="2" applyFont="1" applyFill="1" applyBorder="1"/>
    <xf numFmtId="165" fontId="0" fillId="0" borderId="24" xfId="2" applyFont="1" applyBorder="1"/>
    <xf numFmtId="165" fontId="0" fillId="0" borderId="25" xfId="2" applyFont="1" applyBorder="1"/>
    <xf numFmtId="168" fontId="5" fillId="0" borderId="1" xfId="2" applyNumberFormat="1" applyFont="1" applyFill="1" applyBorder="1"/>
    <xf numFmtId="0" fontId="10" fillId="14" borderId="1" xfId="0" applyFont="1" applyFill="1" applyBorder="1" applyAlignment="1">
      <alignment horizontal="right"/>
    </xf>
    <xf numFmtId="0" fontId="8" fillId="0" borderId="0" xfId="0" applyFont="1" applyAlignment="1">
      <alignment horizontal="center"/>
    </xf>
    <xf numFmtId="166" fontId="8" fillId="14" borderId="1" xfId="1" applyFont="1" applyFill="1" applyBorder="1"/>
    <xf numFmtId="0" fontId="14" fillId="14" borderId="1" xfId="0" applyFont="1" applyFill="1" applyBorder="1"/>
    <xf numFmtId="165" fontId="0" fillId="0" borderId="0" xfId="2" applyFont="1" applyBorder="1"/>
    <xf numFmtId="0" fontId="5" fillId="0" borderId="1" xfId="0" applyFont="1" applyBorder="1" applyAlignment="1">
      <alignment horizontal="left" indent="1"/>
    </xf>
    <xf numFmtId="165" fontId="5" fillId="0" borderId="1" xfId="2" applyFont="1" applyFill="1" applyBorder="1"/>
    <xf numFmtId="165" fontId="5" fillId="0" borderId="24" xfId="2" applyFont="1" applyFill="1" applyBorder="1"/>
    <xf numFmtId="0" fontId="10" fillId="10" borderId="5" xfId="0" applyFont="1" applyFill="1" applyBorder="1" applyAlignment="1">
      <alignment horizontal="right"/>
    </xf>
    <xf numFmtId="9" fontId="19" fillId="10" borderId="0" xfId="3" applyFont="1" applyFill="1"/>
    <xf numFmtId="165" fontId="2" fillId="0" borderId="0" xfId="2" applyFont="1"/>
    <xf numFmtId="0" fontId="7" fillId="15" borderId="1" xfId="0" applyFont="1" applyFill="1" applyBorder="1"/>
    <xf numFmtId="165" fontId="7" fillId="15" borderId="1" xfId="2" applyFont="1" applyFill="1" applyBorder="1"/>
    <xf numFmtId="166" fontId="2" fillId="0" borderId="0" xfId="1" applyFont="1"/>
    <xf numFmtId="168" fontId="2" fillId="0" borderId="0" xfId="2" applyNumberFormat="1" applyFont="1"/>
    <xf numFmtId="169" fontId="2" fillId="0" borderId="0" xfId="1" applyNumberFormat="1" applyFont="1"/>
    <xf numFmtId="168" fontId="7" fillId="12" borderId="1" xfId="2" applyNumberFormat="1" applyFont="1" applyFill="1" applyBorder="1"/>
    <xf numFmtId="9" fontId="2" fillId="0" borderId="0" xfId="3" applyFont="1"/>
    <xf numFmtId="10" fontId="2" fillId="0" borderId="0" xfId="3" applyNumberFormat="1" applyFont="1"/>
    <xf numFmtId="10" fontId="0" fillId="0" borderId="0" xfId="3" applyNumberFormat="1" applyFont="1"/>
    <xf numFmtId="0" fontId="10" fillId="14" borderId="1" xfId="0" applyFont="1" applyFill="1" applyBorder="1"/>
    <xf numFmtId="9" fontId="11" fillId="14" borderId="1" xfId="3" applyFont="1" applyFill="1" applyBorder="1"/>
    <xf numFmtId="0" fontId="5" fillId="0" borderId="3" xfId="0" applyFont="1" applyBorder="1"/>
    <xf numFmtId="0" fontId="5" fillId="0" borderId="6" xfId="0" applyFont="1" applyBorder="1"/>
    <xf numFmtId="3" fontId="5" fillId="0" borderId="1" xfId="0" applyNumberFormat="1" applyFont="1" applyBorder="1"/>
    <xf numFmtId="165" fontId="0" fillId="0" borderId="1" xfId="2" applyFont="1" applyFill="1" applyBorder="1"/>
    <xf numFmtId="3" fontId="0" fillId="0" borderId="1" xfId="0" applyNumberFormat="1" applyBorder="1"/>
    <xf numFmtId="165" fontId="5" fillId="0" borderId="9" xfId="2" applyFont="1" applyFill="1" applyBorder="1"/>
    <xf numFmtId="165" fontId="0" fillId="0" borderId="5" xfId="2" applyFont="1" applyFill="1" applyBorder="1"/>
    <xf numFmtId="165" fontId="0" fillId="0" borderId="6" xfId="2" applyFont="1" applyFill="1" applyBorder="1"/>
    <xf numFmtId="0" fontId="7" fillId="9" borderId="1" xfId="0" applyFont="1" applyFill="1" applyBorder="1"/>
    <xf numFmtId="165" fontId="7" fillId="9" borderId="1" xfId="2" applyFont="1" applyFill="1" applyBorder="1"/>
    <xf numFmtId="168" fontId="7" fillId="13" borderId="1" xfId="2" applyNumberFormat="1" applyFont="1" applyFill="1" applyBorder="1"/>
    <xf numFmtId="0" fontId="2" fillId="0" borderId="1" xfId="0" applyFont="1" applyBorder="1" applyAlignment="1">
      <alignment horizontal="right"/>
    </xf>
    <xf numFmtId="0" fontId="2" fillId="0" borderId="1" xfId="0" applyFont="1" applyBorder="1"/>
    <xf numFmtId="0" fontId="12" fillId="0" borderId="0" xfId="0" applyFont="1" applyAlignment="1">
      <alignment horizontal="center"/>
    </xf>
    <xf numFmtId="165" fontId="0" fillId="0" borderId="26" xfId="2" applyFont="1" applyBorder="1"/>
    <xf numFmtId="170" fontId="5" fillId="0" borderId="1" xfId="2" applyNumberFormat="1" applyFont="1" applyBorder="1"/>
    <xf numFmtId="168" fontId="7" fillId="14" borderId="1" xfId="2" applyNumberFormat="1" applyFont="1" applyFill="1" applyBorder="1"/>
    <xf numFmtId="10" fontId="10" fillId="14" borderId="0" xfId="0" applyNumberFormat="1" applyFont="1" applyFill="1"/>
    <xf numFmtId="0" fontId="20" fillId="16" borderId="1" xfId="0" applyFont="1" applyFill="1" applyBorder="1"/>
    <xf numFmtId="165" fontId="20" fillId="16" borderId="1" xfId="2" applyFont="1" applyFill="1" applyBorder="1"/>
    <xf numFmtId="9" fontId="19" fillId="0" borderId="0" xfId="3" applyFont="1"/>
    <xf numFmtId="165" fontId="0" fillId="0" borderId="9" xfId="2" applyFont="1" applyBorder="1"/>
    <xf numFmtId="165" fontId="5" fillId="0" borderId="6" xfId="2" applyFont="1" applyBorder="1"/>
    <xf numFmtId="166" fontId="7" fillId="14" borderId="1" xfId="1" applyFont="1" applyFill="1" applyBorder="1"/>
    <xf numFmtId="167" fontId="7" fillId="13" borderId="1" xfId="0" applyNumberFormat="1" applyFont="1" applyFill="1" applyBorder="1"/>
    <xf numFmtId="0" fontId="0" fillId="0" borderId="3" xfId="0" applyBorder="1" applyAlignment="1">
      <alignment horizontal="left" indent="1"/>
    </xf>
    <xf numFmtId="0" fontId="0" fillId="0" borderId="27" xfId="0" applyBorder="1" applyAlignment="1">
      <alignment horizontal="left" indent="2"/>
    </xf>
    <xf numFmtId="165" fontId="0" fillId="0" borderId="7" xfId="2" applyFont="1" applyFill="1" applyBorder="1"/>
    <xf numFmtId="165" fontId="5" fillId="0" borderId="10" xfId="2" applyFont="1" applyFill="1" applyBorder="1"/>
    <xf numFmtId="165" fontId="0" fillId="0" borderId="11" xfId="2" applyFont="1" applyFill="1" applyBorder="1"/>
    <xf numFmtId="165" fontId="3" fillId="0" borderId="24" xfId="2" applyFont="1" applyFill="1" applyBorder="1"/>
    <xf numFmtId="165" fontId="3" fillId="0" borderId="8" xfId="2" applyFont="1" applyFill="1" applyBorder="1"/>
    <xf numFmtId="165" fontId="3" fillId="0" borderId="1" xfId="2" applyFont="1" applyFill="1" applyBorder="1"/>
    <xf numFmtId="165" fontId="0" fillId="0" borderId="26" xfId="2" applyFont="1" applyFill="1" applyBorder="1"/>
    <xf numFmtId="165" fontId="0" fillId="0" borderId="28" xfId="2" applyFont="1" applyBorder="1"/>
    <xf numFmtId="165" fontId="0" fillId="0" borderId="29" xfId="2" applyFont="1" applyFill="1" applyBorder="1"/>
    <xf numFmtId="165" fontId="0" fillId="0" borderId="0" xfId="2" applyFont="1" applyFill="1" applyBorder="1"/>
    <xf numFmtId="165" fontId="5" fillId="0" borderId="0" xfId="0" applyNumberFormat="1" applyFont="1"/>
    <xf numFmtId="165" fontId="5" fillId="0" borderId="16" xfId="2" applyFont="1" applyFill="1" applyBorder="1"/>
    <xf numFmtId="165" fontId="5" fillId="0" borderId="19" xfId="2" applyFont="1" applyBorder="1"/>
    <xf numFmtId="165" fontId="0" fillId="0" borderId="24" xfId="2" applyFont="1" applyFill="1" applyBorder="1"/>
    <xf numFmtId="165" fontId="13" fillId="0" borderId="1" xfId="2" applyFont="1" applyFill="1" applyBorder="1"/>
    <xf numFmtId="170" fontId="5" fillId="0" borderId="1" xfId="2" applyNumberFormat="1" applyFont="1" applyFill="1" applyBorder="1"/>
    <xf numFmtId="170" fontId="5" fillId="0" borderId="8" xfId="2" applyNumberFormat="1" applyFont="1" applyFill="1" applyBorder="1"/>
    <xf numFmtId="168" fontId="0" fillId="0" borderId="19" xfId="2" applyNumberFormat="1" applyFont="1" applyBorder="1"/>
    <xf numFmtId="0" fontId="0" fillId="0" borderId="22" xfId="0" applyBorder="1"/>
    <xf numFmtId="0" fontId="0" fillId="0" borderId="19" xfId="0" applyBorder="1"/>
    <xf numFmtId="169" fontId="7" fillId="10" borderId="1" xfId="1" applyNumberFormat="1" applyFont="1" applyFill="1" applyBorder="1"/>
    <xf numFmtId="0" fontId="20" fillId="14" borderId="1" xfId="0" applyFont="1" applyFill="1" applyBorder="1"/>
    <xf numFmtId="165" fontId="20" fillId="14" borderId="1" xfId="2" applyFont="1" applyFill="1" applyBorder="1"/>
    <xf numFmtId="165" fontId="21" fillId="11" borderId="1" xfId="0" applyNumberFormat="1" applyFont="1" applyFill="1" applyBorder="1"/>
    <xf numFmtId="165" fontId="22" fillId="2" borderId="1" xfId="2" applyFont="1" applyFill="1" applyBorder="1"/>
    <xf numFmtId="165" fontId="22" fillId="11" borderId="1" xfId="2" applyFont="1" applyFill="1" applyBorder="1"/>
    <xf numFmtId="165" fontId="22" fillId="3" borderId="1" xfId="3" applyNumberFormat="1" applyFont="1" applyFill="1" applyBorder="1"/>
    <xf numFmtId="0" fontId="7" fillId="16" borderId="1" xfId="0" applyFont="1" applyFill="1" applyBorder="1"/>
    <xf numFmtId="165" fontId="7" fillId="16" borderId="1" xfId="2" applyFont="1" applyFill="1" applyBorder="1"/>
    <xf numFmtId="0" fontId="8" fillId="17" borderId="0" xfId="0" applyFont="1" applyFill="1"/>
    <xf numFmtId="0" fontId="1" fillId="0" borderId="1" xfId="0" applyFont="1" applyBorder="1" applyAlignment="1">
      <alignment horizontal="right"/>
    </xf>
    <xf numFmtId="9" fontId="1" fillId="0" borderId="1" xfId="3" applyFont="1" applyBorder="1"/>
    <xf numFmtId="0" fontId="2" fillId="10" borderId="5" xfId="0" applyFont="1" applyFill="1" applyBorder="1" applyAlignment="1">
      <alignment horizontal="right"/>
    </xf>
    <xf numFmtId="10" fontId="2" fillId="10" borderId="0" xfId="3" applyNumberFormat="1" applyFont="1" applyFill="1"/>
    <xf numFmtId="165" fontId="5" fillId="0" borderId="25" xfId="2" applyFont="1" applyBorder="1"/>
    <xf numFmtId="0" fontId="0" fillId="0" borderId="5" xfId="0" applyBorder="1" applyAlignment="1">
      <alignment horizontal="left" indent="1"/>
    </xf>
    <xf numFmtId="168" fontId="5" fillId="0" borderId="8" xfId="2" applyNumberFormat="1" applyFont="1" applyFill="1" applyBorder="1"/>
    <xf numFmtId="168" fontId="2" fillId="14" borderId="1" xfId="2" applyNumberFormat="1" applyFont="1" applyFill="1" applyBorder="1"/>
    <xf numFmtId="166" fontId="2" fillId="13" borderId="1" xfId="1" applyFont="1" applyFill="1" applyBorder="1"/>
    <xf numFmtId="10" fontId="2" fillId="3" borderId="1" xfId="0" applyNumberFormat="1" applyFont="1" applyFill="1" applyBorder="1"/>
    <xf numFmtId="166" fontId="2" fillId="0" borderId="1" xfId="1" applyFont="1" applyBorder="1"/>
    <xf numFmtId="165" fontId="2" fillId="0" borderId="1" xfId="2" applyFont="1" applyBorder="1"/>
    <xf numFmtId="165" fontId="2" fillId="2" borderId="1" xfId="2" applyFont="1" applyFill="1" applyBorder="1"/>
    <xf numFmtId="0" fontId="1" fillId="0" borderId="1" xfId="0" applyFont="1" applyBorder="1"/>
    <xf numFmtId="165" fontId="1" fillId="0" borderId="1" xfId="2" applyFont="1" applyBorder="1"/>
    <xf numFmtId="3" fontId="2" fillId="13" borderId="1" xfId="0" applyNumberFormat="1" applyFont="1" applyFill="1" applyBorder="1"/>
    <xf numFmtId="168" fontId="2" fillId="0" borderId="1" xfId="2" applyNumberFormat="1" applyFont="1" applyBorder="1"/>
    <xf numFmtId="167" fontId="2" fillId="0" borderId="0" xfId="0" applyNumberFormat="1" applyFont="1"/>
    <xf numFmtId="0" fontId="1" fillId="0" borderId="24" xfId="0" applyFont="1" applyBorder="1"/>
    <xf numFmtId="0" fontId="1" fillId="0" borderId="30" xfId="0" applyFont="1" applyBorder="1"/>
    <xf numFmtId="10" fontId="1" fillId="0" borderId="19" xfId="3" applyNumberFormat="1" applyFont="1" applyBorder="1"/>
    <xf numFmtId="168" fontId="2" fillId="14" borderId="13" xfId="2" applyNumberFormat="1" applyFont="1" applyFill="1" applyBorder="1"/>
    <xf numFmtId="17" fontId="1" fillId="0" borderId="31" xfId="0" applyNumberFormat="1" applyFont="1" applyBorder="1"/>
    <xf numFmtId="0" fontId="8" fillId="0" borderId="0" xfId="0" applyFont="1"/>
    <xf numFmtId="165" fontId="8" fillId="12" borderId="1" xfId="2" applyFont="1" applyFill="1" applyBorder="1"/>
    <xf numFmtId="9" fontId="7" fillId="12" borderId="1" xfId="3" applyFont="1" applyFill="1" applyBorder="1"/>
    <xf numFmtId="10" fontId="8" fillId="12" borderId="1" xfId="3" applyNumberFormat="1" applyFont="1" applyFill="1" applyBorder="1"/>
    <xf numFmtId="168" fontId="7" fillId="4" borderId="1" xfId="2" applyNumberFormat="1" applyFont="1" applyFill="1" applyBorder="1"/>
    <xf numFmtId="2" fontId="7" fillId="4" borderId="1" xfId="0" applyNumberFormat="1" applyFont="1" applyFill="1" applyBorder="1"/>
    <xf numFmtId="0" fontId="7" fillId="2" borderId="1" xfId="0" applyFont="1" applyFill="1" applyBorder="1"/>
    <xf numFmtId="0" fontId="8" fillId="13" borderId="1" xfId="0" applyFont="1" applyFill="1" applyBorder="1"/>
    <xf numFmtId="0" fontId="5" fillId="0" borderId="3" xfId="0" applyFont="1" applyBorder="1" applyAlignment="1">
      <alignment horizontal="left" indent="2"/>
    </xf>
    <xf numFmtId="169" fontId="8" fillId="12" borderId="0" xfId="1" applyNumberFormat="1" applyFont="1" applyFill="1" applyBorder="1"/>
    <xf numFmtId="0" fontId="5" fillId="0" borderId="1" xfId="0" applyFont="1" applyBorder="1" applyAlignment="1">
      <alignment horizontal="left" wrapText="1" indent="1"/>
    </xf>
    <xf numFmtId="2" fontId="7" fillId="13" borderId="1" xfId="0" applyNumberFormat="1" applyFont="1" applyFill="1" applyBorder="1"/>
    <xf numFmtId="0" fontId="0" fillId="0" borderId="0" xfId="0" applyAlignment="1">
      <alignment horizontal="left" indent="2"/>
    </xf>
    <xf numFmtId="165" fontId="0" fillId="0" borderId="16" xfId="2" applyFont="1" applyFill="1" applyBorder="1"/>
    <xf numFmtId="0" fontId="6" fillId="12" borderId="0" xfId="0" applyFont="1" applyFill="1" applyAlignment="1">
      <alignment horizontal="center"/>
    </xf>
    <xf numFmtId="165" fontId="7" fillId="12" borderId="1" xfId="2" applyFont="1" applyFill="1" applyBorder="1"/>
    <xf numFmtId="0" fontId="0" fillId="12" borderId="0" xfId="0" applyFill="1"/>
    <xf numFmtId="168" fontId="8" fillId="12" borderId="0" xfId="2" applyNumberFormat="1" applyFont="1" applyFill="1" applyBorder="1"/>
    <xf numFmtId="2" fontId="7" fillId="12" borderId="1" xfId="0" applyNumberFormat="1" applyFont="1" applyFill="1" applyBorder="1"/>
    <xf numFmtId="168" fontId="7" fillId="12" borderId="1" xfId="0" applyNumberFormat="1" applyFont="1" applyFill="1" applyBorder="1"/>
    <xf numFmtId="165" fontId="8" fillId="12" borderId="1" xfId="3" applyNumberFormat="1" applyFont="1" applyFill="1" applyBorder="1"/>
    <xf numFmtId="0" fontId="7" fillId="12" borderId="1" xfId="0" applyFont="1" applyFill="1" applyBorder="1"/>
    <xf numFmtId="0" fontId="10" fillId="12" borderId="1" xfId="0" applyFont="1" applyFill="1" applyBorder="1"/>
    <xf numFmtId="0" fontId="0" fillId="12" borderId="1" xfId="0" applyFill="1" applyBorder="1"/>
    <xf numFmtId="9" fontId="11" fillId="12" borderId="1" xfId="3" applyFont="1" applyFill="1" applyBorder="1"/>
    <xf numFmtId="9" fontId="19" fillId="12" borderId="0" xfId="3" applyFont="1" applyFill="1"/>
    <xf numFmtId="0" fontId="5" fillId="12" borderId="17" xfId="0" applyFont="1" applyFill="1" applyBorder="1"/>
    <xf numFmtId="165" fontId="0" fillId="12" borderId="18" xfId="2" applyFont="1" applyFill="1" applyBorder="1"/>
    <xf numFmtId="165" fontId="0" fillId="12" borderId="19" xfId="2" applyFont="1" applyFill="1" applyBorder="1"/>
    <xf numFmtId="165" fontId="0" fillId="12" borderId="1" xfId="2" applyFont="1" applyFill="1" applyBorder="1"/>
    <xf numFmtId="165" fontId="5" fillId="12" borderId="20" xfId="2" applyFont="1" applyFill="1" applyBorder="1"/>
    <xf numFmtId="165" fontId="0" fillId="12" borderId="21" xfId="2" applyFont="1" applyFill="1" applyBorder="1"/>
    <xf numFmtId="165" fontId="0" fillId="12" borderId="20" xfId="2" applyFont="1" applyFill="1" applyBorder="1"/>
    <xf numFmtId="165" fontId="0" fillId="12" borderId="28" xfId="2" applyFont="1" applyFill="1" applyBorder="1"/>
    <xf numFmtId="165" fontId="5" fillId="12" borderId="9" xfId="2" applyFont="1" applyFill="1" applyBorder="1"/>
    <xf numFmtId="165" fontId="0" fillId="12" borderId="0" xfId="2" applyFont="1" applyFill="1" applyBorder="1"/>
    <xf numFmtId="165" fontId="0" fillId="12" borderId="22" xfId="2" applyFont="1" applyFill="1" applyBorder="1"/>
    <xf numFmtId="165" fontId="5" fillId="12" borderId="1" xfId="2" applyFont="1" applyFill="1" applyBorder="1"/>
    <xf numFmtId="168" fontId="0" fillId="12" borderId="19" xfId="2" applyNumberFormat="1" applyFont="1" applyFill="1" applyBorder="1"/>
    <xf numFmtId="0" fontId="0" fillId="12" borderId="22" xfId="0" applyFill="1" applyBorder="1"/>
    <xf numFmtId="0" fontId="0" fillId="12" borderId="19" xfId="0" applyFill="1" applyBorder="1"/>
    <xf numFmtId="165" fontId="13" fillId="0" borderId="24" xfId="2" applyFont="1" applyBorder="1"/>
    <xf numFmtId="2" fontId="5" fillId="0" borderId="1" xfId="2" applyNumberFormat="1" applyFont="1" applyFill="1" applyBorder="1"/>
    <xf numFmtId="0" fontId="12" fillId="0" borderId="0" xfId="0" applyFont="1"/>
    <xf numFmtId="0" fontId="19" fillId="0" borderId="0" xfId="0" applyFont="1"/>
    <xf numFmtId="0" fontId="19" fillId="6" borderId="1" xfId="0" applyFont="1" applyFill="1" applyBorder="1"/>
    <xf numFmtId="165" fontId="19" fillId="6" borderId="1" xfId="2" applyFont="1" applyFill="1" applyBorder="1"/>
    <xf numFmtId="0" fontId="19" fillId="7" borderId="1" xfId="0" applyFont="1" applyFill="1" applyBorder="1"/>
    <xf numFmtId="165" fontId="19" fillId="7" borderId="1" xfId="2" applyFont="1" applyFill="1" applyBorder="1"/>
    <xf numFmtId="0" fontId="19" fillId="20" borderId="1" xfId="0" applyFont="1" applyFill="1" applyBorder="1"/>
    <xf numFmtId="165" fontId="19" fillId="20" borderId="1" xfId="2" applyFont="1" applyFill="1" applyBorder="1"/>
    <xf numFmtId="0" fontId="19" fillId="20" borderId="0" xfId="0" applyFont="1" applyFill="1"/>
    <xf numFmtId="165" fontId="19" fillId="20" borderId="0" xfId="2" applyFont="1" applyFill="1" applyBorder="1"/>
    <xf numFmtId="3" fontId="19" fillId="0" borderId="0" xfId="0" applyNumberFormat="1" applyFont="1"/>
    <xf numFmtId="0" fontId="19" fillId="10" borderId="1" xfId="0" applyFont="1" applyFill="1" applyBorder="1"/>
    <xf numFmtId="165" fontId="19" fillId="10" borderId="1" xfId="2" applyFont="1" applyFill="1" applyBorder="1"/>
    <xf numFmtId="0" fontId="19" fillId="11" borderId="1" xfId="0" applyFont="1" applyFill="1" applyBorder="1"/>
    <xf numFmtId="165" fontId="19" fillId="11" borderId="1" xfId="2" applyFont="1" applyFill="1" applyBorder="1"/>
    <xf numFmtId="0" fontId="19" fillId="3" borderId="1" xfId="0" applyFont="1" applyFill="1" applyBorder="1"/>
    <xf numFmtId="165" fontId="19" fillId="3" borderId="1" xfId="2" applyFont="1" applyFill="1" applyBorder="1"/>
    <xf numFmtId="168" fontId="19" fillId="3" borderId="1" xfId="2" applyNumberFormat="1" applyFont="1" applyFill="1" applyBorder="1"/>
    <xf numFmtId="0" fontId="19" fillId="15" borderId="1" xfId="0" applyFont="1" applyFill="1" applyBorder="1"/>
    <xf numFmtId="168" fontId="19" fillId="15" borderId="1" xfId="2" applyNumberFormat="1" applyFont="1" applyFill="1" applyBorder="1"/>
    <xf numFmtId="168" fontId="19" fillId="15" borderId="5" xfId="2" applyNumberFormat="1" applyFont="1" applyFill="1" applyBorder="1"/>
    <xf numFmtId="9" fontId="19" fillId="15" borderId="1" xfId="3" applyFont="1" applyFill="1" applyBorder="1"/>
    <xf numFmtId="0" fontId="19" fillId="19" borderId="0" xfId="0" applyFont="1" applyFill="1"/>
    <xf numFmtId="0" fontId="12" fillId="7" borderId="0" xfId="0" applyFont="1" applyFill="1"/>
    <xf numFmtId="9" fontId="12" fillId="7" borderId="0" xfId="3" applyFont="1" applyFill="1"/>
    <xf numFmtId="9" fontId="19" fillId="0" borderId="0" xfId="0" applyNumberFormat="1" applyFont="1"/>
    <xf numFmtId="10" fontId="19" fillId="0" borderId="0" xfId="0" applyNumberFormat="1" applyFont="1"/>
    <xf numFmtId="0" fontId="12" fillId="19" borderId="0" xfId="0" applyFont="1" applyFill="1"/>
    <xf numFmtId="165" fontId="19" fillId="0" borderId="0" xfId="2" applyFont="1"/>
    <xf numFmtId="174" fontId="19" fillId="0" borderId="0" xfId="3" applyNumberFormat="1" applyFont="1"/>
    <xf numFmtId="175" fontId="5" fillId="0" borderId="1" xfId="2" applyNumberFormat="1" applyFont="1" applyBorder="1"/>
    <xf numFmtId="175" fontId="5" fillId="0" borderId="1" xfId="2" applyNumberFormat="1" applyFont="1" applyFill="1" applyBorder="1"/>
    <xf numFmtId="0" fontId="2" fillId="0" borderId="33" xfId="0" applyFont="1" applyBorder="1"/>
    <xf numFmtId="14" fontId="2" fillId="0" borderId="24" xfId="0" applyNumberFormat="1" applyFont="1" applyBorder="1"/>
    <xf numFmtId="0" fontId="0" fillId="0" borderId="28" xfId="0" applyBorder="1"/>
    <xf numFmtId="0" fontId="19" fillId="0" borderId="32" xfId="0" applyFont="1" applyBorder="1"/>
    <xf numFmtId="0" fontId="19" fillId="0" borderId="21" xfId="0" applyFont="1" applyBorder="1"/>
    <xf numFmtId="0" fontId="19" fillId="0" borderId="34" xfId="0" applyFont="1" applyBorder="1"/>
    <xf numFmtId="0" fontId="26" fillId="0" borderId="22" xfId="0" applyFont="1" applyBorder="1"/>
    <xf numFmtId="14" fontId="19" fillId="0" borderId="34" xfId="0" applyNumberFormat="1" applyFont="1" applyBorder="1"/>
    <xf numFmtId="176" fontId="26" fillId="0" borderId="22" xfId="0" applyNumberFormat="1" applyFont="1" applyBorder="1"/>
    <xf numFmtId="176" fontId="27" fillId="0" borderId="22" xfId="0" applyNumberFormat="1" applyFont="1" applyBorder="1"/>
    <xf numFmtId="14" fontId="19" fillId="0" borderId="0" xfId="0" applyNumberFormat="1" applyFont="1"/>
    <xf numFmtId="176" fontId="26" fillId="0" borderId="0" xfId="0" applyNumberFormat="1" applyFont="1"/>
    <xf numFmtId="0" fontId="27" fillId="0" borderId="22" xfId="0" applyFont="1" applyBorder="1"/>
    <xf numFmtId="0" fontId="2" fillId="14" borderId="1" xfId="0" applyFont="1" applyFill="1" applyBorder="1"/>
    <xf numFmtId="0" fontId="14" fillId="0" borderId="25" xfId="0" applyFont="1" applyBorder="1"/>
    <xf numFmtId="172" fontId="19" fillId="0" borderId="5" xfId="0" applyNumberFormat="1" applyFont="1" applyBorder="1"/>
    <xf numFmtId="0" fontId="0" fillId="0" borderId="13" xfId="0" applyBorder="1"/>
    <xf numFmtId="0" fontId="0" fillId="0" borderId="25" xfId="0" applyBorder="1"/>
    <xf numFmtId="165" fontId="2" fillId="0" borderId="0" xfId="2" applyFont="1" applyFill="1"/>
    <xf numFmtId="0" fontId="2" fillId="0" borderId="21" xfId="0" applyFont="1" applyBorder="1"/>
    <xf numFmtId="10" fontId="2" fillId="0" borderId="0" xfId="3" applyNumberFormat="1" applyFont="1" applyBorder="1"/>
    <xf numFmtId="0" fontId="2" fillId="0" borderId="11" xfId="0" applyFont="1" applyBorder="1"/>
    <xf numFmtId="0" fontId="1" fillId="0" borderId="38" xfId="0" applyFont="1" applyBorder="1"/>
    <xf numFmtId="177" fontId="2" fillId="0" borderId="38" xfId="2" applyNumberFormat="1" applyFont="1" applyBorder="1"/>
    <xf numFmtId="10" fontId="2" fillId="0" borderId="11" xfId="3" applyNumberFormat="1" applyFont="1" applyBorder="1"/>
    <xf numFmtId="177" fontId="2" fillId="0" borderId="38" xfId="0" applyNumberFormat="1" applyFont="1" applyBorder="1"/>
    <xf numFmtId="0" fontId="28" fillId="0" borderId="0" xfId="0" applyFont="1"/>
    <xf numFmtId="165" fontId="28" fillId="0" borderId="0" xfId="2" applyFont="1" applyFill="1"/>
    <xf numFmtId="177" fontId="28" fillId="0" borderId="38" xfId="0" applyNumberFormat="1" applyFont="1" applyBorder="1"/>
    <xf numFmtId="0" fontId="28" fillId="0" borderId="21" xfId="0" applyFont="1" applyBorder="1"/>
    <xf numFmtId="10" fontId="28" fillId="0" borderId="11" xfId="3" applyNumberFormat="1" applyFont="1" applyBorder="1"/>
    <xf numFmtId="10" fontId="28" fillId="0" borderId="0" xfId="3" applyNumberFormat="1" applyFont="1" applyBorder="1"/>
    <xf numFmtId="0" fontId="29" fillId="0" borderId="25" xfId="0" applyFont="1" applyBorder="1"/>
    <xf numFmtId="0" fontId="5" fillId="0" borderId="25" xfId="0" applyFont="1" applyBorder="1"/>
    <xf numFmtId="172" fontId="7" fillId="0" borderId="5" xfId="0" applyNumberFormat="1" applyFont="1" applyBorder="1"/>
    <xf numFmtId="9" fontId="2" fillId="14" borderId="1" xfId="0" applyNumberFormat="1" applyFont="1" applyFill="1" applyBorder="1"/>
    <xf numFmtId="9" fontId="2" fillId="0" borderId="1" xfId="0" applyNumberFormat="1" applyFont="1" applyBorder="1"/>
    <xf numFmtId="0" fontId="2" fillId="0" borderId="3" xfId="0" applyFont="1" applyBorder="1"/>
    <xf numFmtId="0" fontId="2" fillId="0" borderId="8" xfId="0" applyFont="1" applyBorder="1"/>
    <xf numFmtId="0" fontId="2" fillId="14" borderId="0" xfId="0" applyFont="1" applyFill="1"/>
    <xf numFmtId="9" fontId="7" fillId="15" borderId="1" xfId="3" applyFont="1" applyFill="1" applyBorder="1"/>
    <xf numFmtId="9" fontId="7" fillId="16" borderId="1" xfId="3" applyFont="1" applyFill="1" applyBorder="1"/>
    <xf numFmtId="0" fontId="7" fillId="10" borderId="0" xfId="0" applyFont="1" applyFill="1"/>
    <xf numFmtId="9" fontId="7" fillId="10" borderId="0" xfId="3" applyFont="1" applyFill="1" applyBorder="1"/>
    <xf numFmtId="165" fontId="3" fillId="0" borderId="24" xfId="2" applyFont="1" applyBorder="1"/>
    <xf numFmtId="0" fontId="0" fillId="0" borderId="1" xfId="0" applyBorder="1"/>
    <xf numFmtId="3" fontId="13" fillId="0" borderId="0" xfId="0" applyNumberFormat="1" applyFont="1" applyAlignment="1">
      <alignment horizontal="right" vertical="center" wrapText="1"/>
    </xf>
    <xf numFmtId="3" fontId="13" fillId="0" borderId="1" xfId="0" applyNumberFormat="1" applyFont="1" applyBorder="1" applyAlignment="1">
      <alignment horizontal="right" vertical="center" wrapText="1"/>
    </xf>
    <xf numFmtId="3" fontId="13" fillId="0" borderId="1" xfId="0" applyNumberFormat="1" applyFont="1" applyBorder="1" applyAlignment="1">
      <alignment vertical="center" wrapText="1"/>
    </xf>
    <xf numFmtId="165" fontId="30" fillId="0" borderId="1" xfId="0" applyNumberFormat="1" applyFont="1" applyBorder="1"/>
    <xf numFmtId="165" fontId="30" fillId="0" borderId="19" xfId="0" applyNumberFormat="1" applyFont="1" applyBorder="1"/>
    <xf numFmtId="3" fontId="30" fillId="0" borderId="0" xfId="0" applyNumberFormat="1" applyFont="1"/>
    <xf numFmtId="165" fontId="30" fillId="0" borderId="8" xfId="0" applyNumberFormat="1" applyFont="1" applyBorder="1"/>
    <xf numFmtId="168" fontId="7" fillId="0" borderId="5" xfId="2" applyNumberFormat="1" applyFont="1" applyBorder="1"/>
    <xf numFmtId="165" fontId="4" fillId="0" borderId="1" xfId="2" applyFont="1" applyFill="1" applyBorder="1"/>
    <xf numFmtId="10" fontId="2" fillId="0" borderId="11" xfId="3" applyNumberFormat="1" applyFont="1" applyFill="1" applyBorder="1"/>
    <xf numFmtId="10" fontId="2" fillId="0" borderId="0" xfId="0" applyNumberFormat="1" applyFont="1"/>
    <xf numFmtId="10" fontId="2" fillId="3" borderId="0" xfId="0" applyNumberFormat="1" applyFont="1" applyFill="1"/>
    <xf numFmtId="10" fontId="28" fillId="3" borderId="0" xfId="2" applyNumberFormat="1" applyFont="1" applyFill="1"/>
    <xf numFmtId="10" fontId="2" fillId="2" borderId="0" xfId="2" applyNumberFormat="1" applyFont="1" applyFill="1"/>
    <xf numFmtId="10" fontId="2" fillId="2" borderId="0" xfId="0" applyNumberFormat="1" applyFont="1" applyFill="1"/>
    <xf numFmtId="10" fontId="2" fillId="13" borderId="0" xfId="0" applyNumberFormat="1" applyFont="1" applyFill="1"/>
    <xf numFmtId="10" fontId="2" fillId="13" borderId="0" xfId="2" applyNumberFormat="1" applyFont="1" applyFill="1"/>
    <xf numFmtId="179" fontId="2" fillId="0" borderId="0" xfId="0" applyNumberFormat="1" applyFont="1"/>
    <xf numFmtId="179" fontId="19" fillId="0" borderId="32" xfId="0" applyNumberFormat="1" applyFont="1" applyBorder="1"/>
    <xf numFmtId="180" fontId="2" fillId="0" borderId="0" xfId="0" applyNumberFormat="1" applyFont="1"/>
    <xf numFmtId="180" fontId="2" fillId="0" borderId="0" xfId="2" applyNumberFormat="1" applyFont="1" applyFill="1"/>
    <xf numFmtId="180" fontId="2" fillId="14" borderId="0" xfId="2" applyNumberFormat="1" applyFont="1" applyFill="1"/>
    <xf numFmtId="180" fontId="28" fillId="0" borderId="0" xfId="2" applyNumberFormat="1" applyFont="1" applyFill="1"/>
    <xf numFmtId="0" fontId="34" fillId="0" borderId="0" xfId="0" applyFont="1"/>
    <xf numFmtId="176" fontId="0" fillId="0" borderId="0" xfId="0" applyNumberFormat="1"/>
    <xf numFmtId="10" fontId="2" fillId="3" borderId="0" xfId="2" applyNumberFormat="1" applyFont="1" applyFill="1"/>
    <xf numFmtId="180" fontId="2" fillId="14" borderId="0" xfId="0" applyNumberFormat="1" applyFont="1" applyFill="1"/>
    <xf numFmtId="165" fontId="13" fillId="0" borderId="13" xfId="2" applyFont="1" applyBorder="1"/>
    <xf numFmtId="0" fontId="6" fillId="0" borderId="19" xfId="0" applyFont="1" applyBorder="1" applyAlignment="1">
      <alignment horizontal="center"/>
    </xf>
    <xf numFmtId="165" fontId="7" fillId="4" borderId="19" xfId="2" applyFont="1" applyFill="1" applyBorder="1"/>
    <xf numFmtId="165" fontId="7" fillId="5" borderId="19" xfId="2" applyFont="1" applyFill="1" applyBorder="1"/>
    <xf numFmtId="165" fontId="8" fillId="6" borderId="19" xfId="2" applyFont="1" applyFill="1" applyBorder="1"/>
    <xf numFmtId="165" fontId="7" fillId="7" borderId="19" xfId="2" applyFont="1" applyFill="1" applyBorder="1"/>
    <xf numFmtId="165" fontId="8" fillId="8" borderId="19" xfId="2" applyFont="1" applyFill="1" applyBorder="1"/>
    <xf numFmtId="165" fontId="8" fillId="9" borderId="19" xfId="2" applyFont="1" applyFill="1" applyBorder="1"/>
    <xf numFmtId="165" fontId="8" fillId="5" borderId="19" xfId="2" applyFont="1" applyFill="1" applyBorder="1"/>
    <xf numFmtId="165" fontId="7" fillId="14" borderId="19" xfId="2" applyFont="1" applyFill="1" applyBorder="1"/>
    <xf numFmtId="165" fontId="7" fillId="2" borderId="19" xfId="0" applyNumberFormat="1" applyFont="1" applyFill="1" applyBorder="1"/>
    <xf numFmtId="168" fontId="7" fillId="10" borderId="19" xfId="2" applyNumberFormat="1" applyFont="1" applyFill="1" applyBorder="1"/>
    <xf numFmtId="9" fontId="7" fillId="8" borderId="19" xfId="3" applyFont="1" applyFill="1" applyBorder="1"/>
    <xf numFmtId="165" fontId="7" fillId="3" borderId="19" xfId="2" applyFont="1" applyFill="1" applyBorder="1"/>
    <xf numFmtId="165" fontId="8" fillId="2" borderId="19" xfId="2" applyFont="1" applyFill="1" applyBorder="1"/>
    <xf numFmtId="9" fontId="7" fillId="3" borderId="19" xfId="3" applyFont="1" applyFill="1" applyBorder="1"/>
    <xf numFmtId="165" fontId="8" fillId="11" borderId="19" xfId="2" applyFont="1" applyFill="1" applyBorder="1"/>
    <xf numFmtId="9" fontId="7" fillId="10" borderId="19" xfId="3" applyFont="1" applyFill="1" applyBorder="1"/>
    <xf numFmtId="165" fontId="7" fillId="13" borderId="19" xfId="0" applyNumberFormat="1" applyFont="1" applyFill="1" applyBorder="1"/>
    <xf numFmtId="10" fontId="8" fillId="3" borderId="19" xfId="3" applyNumberFormat="1" applyFont="1" applyFill="1" applyBorder="1"/>
    <xf numFmtId="165" fontId="8" fillId="3" borderId="19" xfId="3" applyNumberFormat="1" applyFont="1" applyFill="1" applyBorder="1"/>
    <xf numFmtId="0" fontId="7" fillId="0" borderId="19" xfId="0" applyFont="1" applyBorder="1"/>
    <xf numFmtId="0" fontId="0" fillId="14" borderId="19" xfId="0" applyFill="1" applyBorder="1"/>
    <xf numFmtId="9" fontId="11" fillId="0" borderId="19" xfId="3" applyFont="1" applyBorder="1"/>
    <xf numFmtId="0" fontId="12" fillId="0" borderId="18" xfId="0" applyFont="1" applyBorder="1" applyAlignment="1">
      <alignment horizontal="center"/>
    </xf>
    <xf numFmtId="165" fontId="5" fillId="0" borderId="22" xfId="2" applyFont="1" applyBorder="1"/>
    <xf numFmtId="165" fontId="13" fillId="0" borderId="19" xfId="2" applyFont="1" applyBorder="1"/>
    <xf numFmtId="165" fontId="13" fillId="0" borderId="22" xfId="2" applyFont="1" applyBorder="1"/>
    <xf numFmtId="165" fontId="4" fillId="0" borderId="19" xfId="2" applyFont="1" applyBorder="1"/>
    <xf numFmtId="0" fontId="0" fillId="0" borderId="53" xfId="0" applyBorder="1"/>
    <xf numFmtId="0" fontId="6" fillId="0" borderId="8" xfId="0" applyFont="1" applyBorder="1" applyAlignment="1">
      <alignment horizontal="center"/>
    </xf>
    <xf numFmtId="165" fontId="7" fillId="4" borderId="8" xfId="2" applyFont="1" applyFill="1" applyBorder="1"/>
    <xf numFmtId="165" fontId="7" fillId="5" borderId="8" xfId="2" applyFont="1" applyFill="1" applyBorder="1"/>
    <xf numFmtId="165" fontId="8" fillId="6" borderId="8" xfId="2" applyFont="1" applyFill="1" applyBorder="1"/>
    <xf numFmtId="165" fontId="7" fillId="7" borderId="8" xfId="2" applyFont="1" applyFill="1" applyBorder="1"/>
    <xf numFmtId="165" fontId="8" fillId="8" borderId="8" xfId="2" applyFont="1" applyFill="1" applyBorder="1"/>
    <xf numFmtId="165" fontId="8" fillId="9" borderId="8" xfId="2" applyFont="1" applyFill="1" applyBorder="1"/>
    <xf numFmtId="165" fontId="8" fillId="5" borderId="8" xfId="2" applyFont="1" applyFill="1" applyBorder="1"/>
    <xf numFmtId="165" fontId="7" fillId="14" borderId="8" xfId="2" applyFont="1" applyFill="1" applyBorder="1"/>
    <xf numFmtId="168" fontId="8" fillId="9" borderId="53" xfId="2" applyNumberFormat="1" applyFont="1" applyFill="1" applyBorder="1"/>
    <xf numFmtId="168" fontId="8" fillId="5" borderId="53" xfId="2" applyNumberFormat="1" applyFont="1" applyFill="1" applyBorder="1"/>
    <xf numFmtId="168" fontId="8" fillId="14" borderId="53" xfId="2" applyNumberFormat="1" applyFont="1" applyFill="1" applyBorder="1"/>
    <xf numFmtId="169" fontId="8" fillId="9" borderId="53" xfId="1" applyNumberFormat="1" applyFont="1" applyFill="1" applyBorder="1"/>
    <xf numFmtId="169" fontId="8" fillId="2" borderId="53" xfId="1" applyNumberFormat="1" applyFont="1" applyFill="1" applyBorder="1"/>
    <xf numFmtId="169" fontId="8" fillId="10" borderId="53" xfId="1" applyNumberFormat="1" applyFont="1" applyFill="1" applyBorder="1"/>
    <xf numFmtId="165" fontId="7" fillId="2" borderId="8" xfId="0" applyNumberFormat="1" applyFont="1" applyFill="1" applyBorder="1"/>
    <xf numFmtId="168" fontId="7" fillId="10" borderId="8" xfId="2" applyNumberFormat="1" applyFont="1" applyFill="1" applyBorder="1"/>
    <xf numFmtId="9" fontId="7" fillId="8" borderId="8" xfId="3" applyFont="1" applyFill="1" applyBorder="1"/>
    <xf numFmtId="0" fontId="9" fillId="0" borderId="53" xfId="0" applyFont="1" applyBorder="1"/>
    <xf numFmtId="165" fontId="7" fillId="3" borderId="8" xfId="2" applyFont="1" applyFill="1" applyBorder="1"/>
    <xf numFmtId="165" fontId="8" fillId="2" borderId="8" xfId="2" applyFont="1" applyFill="1" applyBorder="1"/>
    <xf numFmtId="9" fontId="7" fillId="3" borderId="8" xfId="3" applyFont="1" applyFill="1" applyBorder="1"/>
    <xf numFmtId="165" fontId="8" fillId="11" borderId="8" xfId="2" applyFont="1" applyFill="1" applyBorder="1"/>
    <xf numFmtId="9" fontId="7" fillId="10" borderId="8" xfId="3" applyFont="1" applyFill="1" applyBorder="1"/>
    <xf numFmtId="165" fontId="7" fillId="13" borderId="8" xfId="0" applyNumberFormat="1" applyFont="1" applyFill="1" applyBorder="1"/>
    <xf numFmtId="10" fontId="8" fillId="3" borderId="8" xfId="3" applyNumberFormat="1" applyFont="1" applyFill="1" applyBorder="1"/>
    <xf numFmtId="165" fontId="8" fillId="3" borderId="8" xfId="3" applyNumberFormat="1" applyFont="1" applyFill="1" applyBorder="1"/>
    <xf numFmtId="0" fontId="7" fillId="0" borderId="8" xfId="0" applyFont="1" applyBorder="1"/>
    <xf numFmtId="0" fontId="0" fillId="14" borderId="8" xfId="0" applyFill="1" applyBorder="1"/>
    <xf numFmtId="9" fontId="7" fillId="10" borderId="53" xfId="3" applyFont="1" applyFill="1" applyBorder="1"/>
    <xf numFmtId="0" fontId="12" fillId="0" borderId="7" xfId="0" applyFont="1" applyBorder="1" applyAlignment="1">
      <alignment horizontal="center"/>
    </xf>
    <xf numFmtId="3" fontId="5" fillId="0" borderId="53" xfId="0" applyNumberFormat="1" applyFont="1" applyBorder="1"/>
    <xf numFmtId="165" fontId="13" fillId="0" borderId="8" xfId="2" applyFont="1" applyBorder="1"/>
    <xf numFmtId="165" fontId="13" fillId="0" borderId="16" xfId="2" applyFont="1" applyBorder="1"/>
    <xf numFmtId="165" fontId="4" fillId="0" borderId="8" xfId="2" applyFont="1" applyBorder="1"/>
    <xf numFmtId="165" fontId="3" fillId="0" borderId="8" xfId="2" applyFont="1" applyBorder="1"/>
    <xf numFmtId="165" fontId="3" fillId="0" borderId="19" xfId="2" applyFont="1" applyBorder="1"/>
    <xf numFmtId="168" fontId="5" fillId="0" borderId="19" xfId="2" applyNumberFormat="1" applyFont="1" applyBorder="1"/>
    <xf numFmtId="165" fontId="7" fillId="11" borderId="19" xfId="0" applyNumberFormat="1" applyFont="1" applyFill="1" applyBorder="1"/>
    <xf numFmtId="2" fontId="7" fillId="10" borderId="19" xfId="0" applyNumberFormat="1" applyFont="1" applyFill="1" applyBorder="1"/>
    <xf numFmtId="10" fontId="7" fillId="10" borderId="19" xfId="3" applyNumberFormat="1" applyFont="1" applyFill="1" applyBorder="1"/>
    <xf numFmtId="165" fontId="0" fillId="0" borderId="54" xfId="2" applyFont="1" applyBorder="1"/>
    <xf numFmtId="165" fontId="17" fillId="0" borderId="22" xfId="2" applyFont="1" applyBorder="1"/>
    <xf numFmtId="165" fontId="17" fillId="0" borderId="19" xfId="2" applyFont="1" applyBorder="1"/>
    <xf numFmtId="0" fontId="6" fillId="0" borderId="53" xfId="0" applyFont="1" applyBorder="1" applyAlignment="1">
      <alignment horizontal="center"/>
    </xf>
    <xf numFmtId="165" fontId="8" fillId="14" borderId="53" xfId="2" applyFont="1" applyFill="1" applyBorder="1"/>
    <xf numFmtId="165" fontId="7" fillId="11" borderId="8" xfId="0" applyNumberFormat="1" applyFont="1" applyFill="1" applyBorder="1"/>
    <xf numFmtId="2" fontId="7" fillId="10" borderId="8" xfId="0" applyNumberFormat="1" applyFont="1" applyFill="1" applyBorder="1"/>
    <xf numFmtId="165" fontId="0" fillId="0" borderId="55" xfId="2" applyFont="1" applyBorder="1"/>
    <xf numFmtId="165" fontId="5" fillId="0" borderId="54" xfId="2" applyFont="1" applyBorder="1"/>
    <xf numFmtId="165" fontId="5" fillId="0" borderId="56" xfId="2" applyFont="1" applyBorder="1"/>
    <xf numFmtId="165" fontId="0" fillId="0" borderId="53" xfId="2" applyFont="1" applyBorder="1"/>
    <xf numFmtId="165" fontId="0" fillId="0" borderId="57" xfId="2" applyFont="1" applyBorder="1"/>
    <xf numFmtId="165" fontId="17" fillId="0" borderId="16" xfId="2" applyFont="1" applyBorder="1"/>
    <xf numFmtId="165" fontId="17" fillId="0" borderId="8" xfId="2" applyFont="1" applyBorder="1"/>
    <xf numFmtId="165" fontId="18" fillId="0" borderId="13" xfId="2" applyFont="1" applyBorder="1"/>
    <xf numFmtId="165" fontId="7" fillId="5" borderId="19" xfId="2" applyFont="1" applyFill="1" applyBorder="1" applyAlignment="1">
      <alignment horizontal="left" indent="1"/>
    </xf>
    <xf numFmtId="170" fontId="7" fillId="13" borderId="19" xfId="0" applyNumberFormat="1" applyFont="1" applyFill="1" applyBorder="1"/>
    <xf numFmtId="170" fontId="3" fillId="0" borderId="19" xfId="2" applyNumberFormat="1" applyFont="1" applyBorder="1"/>
    <xf numFmtId="165" fontId="4" fillId="0" borderId="22" xfId="2" applyFont="1" applyBorder="1"/>
    <xf numFmtId="165" fontId="18" fillId="0" borderId="19" xfId="2" applyFont="1" applyBorder="1"/>
    <xf numFmtId="165" fontId="7" fillId="5" borderId="8" xfId="2" applyFont="1" applyFill="1" applyBorder="1" applyAlignment="1">
      <alignment horizontal="left" indent="1"/>
    </xf>
    <xf numFmtId="170" fontId="7" fillId="13" borderId="8" xfId="0" applyNumberFormat="1" applyFont="1" applyFill="1" applyBorder="1"/>
    <xf numFmtId="170" fontId="3" fillId="0" borderId="8" xfId="2" applyNumberFormat="1" applyFont="1" applyBorder="1"/>
    <xf numFmtId="165" fontId="18" fillId="0" borderId="8" xfId="2" applyFont="1" applyBorder="1"/>
    <xf numFmtId="168" fontId="7" fillId="13" borderId="19" xfId="0" applyNumberFormat="1" applyFont="1" applyFill="1" applyBorder="1"/>
    <xf numFmtId="168" fontId="7" fillId="13" borderId="8" xfId="0" applyNumberFormat="1" applyFont="1" applyFill="1" applyBorder="1"/>
    <xf numFmtId="171" fontId="0" fillId="0" borderId="53" xfId="3" applyNumberFormat="1" applyFont="1" applyBorder="1"/>
    <xf numFmtId="168" fontId="0" fillId="0" borderId="8" xfId="2" applyNumberFormat="1" applyFont="1" applyBorder="1"/>
    <xf numFmtId="165" fontId="0" fillId="0" borderId="16" xfId="2" applyFont="1" applyBorder="1"/>
    <xf numFmtId="169" fontId="7" fillId="10" borderId="19" xfId="1" applyNumberFormat="1" applyFont="1" applyFill="1" applyBorder="1"/>
    <xf numFmtId="168" fontId="5" fillId="0" borderId="54" xfId="2" applyNumberFormat="1" applyFont="1" applyBorder="1"/>
    <xf numFmtId="169" fontId="7" fillId="10" borderId="8" xfId="1" applyNumberFormat="1" applyFont="1" applyFill="1" applyBorder="1"/>
    <xf numFmtId="165" fontId="10" fillId="0" borderId="53" xfId="0" applyNumberFormat="1" applyFont="1" applyBorder="1"/>
    <xf numFmtId="0" fontId="5" fillId="0" borderId="58" xfId="0" applyFont="1" applyBorder="1"/>
    <xf numFmtId="166" fontId="19" fillId="20" borderId="0" xfId="1" applyFont="1" applyFill="1" applyBorder="1"/>
    <xf numFmtId="165" fontId="35" fillId="11" borderId="1" xfId="2" applyFont="1" applyFill="1" applyBorder="1"/>
    <xf numFmtId="165" fontId="35" fillId="3" borderId="1" xfId="2" applyFont="1" applyFill="1" applyBorder="1"/>
    <xf numFmtId="168" fontId="35" fillId="3" borderId="1" xfId="2" applyNumberFormat="1" applyFont="1" applyFill="1" applyBorder="1"/>
    <xf numFmtId="166" fontId="19" fillId="20" borderId="1" xfId="1" applyFont="1" applyFill="1" applyBorder="1"/>
    <xf numFmtId="165" fontId="0" fillId="0" borderId="30" xfId="2" applyFont="1" applyBorder="1"/>
    <xf numFmtId="168" fontId="5" fillId="0" borderId="19" xfId="2" applyNumberFormat="1" applyFont="1" applyFill="1" applyBorder="1"/>
    <xf numFmtId="3" fontId="0" fillId="0" borderId="53" xfId="0" applyNumberFormat="1" applyBorder="1"/>
    <xf numFmtId="3" fontId="4" fillId="0" borderId="0" xfId="0" applyNumberFormat="1" applyFont="1"/>
    <xf numFmtId="166" fontId="8" fillId="14" borderId="19" xfId="1" applyFont="1" applyFill="1" applyBorder="1"/>
    <xf numFmtId="0" fontId="14" fillId="14" borderId="19" xfId="0" applyFont="1" applyFill="1" applyBorder="1"/>
    <xf numFmtId="165" fontId="0" fillId="0" borderId="54" xfId="2" applyFont="1" applyFill="1" applyBorder="1"/>
    <xf numFmtId="165" fontId="5" fillId="0" borderId="19" xfId="2" applyFont="1" applyFill="1" applyBorder="1"/>
    <xf numFmtId="165" fontId="5" fillId="0" borderId="30" xfId="2" applyFont="1" applyFill="1" applyBorder="1"/>
    <xf numFmtId="165" fontId="5" fillId="0" borderId="54" xfId="2" applyFont="1" applyFill="1" applyBorder="1"/>
    <xf numFmtId="0" fontId="8" fillId="0" borderId="53" xfId="0" applyFont="1" applyBorder="1" applyAlignment="1">
      <alignment horizontal="center"/>
    </xf>
    <xf numFmtId="166" fontId="8" fillId="14" borderId="8" xfId="1" applyFont="1" applyFill="1" applyBorder="1"/>
    <xf numFmtId="0" fontId="14" fillId="14" borderId="8" xfId="0" applyFont="1" applyFill="1" applyBorder="1"/>
    <xf numFmtId="2" fontId="7" fillId="0" borderId="1" xfId="0" applyNumberFormat="1" applyFont="1" applyBorder="1"/>
    <xf numFmtId="165" fontId="0" fillId="0" borderId="21" xfId="2" applyFont="1" applyFill="1" applyBorder="1"/>
    <xf numFmtId="165" fontId="4" fillId="14" borderId="1" xfId="2" applyFont="1" applyFill="1" applyBorder="1"/>
    <xf numFmtId="167" fontId="7" fillId="13" borderId="19" xfId="0" applyNumberFormat="1" applyFont="1" applyFill="1" applyBorder="1"/>
    <xf numFmtId="167" fontId="7" fillId="13" borderId="8" xfId="0" applyNumberFormat="1" applyFont="1" applyFill="1" applyBorder="1"/>
    <xf numFmtId="165" fontId="0" fillId="0" borderId="59" xfId="2" applyFont="1" applyBorder="1"/>
    <xf numFmtId="0" fontId="0" fillId="0" borderId="54" xfId="0" applyBorder="1"/>
    <xf numFmtId="2" fontId="10" fillId="14" borderId="1" xfId="0" applyNumberFormat="1" applyFont="1" applyFill="1" applyBorder="1"/>
    <xf numFmtId="2" fontId="0" fillId="14" borderId="1" xfId="0" applyNumberFormat="1" applyFill="1" applyBorder="1"/>
    <xf numFmtId="181" fontId="0" fillId="14" borderId="1" xfId="0" applyNumberFormat="1" applyFill="1" applyBorder="1"/>
    <xf numFmtId="169" fontId="7" fillId="12" borderId="1" xfId="1" applyNumberFormat="1" applyFont="1" applyFill="1" applyBorder="1"/>
    <xf numFmtId="0" fontId="2" fillId="12" borderId="1" xfId="0" applyFont="1" applyFill="1" applyBorder="1"/>
    <xf numFmtId="9" fontId="1" fillId="12" borderId="1" xfId="3" applyFont="1" applyFill="1" applyBorder="1"/>
    <xf numFmtId="10" fontId="2" fillId="12" borderId="0" xfId="3" applyNumberFormat="1" applyFont="1" applyFill="1"/>
    <xf numFmtId="9" fontId="7" fillId="12" borderId="0" xfId="3" applyFont="1" applyFill="1" applyBorder="1"/>
    <xf numFmtId="166" fontId="7" fillId="18" borderId="1" xfId="1" applyFont="1" applyFill="1" applyBorder="1"/>
    <xf numFmtId="165" fontId="0" fillId="0" borderId="0" xfId="2" applyFont="1"/>
    <xf numFmtId="0" fontId="5" fillId="4" borderId="13" xfId="0" applyFont="1" applyFill="1" applyBorder="1"/>
    <xf numFmtId="0" fontId="5" fillId="4" borderId="1" xfId="0" applyFont="1" applyFill="1" applyBorder="1" applyAlignment="1">
      <alignment horizontal="left"/>
    </xf>
    <xf numFmtId="9" fontId="22" fillId="10" borderId="1" xfId="3" applyFont="1" applyFill="1" applyBorder="1"/>
    <xf numFmtId="167" fontId="21" fillId="13" borderId="1" xfId="0" applyNumberFormat="1" applyFont="1" applyFill="1" applyBorder="1"/>
    <xf numFmtId="10" fontId="22" fillId="3" borderId="1" xfId="3" applyNumberFormat="1" applyFont="1" applyFill="1" applyBorder="1"/>
    <xf numFmtId="166" fontId="21" fillId="14" borderId="1" xfId="1" applyFont="1" applyFill="1" applyBorder="1"/>
    <xf numFmtId="166" fontId="20" fillId="14" borderId="1" xfId="1" applyFont="1" applyFill="1" applyBorder="1"/>
    <xf numFmtId="10" fontId="28" fillId="2" borderId="0" xfId="2" applyNumberFormat="1" applyFont="1" applyFill="1"/>
    <xf numFmtId="9" fontId="11" fillId="0" borderId="24" xfId="3" applyFont="1" applyBorder="1"/>
    <xf numFmtId="9" fontId="7" fillId="0" borderId="0" xfId="3" applyFont="1" applyFill="1" applyBorder="1"/>
    <xf numFmtId="9" fontId="7" fillId="0" borderId="53" xfId="3" applyFont="1" applyFill="1" applyBorder="1"/>
    <xf numFmtId="9" fontId="2" fillId="0" borderId="0" xfId="0" applyNumberFormat="1" applyFont="1"/>
    <xf numFmtId="0" fontId="19" fillId="0" borderId="1" xfId="0" applyFont="1" applyBorder="1" applyAlignment="1">
      <alignment horizontal="right"/>
    </xf>
    <xf numFmtId="0" fontId="19" fillId="10" borderId="1" xfId="0" applyFont="1" applyFill="1" applyBorder="1" applyAlignment="1">
      <alignment horizontal="right"/>
    </xf>
    <xf numFmtId="9" fontId="11" fillId="10" borderId="1" xfId="3" applyFont="1" applyFill="1" applyBorder="1"/>
    <xf numFmtId="0" fontId="19" fillId="0" borderId="1" xfId="0" applyFont="1" applyBorder="1" applyAlignment="1">
      <alignment horizontal="left"/>
    </xf>
    <xf numFmtId="0" fontId="7" fillId="10" borderId="1" xfId="0" applyFont="1" applyFill="1" applyBorder="1" applyAlignment="1">
      <alignment horizontal="left"/>
    </xf>
    <xf numFmtId="0" fontId="7" fillId="0" borderId="0" xfId="0" applyFont="1" applyAlignment="1">
      <alignment horizontal="left"/>
    </xf>
    <xf numFmtId="0" fontId="7" fillId="10" borderId="0" xfId="0" applyFont="1" applyFill="1" applyAlignment="1">
      <alignment horizontal="left"/>
    </xf>
    <xf numFmtId="9" fontId="2" fillId="0" borderId="0" xfId="2" applyNumberFormat="1" applyFont="1" applyFill="1"/>
    <xf numFmtId="9" fontId="21" fillId="10" borderId="1" xfId="3" applyFont="1" applyFill="1" applyBorder="1"/>
    <xf numFmtId="168" fontId="21" fillId="13" borderId="1" xfId="0" applyNumberFormat="1" applyFont="1" applyFill="1" applyBorder="1"/>
    <xf numFmtId="9" fontId="21" fillId="10" borderId="0" xfId="3" applyFont="1" applyFill="1" applyBorder="1"/>
    <xf numFmtId="10" fontId="20" fillId="10" borderId="1" xfId="3" applyNumberFormat="1" applyFont="1" applyFill="1" applyBorder="1"/>
    <xf numFmtId="9" fontId="20" fillId="10" borderId="0" xfId="3" applyFont="1" applyFill="1" applyBorder="1"/>
    <xf numFmtId="9" fontId="28" fillId="0" borderId="0" xfId="3" applyFont="1" applyFill="1"/>
    <xf numFmtId="9" fontId="2" fillId="12" borderId="0" xfId="2" applyNumberFormat="1" applyFont="1" applyFill="1"/>
    <xf numFmtId="0" fontId="0" fillId="13" borderId="0" xfId="0" applyFill="1"/>
    <xf numFmtId="0" fontId="19" fillId="14" borderId="1" xfId="0" applyFont="1" applyFill="1" applyBorder="1"/>
    <xf numFmtId="165" fontId="19" fillId="14" borderId="1" xfId="2" applyFont="1" applyFill="1" applyBorder="1"/>
    <xf numFmtId="1" fontId="7" fillId="0" borderId="5" xfId="0" applyNumberFormat="1" applyFont="1" applyBorder="1"/>
    <xf numFmtId="14" fontId="0" fillId="0" borderId="24" xfId="0" applyNumberFormat="1" applyBorder="1"/>
    <xf numFmtId="0" fontId="5" fillId="33" borderId="1" xfId="0" applyFont="1" applyFill="1" applyBorder="1" applyAlignment="1">
      <alignment horizontal="left"/>
    </xf>
    <xf numFmtId="179" fontId="18" fillId="0" borderId="32" xfId="0" applyNumberFormat="1" applyFont="1" applyBorder="1"/>
    <xf numFmtId="0" fontId="0" fillId="0" borderId="21" xfId="0" applyBorder="1"/>
    <xf numFmtId="168" fontId="5" fillId="33" borderId="5" xfId="2" applyNumberFormat="1" applyFont="1" applyFill="1" applyBorder="1"/>
    <xf numFmtId="0" fontId="0" fillId="0" borderId="34" xfId="0" applyBorder="1"/>
    <xf numFmtId="0" fontId="5" fillId="0" borderId="22" xfId="0" applyFont="1" applyBorder="1"/>
    <xf numFmtId="0" fontId="0" fillId="33" borderId="13" xfId="0" applyFill="1" applyBorder="1"/>
    <xf numFmtId="0" fontId="12" fillId="0" borderId="1" xfId="0" applyFont="1" applyBorder="1" applyAlignment="1">
      <alignment horizontal="left"/>
    </xf>
    <xf numFmtId="0" fontId="12" fillId="0" borderId="1" xfId="0" applyFont="1" applyBorder="1" applyAlignment="1">
      <alignment horizontal="center"/>
    </xf>
    <xf numFmtId="0" fontId="12" fillId="0" borderId="19" xfId="0" applyFont="1" applyBorder="1" applyAlignment="1">
      <alignment horizontal="center"/>
    </xf>
    <xf numFmtId="0" fontId="0" fillId="4" borderId="1" xfId="0" applyFill="1" applyBorder="1"/>
    <xf numFmtId="165" fontId="0" fillId="4" borderId="1" xfId="2" applyFont="1" applyFill="1" applyBorder="1"/>
    <xf numFmtId="165" fontId="0" fillId="4" borderId="19" xfId="2" applyFont="1" applyFill="1" applyBorder="1"/>
    <xf numFmtId="0" fontId="5" fillId="34" borderId="1" xfId="0" applyFont="1" applyFill="1" applyBorder="1"/>
    <xf numFmtId="165" fontId="5" fillId="34" borderId="1" xfId="2" applyFont="1" applyFill="1" applyBorder="1"/>
    <xf numFmtId="165" fontId="5" fillId="34" borderId="19" xfId="2" applyFont="1" applyFill="1" applyBorder="1"/>
    <xf numFmtId="0" fontId="0" fillId="13" borderId="1" xfId="0" applyFill="1" applyBorder="1"/>
    <xf numFmtId="165" fontId="0" fillId="13" borderId="1" xfId="2" applyFont="1" applyFill="1" applyBorder="1"/>
    <xf numFmtId="165" fontId="0" fillId="13" borderId="19" xfId="2" applyFont="1" applyFill="1" applyBorder="1"/>
    <xf numFmtId="0" fontId="0" fillId="7" borderId="0" xfId="0" applyFill="1"/>
    <xf numFmtId="0" fontId="5" fillId="7" borderId="1" xfId="0" applyFont="1" applyFill="1" applyBorder="1"/>
    <xf numFmtId="165" fontId="5" fillId="7" borderId="1" xfId="2" applyFont="1" applyFill="1" applyBorder="1"/>
    <xf numFmtId="165" fontId="5" fillId="7" borderId="19" xfId="2" applyFont="1" applyFill="1" applyBorder="1"/>
    <xf numFmtId="0" fontId="5" fillId="20" borderId="1" xfId="0" applyFont="1" applyFill="1" applyBorder="1"/>
    <xf numFmtId="165" fontId="5" fillId="20" borderId="1" xfId="2" applyFont="1" applyFill="1" applyBorder="1"/>
    <xf numFmtId="165" fontId="5" fillId="20" borderId="19" xfId="2" applyFont="1" applyFill="1" applyBorder="1"/>
    <xf numFmtId="0" fontId="0" fillId="35" borderId="1" xfId="0" applyFill="1" applyBorder="1"/>
    <xf numFmtId="182" fontId="0" fillId="35" borderId="1" xfId="2" applyNumberFormat="1" applyFont="1" applyFill="1" applyBorder="1"/>
    <xf numFmtId="182" fontId="0" fillId="35" borderId="19" xfId="2" applyNumberFormat="1" applyFont="1" applyFill="1" applyBorder="1"/>
    <xf numFmtId="0" fontId="5" fillId="20" borderId="0" xfId="0" applyFont="1" applyFill="1"/>
    <xf numFmtId="168" fontId="5" fillId="20" borderId="0" xfId="2" applyNumberFormat="1" applyFont="1" applyFill="1" applyBorder="1"/>
    <xf numFmtId="168" fontId="5" fillId="20" borderId="53" xfId="2" applyNumberFormat="1" applyFont="1" applyFill="1" applyBorder="1"/>
    <xf numFmtId="0" fontId="0" fillId="35" borderId="0" xfId="0" applyFill="1"/>
    <xf numFmtId="0" fontId="5" fillId="35" borderId="0" xfId="0" applyFont="1" applyFill="1"/>
    <xf numFmtId="168" fontId="5" fillId="35" borderId="0" xfId="2" applyNumberFormat="1" applyFont="1" applyFill="1" applyBorder="1"/>
    <xf numFmtId="168" fontId="5" fillId="35" borderId="53" xfId="2" applyNumberFormat="1" applyFont="1" applyFill="1" applyBorder="1"/>
    <xf numFmtId="169" fontId="5" fillId="20" borderId="0" xfId="1" applyNumberFormat="1" applyFont="1" applyFill="1" applyBorder="1"/>
    <xf numFmtId="169" fontId="5" fillId="20" borderId="53" xfId="1" applyNumberFormat="1" applyFont="1" applyFill="1" applyBorder="1"/>
    <xf numFmtId="0" fontId="5" fillId="2" borderId="0" xfId="0" applyFont="1" applyFill="1"/>
    <xf numFmtId="169" fontId="5" fillId="2" borderId="0" xfId="1" applyNumberFormat="1" applyFont="1" applyFill="1" applyBorder="1"/>
    <xf numFmtId="169" fontId="5" fillId="2" borderId="53" xfId="1" applyNumberFormat="1" applyFont="1" applyFill="1" applyBorder="1"/>
    <xf numFmtId="0" fontId="5" fillId="10" borderId="0" xfId="0" applyFont="1" applyFill="1"/>
    <xf numFmtId="169" fontId="5" fillId="10" borderId="0" xfId="1" applyNumberFormat="1" applyFont="1" applyFill="1" applyBorder="1"/>
    <xf numFmtId="169" fontId="5" fillId="10" borderId="53" xfId="1" applyNumberFormat="1" applyFont="1" applyFill="1" applyBorder="1"/>
    <xf numFmtId="0" fontId="0" fillId="11" borderId="1" xfId="0" applyFill="1" applyBorder="1"/>
    <xf numFmtId="165" fontId="0" fillId="11" borderId="1" xfId="0" applyNumberFormat="1" applyFill="1" applyBorder="1"/>
    <xf numFmtId="165" fontId="0" fillId="11" borderId="8" xfId="0" applyNumberFormat="1" applyFill="1" applyBorder="1"/>
    <xf numFmtId="165" fontId="0" fillId="11" borderId="19" xfId="0" applyNumberFormat="1" applyFill="1" applyBorder="1"/>
    <xf numFmtId="0" fontId="0" fillId="4" borderId="0" xfId="0" applyFill="1"/>
    <xf numFmtId="168" fontId="0" fillId="4" borderId="1" xfId="2" applyNumberFormat="1" applyFont="1" applyFill="1" applyBorder="1"/>
    <xf numFmtId="168" fontId="0" fillId="4" borderId="8" xfId="2" applyNumberFormat="1" applyFont="1" applyFill="1" applyBorder="1"/>
    <xf numFmtId="168" fontId="0" fillId="4" borderId="19" xfId="2" applyNumberFormat="1" applyFont="1" applyFill="1" applyBorder="1"/>
    <xf numFmtId="9" fontId="0" fillId="7" borderId="1" xfId="3" applyFont="1" applyFill="1" applyBorder="1"/>
    <xf numFmtId="9" fontId="0" fillId="7" borderId="8" xfId="3" applyFont="1" applyFill="1" applyBorder="1"/>
    <xf numFmtId="9" fontId="0" fillId="7" borderId="19" xfId="3" applyFont="1" applyFill="1" applyBorder="1"/>
    <xf numFmtId="0" fontId="5" fillId="0" borderId="0" xfId="0" applyFont="1"/>
    <xf numFmtId="0" fontId="5" fillId="0" borderId="53" xfId="0" applyFont="1" applyBorder="1"/>
    <xf numFmtId="0" fontId="0" fillId="3" borderId="1" xfId="0" applyFill="1" applyBorder="1"/>
    <xf numFmtId="165" fontId="0" fillId="3" borderId="1" xfId="2" applyFont="1" applyFill="1" applyBorder="1"/>
    <xf numFmtId="0" fontId="5" fillId="2" borderId="1" xfId="0" applyFont="1" applyFill="1" applyBorder="1"/>
    <xf numFmtId="165" fontId="5" fillId="2" borderId="1" xfId="2" applyFont="1" applyFill="1" applyBorder="1"/>
    <xf numFmtId="0" fontId="5" fillId="4" borderId="1" xfId="0" applyFont="1" applyFill="1" applyBorder="1"/>
    <xf numFmtId="165" fontId="5" fillId="4" borderId="1" xfId="2" applyFont="1" applyFill="1" applyBorder="1"/>
    <xf numFmtId="165" fontId="5" fillId="4" borderId="8" xfId="2" applyFont="1" applyFill="1" applyBorder="1"/>
    <xf numFmtId="165" fontId="5" fillId="4" borderId="19" xfId="2" applyFont="1" applyFill="1" applyBorder="1"/>
    <xf numFmtId="168" fontId="0" fillId="35" borderId="1" xfId="0" applyNumberFormat="1" applyFill="1" applyBorder="1"/>
    <xf numFmtId="168" fontId="0" fillId="35" borderId="8" xfId="0" applyNumberFormat="1" applyFill="1" applyBorder="1"/>
    <xf numFmtId="168" fontId="0" fillId="35" borderId="19" xfId="0" applyNumberFormat="1" applyFill="1" applyBorder="1"/>
    <xf numFmtId="0" fontId="5" fillId="3" borderId="1" xfId="0" applyFont="1" applyFill="1" applyBorder="1"/>
    <xf numFmtId="10" fontId="5" fillId="3" borderId="1" xfId="3" applyNumberFormat="1" applyFont="1" applyFill="1" applyBorder="1"/>
    <xf numFmtId="10" fontId="5" fillId="3" borderId="8" xfId="3" applyNumberFormat="1" applyFont="1" applyFill="1" applyBorder="1"/>
    <xf numFmtId="10" fontId="5" fillId="3" borderId="19" xfId="3" applyNumberFormat="1" applyFont="1" applyFill="1" applyBorder="1"/>
    <xf numFmtId="0" fontId="5" fillId="36" borderId="1" xfId="0" applyFont="1" applyFill="1" applyBorder="1"/>
    <xf numFmtId="164" fontId="5" fillId="36" borderId="1" xfId="3" applyNumberFormat="1" applyFont="1" applyFill="1" applyBorder="1"/>
    <xf numFmtId="164" fontId="5" fillId="36" borderId="8" xfId="3" applyNumberFormat="1" applyFont="1" applyFill="1" applyBorder="1"/>
    <xf numFmtId="165" fontId="5" fillId="36" borderId="19" xfId="3" applyNumberFormat="1" applyFont="1" applyFill="1" applyBorder="1"/>
    <xf numFmtId="165" fontId="5" fillId="36" borderId="1" xfId="3" applyNumberFormat="1" applyFont="1" applyFill="1" applyBorder="1"/>
    <xf numFmtId="0" fontId="0" fillId="33" borderId="0" xfId="0" applyFill="1"/>
    <xf numFmtId="0" fontId="0" fillId="33" borderId="1" xfId="0" applyFill="1" applyBorder="1"/>
    <xf numFmtId="2" fontId="0" fillId="33" borderId="1" xfId="0" applyNumberFormat="1" applyFill="1" applyBorder="1"/>
    <xf numFmtId="0" fontId="5" fillId="33" borderId="0" xfId="0" applyFont="1" applyFill="1"/>
    <xf numFmtId="0" fontId="5" fillId="33" borderId="1" xfId="0" applyFont="1" applyFill="1" applyBorder="1"/>
    <xf numFmtId="2" fontId="5" fillId="33" borderId="1" xfId="0" applyNumberFormat="1" applyFont="1" applyFill="1" applyBorder="1"/>
    <xf numFmtId="176" fontId="5" fillId="0" borderId="0" xfId="0" applyNumberFormat="1" applyFont="1"/>
    <xf numFmtId="0" fontId="0" fillId="37" borderId="1" xfId="0" applyFill="1" applyBorder="1" applyAlignment="1">
      <alignment horizontal="right"/>
    </xf>
    <xf numFmtId="2" fontId="0" fillId="37" borderId="1" xfId="0" applyNumberFormat="1" applyFill="1" applyBorder="1"/>
    <xf numFmtId="0" fontId="0" fillId="37" borderId="19" xfId="0" applyFill="1" applyBorder="1"/>
    <xf numFmtId="0" fontId="0" fillId="37" borderId="1" xfId="0" applyFill="1" applyBorder="1"/>
    <xf numFmtId="0" fontId="0" fillId="38" borderId="0" xfId="0" applyFill="1"/>
    <xf numFmtId="0" fontId="5" fillId="38" borderId="1" xfId="0" applyFont="1" applyFill="1" applyBorder="1" applyAlignment="1">
      <alignment horizontal="left"/>
    </xf>
    <xf numFmtId="9" fontId="0" fillId="38" borderId="1" xfId="3" applyFont="1" applyFill="1" applyBorder="1"/>
    <xf numFmtId="0" fontId="5" fillId="10" borderId="1" xfId="0" applyFont="1" applyFill="1" applyBorder="1" applyAlignment="1">
      <alignment horizontal="left"/>
    </xf>
    <xf numFmtId="9" fontId="0" fillId="10" borderId="1" xfId="3" applyFont="1" applyFill="1" applyBorder="1"/>
    <xf numFmtId="0" fontId="5" fillId="39" borderId="1" xfId="0" applyFont="1" applyFill="1" applyBorder="1" applyAlignment="1">
      <alignment horizontal="left"/>
    </xf>
    <xf numFmtId="9" fontId="0" fillId="39" borderId="1" xfId="3" applyFont="1" applyFill="1" applyBorder="1"/>
    <xf numFmtId="0" fontId="9" fillId="11" borderId="0" xfId="0" applyFont="1" applyFill="1"/>
    <xf numFmtId="0" fontId="9" fillId="0" borderId="2" xfId="0" applyFont="1" applyBorder="1"/>
    <xf numFmtId="0" fontId="9" fillId="0" borderId="6" xfId="0" applyFont="1" applyBorder="1" applyAlignment="1">
      <alignment horizontal="center"/>
    </xf>
    <xf numFmtId="0" fontId="9" fillId="0" borderId="7" xfId="0" applyFont="1" applyBorder="1" applyAlignment="1">
      <alignment horizontal="center"/>
    </xf>
    <xf numFmtId="0" fontId="9" fillId="0" borderId="18" xfId="0" applyFont="1" applyBorder="1" applyAlignment="1">
      <alignment horizontal="center"/>
    </xf>
    <xf numFmtId="0" fontId="0" fillId="0" borderId="1" xfId="0" applyBorder="1" applyAlignment="1">
      <alignment horizontal="left" indent="2"/>
    </xf>
    <xf numFmtId="0" fontId="5" fillId="4" borderId="4" xfId="0" applyFont="1" applyFill="1" applyBorder="1"/>
    <xf numFmtId="165" fontId="5" fillId="4" borderId="9" xfId="2" applyFont="1" applyFill="1" applyBorder="1"/>
    <xf numFmtId="165" fontId="5" fillId="4" borderId="10" xfId="2" applyFont="1" applyFill="1" applyBorder="1"/>
    <xf numFmtId="165" fontId="5" fillId="4" borderId="20" xfId="2" applyFont="1" applyFill="1" applyBorder="1"/>
    <xf numFmtId="0" fontId="5" fillId="13" borderId="4" xfId="0" applyFont="1" applyFill="1" applyBorder="1"/>
    <xf numFmtId="165" fontId="5" fillId="13" borderId="9" xfId="2" applyFont="1" applyFill="1" applyBorder="1"/>
    <xf numFmtId="165" fontId="5" fillId="13" borderId="10" xfId="2" applyFont="1" applyFill="1" applyBorder="1"/>
    <xf numFmtId="165" fontId="5" fillId="13" borderId="20" xfId="2" applyFont="1" applyFill="1" applyBorder="1"/>
    <xf numFmtId="0" fontId="5" fillId="3" borderId="4" xfId="0" applyFont="1" applyFill="1" applyBorder="1"/>
    <xf numFmtId="165" fontId="5" fillId="3" borderId="9" xfId="2" applyFont="1" applyFill="1" applyBorder="1"/>
    <xf numFmtId="165" fontId="5" fillId="3" borderId="20" xfId="2" applyFont="1" applyFill="1" applyBorder="1"/>
    <xf numFmtId="165" fontId="3" fillId="0" borderId="13" xfId="2" applyFont="1" applyBorder="1"/>
    <xf numFmtId="0" fontId="5" fillId="3" borderId="1" xfId="0" applyFont="1" applyFill="1" applyBorder="1" applyAlignment="1">
      <alignment horizontal="left"/>
    </xf>
    <xf numFmtId="165" fontId="5" fillId="3" borderId="1" xfId="2" applyFont="1" applyFill="1" applyBorder="1"/>
    <xf numFmtId="0" fontId="5" fillId="13" borderId="1" xfId="0" applyFont="1" applyFill="1" applyBorder="1"/>
    <xf numFmtId="165" fontId="5" fillId="13" borderId="1" xfId="2" applyFont="1" applyFill="1" applyBorder="1"/>
    <xf numFmtId="165" fontId="5" fillId="13" borderId="19" xfId="2" applyFont="1" applyFill="1" applyBorder="1"/>
    <xf numFmtId="168" fontId="5" fillId="4" borderId="1" xfId="2" applyNumberFormat="1" applyFont="1" applyFill="1" applyBorder="1"/>
    <xf numFmtId="0" fontId="0" fillId="0" borderId="1" xfId="0" applyBorder="1" applyAlignment="1">
      <alignment horizontal="left"/>
    </xf>
    <xf numFmtId="0" fontId="5" fillId="36" borderId="0" xfId="0" applyFont="1" applyFill="1"/>
    <xf numFmtId="165" fontId="5" fillId="36" borderId="1" xfId="2" applyFont="1" applyFill="1" applyBorder="1"/>
    <xf numFmtId="0" fontId="5" fillId="39" borderId="0" xfId="0" applyFont="1" applyFill="1" applyAlignment="1">
      <alignment horizontal="left"/>
    </xf>
    <xf numFmtId="9" fontId="0" fillId="39" borderId="0" xfId="3" applyFont="1" applyFill="1" applyBorder="1"/>
    <xf numFmtId="0" fontId="4" fillId="0" borderId="0" xfId="0" applyFont="1"/>
    <xf numFmtId="181" fontId="14" fillId="14" borderId="1" xfId="0" applyNumberFormat="1" applyFont="1" applyFill="1" applyBorder="1"/>
    <xf numFmtId="166" fontId="0" fillId="0" borderId="53" xfId="1" applyFont="1" applyBorder="1"/>
    <xf numFmtId="166" fontId="0" fillId="0" borderId="0" xfId="1" applyFont="1"/>
    <xf numFmtId="0" fontId="18" fillId="0" borderId="1" xfId="0" applyFont="1" applyBorder="1" applyAlignment="1">
      <alignment horizontal="left"/>
    </xf>
    <xf numFmtId="175" fontId="5" fillId="0" borderId="19" xfId="2" applyNumberFormat="1" applyFont="1" applyBorder="1"/>
    <xf numFmtId="175" fontId="5" fillId="0" borderId="54" xfId="2" applyNumberFormat="1" applyFont="1" applyBorder="1"/>
    <xf numFmtId="3" fontId="0" fillId="0" borderId="57" xfId="0" applyNumberFormat="1" applyBorder="1"/>
    <xf numFmtId="3" fontId="0" fillId="0" borderId="54" xfId="0" applyNumberFormat="1" applyBorder="1"/>
    <xf numFmtId="167" fontId="14" fillId="14" borderId="19" xfId="0" applyNumberFormat="1" applyFont="1" applyFill="1" applyBorder="1"/>
    <xf numFmtId="0" fontId="38" fillId="0" borderId="0" xfId="0" applyFont="1"/>
    <xf numFmtId="0" fontId="40" fillId="40" borderId="62" xfId="0" applyFont="1" applyFill="1" applyBorder="1"/>
    <xf numFmtId="0" fontId="40" fillId="40" borderId="63" xfId="0" applyFont="1" applyFill="1" applyBorder="1"/>
    <xf numFmtId="0" fontId="36" fillId="40" borderId="0" xfId="0" applyFont="1" applyFill="1" applyAlignment="1">
      <alignment vertical="center"/>
    </xf>
    <xf numFmtId="0" fontId="40" fillId="40" borderId="63" xfId="0" applyFont="1" applyFill="1" applyBorder="1" applyAlignment="1">
      <alignment horizontal="center"/>
    </xf>
    <xf numFmtId="0" fontId="38" fillId="0" borderId="64" xfId="0" applyFont="1" applyBorder="1" applyAlignment="1">
      <alignment vertical="center"/>
    </xf>
    <xf numFmtId="0" fontId="0" fillId="0" borderId="0" xfId="0" applyAlignment="1">
      <alignment vertical="center"/>
    </xf>
    <xf numFmtId="184" fontId="19" fillId="7" borderId="1" xfId="2" applyNumberFormat="1" applyFont="1" applyFill="1" applyBorder="1"/>
    <xf numFmtId="168" fontId="19" fillId="14" borderId="1" xfId="2" applyNumberFormat="1" applyFont="1" applyFill="1" applyBorder="1"/>
    <xf numFmtId="183" fontId="11" fillId="0" borderId="1" xfId="3" applyNumberFormat="1" applyFont="1" applyBorder="1"/>
    <xf numFmtId="173" fontId="0" fillId="0" borderId="0" xfId="0" applyNumberFormat="1"/>
    <xf numFmtId="43" fontId="19" fillId="20" borderId="0" xfId="2" applyNumberFormat="1" applyFont="1" applyFill="1" applyBorder="1"/>
    <xf numFmtId="184" fontId="38" fillId="0" borderId="64" xfId="0" applyNumberFormat="1" applyFont="1" applyBorder="1" applyAlignment="1">
      <alignment vertical="center"/>
    </xf>
    <xf numFmtId="2" fontId="38" fillId="0" borderId="64" xfId="0" applyNumberFormat="1" applyFont="1" applyBorder="1" applyAlignment="1">
      <alignment vertical="center"/>
    </xf>
    <xf numFmtId="9" fontId="38" fillId="0" borderId="64" xfId="0" applyNumberFormat="1" applyFont="1" applyBorder="1" applyAlignment="1">
      <alignment vertical="center"/>
    </xf>
    <xf numFmtId="171" fontId="38" fillId="0" borderId="64" xfId="0" applyNumberFormat="1" applyFont="1" applyBorder="1" applyAlignment="1">
      <alignment vertical="center"/>
    </xf>
    <xf numFmtId="10" fontId="38" fillId="0" borderId="64" xfId="0" applyNumberFormat="1" applyFont="1" applyBorder="1" applyAlignment="1">
      <alignment vertical="center"/>
    </xf>
    <xf numFmtId="0" fontId="40" fillId="40" borderId="62" xfId="0" applyFont="1" applyFill="1" applyBorder="1" applyAlignment="1">
      <alignment wrapText="1"/>
    </xf>
    <xf numFmtId="0" fontId="38" fillId="0" borderId="0" xfId="0" applyFont="1" applyAlignment="1">
      <alignment vertical="center"/>
    </xf>
    <xf numFmtId="184" fontId="38" fillId="0" borderId="0" xfId="0" applyNumberFormat="1" applyFont="1" applyAlignment="1">
      <alignment vertical="center"/>
    </xf>
    <xf numFmtId="0" fontId="40" fillId="40" borderId="65" xfId="0" applyFont="1" applyFill="1" applyBorder="1" applyAlignment="1">
      <alignment wrapText="1"/>
    </xf>
    <xf numFmtId="0" fontId="40" fillId="40" borderId="65" xfId="0" applyFont="1" applyFill="1" applyBorder="1" applyAlignment="1">
      <alignment vertical="center" wrapText="1"/>
    </xf>
    <xf numFmtId="0" fontId="40" fillId="40" borderId="65" xfId="0" applyFont="1" applyFill="1" applyBorder="1" applyAlignment="1">
      <alignment horizontal="left" vertical="center" wrapText="1"/>
    </xf>
    <xf numFmtId="0" fontId="0" fillId="0" borderId="66" xfId="0" applyBorder="1"/>
    <xf numFmtId="0" fontId="0" fillId="0" borderId="0" xfId="0" applyAlignment="1">
      <alignment horizontal="center"/>
    </xf>
    <xf numFmtId="0" fontId="5" fillId="0" borderId="0" xfId="0" applyFont="1" applyAlignment="1">
      <alignment horizontal="center"/>
    </xf>
    <xf numFmtId="43" fontId="8" fillId="3" borderId="1" xfId="3" applyNumberFormat="1" applyFont="1" applyFill="1" applyBorder="1"/>
    <xf numFmtId="0" fontId="0" fillId="19" borderId="0" xfId="0" applyFill="1"/>
    <xf numFmtId="184" fontId="38" fillId="14" borderId="64" xfId="0" applyNumberFormat="1" applyFont="1" applyFill="1" applyBorder="1" applyAlignment="1">
      <alignment vertical="center"/>
    </xf>
    <xf numFmtId="2" fontId="0" fillId="0" borderId="0" xfId="0" applyNumberFormat="1"/>
    <xf numFmtId="0" fontId="42" fillId="0" borderId="0" xfId="0" applyFont="1"/>
    <xf numFmtId="2" fontId="42" fillId="0" borderId="0" xfId="0" applyNumberFormat="1" applyFont="1"/>
    <xf numFmtId="0" fontId="38" fillId="0" borderId="64" xfId="0" applyFont="1" applyBorder="1" applyAlignment="1">
      <alignment horizontal="center" vertical="center"/>
    </xf>
    <xf numFmtId="2" fontId="43" fillId="0" borderId="0" xfId="0" applyNumberFormat="1" applyFont="1"/>
    <xf numFmtId="179" fontId="7" fillId="0" borderId="0" xfId="3" applyNumberFormat="1" applyFont="1" applyFill="1" applyBorder="1"/>
    <xf numFmtId="9" fontId="0" fillId="0" borderId="0" xfId="0" applyNumberFormat="1"/>
    <xf numFmtId="183" fontId="0" fillId="0" borderId="0" xfId="0" applyNumberFormat="1"/>
    <xf numFmtId="0" fontId="14" fillId="14" borderId="24" xfId="0" applyFont="1" applyFill="1" applyBorder="1"/>
    <xf numFmtId="0" fontId="0" fillId="14" borderId="24" xfId="0" applyFill="1" applyBorder="1"/>
    <xf numFmtId="9" fontId="7" fillId="10" borderId="0" xfId="3" applyFont="1" applyFill="1"/>
    <xf numFmtId="9" fontId="7" fillId="0" borderId="0" xfId="3" applyFont="1"/>
    <xf numFmtId="169" fontId="8" fillId="10" borderId="0" xfId="1" applyNumberFormat="1" applyFont="1" applyFill="1"/>
    <xf numFmtId="169" fontId="8" fillId="2" borderId="0" xfId="1" applyNumberFormat="1" applyFont="1" applyFill="1"/>
    <xf numFmtId="169" fontId="8" fillId="9" borderId="0" xfId="1" applyNumberFormat="1" applyFont="1" applyFill="1"/>
    <xf numFmtId="168" fontId="8" fillId="14" borderId="0" xfId="2" applyNumberFormat="1" applyFont="1" applyFill="1"/>
    <xf numFmtId="168" fontId="8" fillId="9" borderId="0" xfId="2" applyNumberFormat="1" applyFont="1" applyFill="1"/>
    <xf numFmtId="185" fontId="0" fillId="0" borderId="1" xfId="0" applyNumberFormat="1" applyBorder="1"/>
    <xf numFmtId="185" fontId="0" fillId="14" borderId="1" xfId="0" applyNumberFormat="1" applyFill="1" applyBorder="1"/>
    <xf numFmtId="165" fontId="5" fillId="14" borderId="13" xfId="2" applyFont="1" applyFill="1" applyBorder="1"/>
    <xf numFmtId="165" fontId="0" fillId="14" borderId="1" xfId="2" applyFont="1" applyFill="1" applyBorder="1"/>
    <xf numFmtId="165" fontId="5" fillId="14" borderId="1" xfId="2" applyFont="1" applyFill="1" applyBorder="1"/>
    <xf numFmtId="165" fontId="5" fillId="14" borderId="8" xfId="2" applyFont="1" applyFill="1" applyBorder="1"/>
    <xf numFmtId="168" fontId="5" fillId="14" borderId="1" xfId="2" applyNumberFormat="1" applyFont="1" applyFill="1" applyBorder="1"/>
    <xf numFmtId="179" fontId="7" fillId="0" borderId="0" xfId="3" applyNumberFormat="1" applyFont="1"/>
    <xf numFmtId="43" fontId="7" fillId="4" borderId="1" xfId="2" applyNumberFormat="1" applyFont="1" applyFill="1" applyBorder="1"/>
    <xf numFmtId="43" fontId="7" fillId="4" borderId="1" xfId="0" applyNumberFormat="1" applyFont="1" applyFill="1" applyBorder="1"/>
    <xf numFmtId="0" fontId="44" fillId="43" borderId="0" xfId="0" applyFont="1" applyFill="1"/>
    <xf numFmtId="0" fontId="44" fillId="43" borderId="39" xfId="0" applyFont="1" applyFill="1" applyBorder="1" applyAlignment="1">
      <alignment horizontal="center" vertical="center"/>
    </xf>
    <xf numFmtId="186" fontId="44" fillId="43" borderId="0" xfId="0" applyNumberFormat="1" applyFont="1" applyFill="1"/>
    <xf numFmtId="186" fontId="44" fillId="43" borderId="39" xfId="0" applyNumberFormat="1" applyFont="1" applyFill="1" applyBorder="1" applyAlignment="1">
      <alignment horizontal="center" vertical="center"/>
    </xf>
    <xf numFmtId="180" fontId="44" fillId="43" borderId="39" xfId="0" applyNumberFormat="1" applyFont="1" applyFill="1" applyBorder="1" applyAlignment="1">
      <alignment horizontal="center" vertical="center"/>
    </xf>
    <xf numFmtId="10" fontId="44" fillId="43" borderId="39" xfId="0" applyNumberFormat="1" applyFont="1" applyFill="1" applyBorder="1" applyAlignment="1">
      <alignment horizontal="center" vertical="center"/>
    </xf>
    <xf numFmtId="187" fontId="44" fillId="43" borderId="0" xfId="0" applyNumberFormat="1" applyFont="1" applyFill="1"/>
    <xf numFmtId="0" fontId="44" fillId="43" borderId="68" xfId="0" applyFont="1" applyFill="1" applyBorder="1"/>
    <xf numFmtId="0" fontId="44" fillId="43" borderId="69" xfId="0" applyFont="1" applyFill="1" applyBorder="1"/>
    <xf numFmtId="186" fontId="44" fillId="43" borderId="69" xfId="0" applyNumberFormat="1" applyFont="1" applyFill="1" applyBorder="1"/>
    <xf numFmtId="0" fontId="44" fillId="43" borderId="70" xfId="0" applyFont="1" applyFill="1" applyBorder="1"/>
    <xf numFmtId="0" fontId="44" fillId="43" borderId="71" xfId="0" applyFont="1" applyFill="1" applyBorder="1"/>
    <xf numFmtId="0" fontId="44" fillId="43" borderId="72" xfId="0" applyFont="1" applyFill="1" applyBorder="1"/>
    <xf numFmtId="0" fontId="44" fillId="43" borderId="44" xfId="0" applyFont="1" applyFill="1" applyBorder="1" applyAlignment="1">
      <alignment horizontal="center" vertical="center"/>
    </xf>
    <xf numFmtId="0" fontId="44" fillId="43" borderId="45" xfId="0" applyFont="1" applyFill="1" applyBorder="1" applyAlignment="1">
      <alignment horizontal="center" vertical="center"/>
    </xf>
    <xf numFmtId="180" fontId="44" fillId="43" borderId="45" xfId="0" applyNumberFormat="1" applyFont="1" applyFill="1" applyBorder="1" applyAlignment="1">
      <alignment horizontal="center" vertical="center"/>
    </xf>
    <xf numFmtId="0" fontId="44" fillId="43" borderId="73" xfId="0" applyFont="1" applyFill="1" applyBorder="1"/>
    <xf numFmtId="0" fontId="44" fillId="43" borderId="67" xfId="0" applyFont="1" applyFill="1" applyBorder="1"/>
    <xf numFmtId="9" fontId="44" fillId="43" borderId="74" xfId="0" applyNumberFormat="1" applyFont="1" applyFill="1" applyBorder="1"/>
    <xf numFmtId="180" fontId="44" fillId="43" borderId="51" xfId="0" applyNumberFormat="1" applyFont="1" applyFill="1" applyBorder="1" applyAlignment="1">
      <alignment horizontal="center" vertical="center"/>
    </xf>
    <xf numFmtId="180" fontId="44" fillId="43" borderId="75" xfId="0" applyNumberFormat="1" applyFont="1" applyFill="1" applyBorder="1" applyAlignment="1">
      <alignment horizontal="center" vertical="center"/>
    </xf>
    <xf numFmtId="0" fontId="44" fillId="14" borderId="76" xfId="0" applyFont="1" applyFill="1" applyBorder="1"/>
    <xf numFmtId="180" fontId="44" fillId="14" borderId="77" xfId="0" applyNumberFormat="1" applyFont="1" applyFill="1" applyBorder="1"/>
    <xf numFmtId="9" fontId="0" fillId="0" borderId="77" xfId="0" applyNumberFormat="1" applyBorder="1"/>
    <xf numFmtId="172" fontId="7" fillId="0" borderId="29" xfId="0" applyNumberFormat="1" applyFont="1" applyBorder="1"/>
    <xf numFmtId="0" fontId="5" fillId="0" borderId="32" xfId="0" applyFont="1" applyBorder="1"/>
    <xf numFmtId="183" fontId="0" fillId="0" borderId="78" xfId="0" applyNumberFormat="1" applyBorder="1"/>
    <xf numFmtId="0" fontId="0" fillId="0" borderId="68" xfId="0" applyBorder="1" applyAlignment="1">
      <alignment horizontal="right"/>
    </xf>
    <xf numFmtId="10" fontId="19" fillId="0" borderId="21" xfId="0" applyNumberFormat="1" applyFont="1" applyBorder="1"/>
    <xf numFmtId="165" fontId="5" fillId="0" borderId="13" xfId="2" applyFont="1" applyBorder="1" applyAlignment="1">
      <alignment wrapText="1"/>
    </xf>
    <xf numFmtId="183" fontId="14" fillId="14" borderId="1" xfId="0" applyNumberFormat="1" applyFont="1" applyFill="1" applyBorder="1"/>
    <xf numFmtId="10" fontId="7" fillId="18" borderId="1" xfId="3" applyNumberFormat="1" applyFont="1" applyFill="1" applyBorder="1"/>
    <xf numFmtId="9" fontId="19" fillId="0" borderId="21" xfId="0" applyNumberFormat="1" applyFont="1" applyBorder="1"/>
    <xf numFmtId="165" fontId="30" fillId="0" borderId="1" xfId="2" applyFont="1" applyBorder="1"/>
    <xf numFmtId="188" fontId="19" fillId="0" borderId="21" xfId="0" applyNumberFormat="1" applyFont="1" applyBorder="1"/>
    <xf numFmtId="6" fontId="45" fillId="44" borderId="1" xfId="0" applyNumberFormat="1" applyFont="1" applyFill="1" applyBorder="1"/>
    <xf numFmtId="6" fontId="45" fillId="44" borderId="19" xfId="0" applyNumberFormat="1" applyFont="1" applyFill="1" applyBorder="1"/>
    <xf numFmtId="9" fontId="7" fillId="14" borderId="1" xfId="3" applyFont="1" applyFill="1" applyBorder="1"/>
    <xf numFmtId="179" fontId="0" fillId="0" borderId="0" xfId="0" applyNumberFormat="1"/>
    <xf numFmtId="14" fontId="2" fillId="0" borderId="33" xfId="0" applyNumberFormat="1" applyFont="1" applyBorder="1"/>
    <xf numFmtId="179" fontId="19" fillId="0" borderId="0" xfId="0" applyNumberFormat="1" applyFont="1"/>
    <xf numFmtId="14" fontId="19" fillId="0" borderId="79" xfId="0" applyNumberFormat="1" applyFont="1" applyBorder="1"/>
    <xf numFmtId="0" fontId="4" fillId="14" borderId="1" xfId="0" applyFont="1" applyFill="1" applyBorder="1"/>
    <xf numFmtId="0" fontId="43" fillId="45" borderId="80" xfId="0" applyFont="1" applyFill="1" applyBorder="1"/>
    <xf numFmtId="0" fontId="44" fillId="43" borderId="0" xfId="0" applyFont="1" applyFill="1" applyAlignment="1">
      <alignment horizontal="center" vertical="center"/>
    </xf>
    <xf numFmtId="180" fontId="44" fillId="43" borderId="0" xfId="0" applyNumberFormat="1" applyFont="1" applyFill="1" applyAlignment="1">
      <alignment horizontal="center" vertical="center"/>
    </xf>
    <xf numFmtId="180" fontId="44" fillId="14" borderId="0" xfId="0" applyNumberFormat="1" applyFont="1" applyFill="1"/>
    <xf numFmtId="9" fontId="44" fillId="43" borderId="0" xfId="0" applyNumberFormat="1" applyFont="1" applyFill="1"/>
    <xf numFmtId="165" fontId="7" fillId="4" borderId="0" xfId="2" applyFont="1" applyFill="1" applyBorder="1"/>
    <xf numFmtId="165" fontId="7" fillId="15" borderId="0" xfId="2" applyFont="1" applyFill="1" applyBorder="1"/>
    <xf numFmtId="165" fontId="8" fillId="6" borderId="0" xfId="2" applyFont="1" applyFill="1" applyBorder="1"/>
    <xf numFmtId="165" fontId="7" fillId="7" borderId="0" xfId="2" applyFont="1" applyFill="1" applyBorder="1"/>
    <xf numFmtId="165" fontId="8" fillId="8" borderId="0" xfId="2" applyFont="1" applyFill="1" applyBorder="1"/>
    <xf numFmtId="165" fontId="8" fillId="9" borderId="0" xfId="2" applyFont="1" applyFill="1" applyBorder="1"/>
    <xf numFmtId="165" fontId="7" fillId="14" borderId="0" xfId="2" applyFont="1" applyFill="1" applyBorder="1"/>
    <xf numFmtId="165" fontId="7" fillId="2" borderId="0" xfId="0" applyNumberFormat="1" applyFont="1" applyFill="1"/>
    <xf numFmtId="2" fontId="7" fillId="4" borderId="0" xfId="0" applyNumberFormat="1" applyFont="1" applyFill="1"/>
    <xf numFmtId="168" fontId="7" fillId="4" borderId="0" xfId="2" applyNumberFormat="1" applyFont="1" applyFill="1" applyBorder="1"/>
    <xf numFmtId="9" fontId="7" fillId="8" borderId="0" xfId="3" applyFont="1" applyFill="1" applyBorder="1"/>
    <xf numFmtId="165" fontId="7" fillId="3" borderId="0" xfId="2" applyFont="1" applyFill="1" applyBorder="1"/>
    <xf numFmtId="165" fontId="8" fillId="2" borderId="0" xfId="2" applyFont="1" applyFill="1" applyBorder="1"/>
    <xf numFmtId="9" fontId="7" fillId="3" borderId="0" xfId="3" applyFont="1" applyFill="1" applyBorder="1"/>
    <xf numFmtId="165" fontId="8" fillId="11" borderId="0" xfId="2" applyFont="1" applyFill="1" applyBorder="1"/>
    <xf numFmtId="2" fontId="7" fillId="13" borderId="0" xfId="0" applyNumberFormat="1" applyFont="1" applyFill="1"/>
    <xf numFmtId="10" fontId="8" fillId="3" borderId="0" xfId="3" applyNumberFormat="1" applyFont="1" applyFill="1" applyBorder="1"/>
    <xf numFmtId="165" fontId="8" fillId="3" borderId="0" xfId="3" applyNumberFormat="1" applyFont="1" applyFill="1" applyBorder="1"/>
    <xf numFmtId="0" fontId="10" fillId="14" borderId="0" xfId="0" applyFont="1" applyFill="1"/>
    <xf numFmtId="185" fontId="0" fillId="0" borderId="0" xfId="0" applyNumberFormat="1"/>
    <xf numFmtId="10" fontId="7" fillId="10" borderId="0" xfId="3" applyNumberFormat="1" applyFont="1" applyFill="1" applyBorder="1"/>
    <xf numFmtId="9" fontId="11" fillId="0" borderId="0" xfId="3" applyFont="1" applyBorder="1"/>
    <xf numFmtId="165" fontId="5" fillId="0" borderId="0" xfId="2" applyFont="1" applyBorder="1"/>
    <xf numFmtId="165" fontId="5" fillId="0" borderId="0" xfId="2" applyFont="1" applyFill="1" applyBorder="1"/>
    <xf numFmtId="165" fontId="3" fillId="0" borderId="0" xfId="2" applyFont="1" applyBorder="1"/>
    <xf numFmtId="165" fontId="13" fillId="0" borderId="0" xfId="2" applyFont="1" applyBorder="1"/>
    <xf numFmtId="165" fontId="5" fillId="14" borderId="0" xfId="2" applyFont="1" applyFill="1" applyBorder="1"/>
    <xf numFmtId="165" fontId="17" fillId="0" borderId="0" xfId="2" applyFont="1" applyBorder="1"/>
    <xf numFmtId="168" fontId="5" fillId="14" borderId="0" xfId="2" applyNumberFormat="1" applyFont="1" applyFill="1" applyBorder="1"/>
    <xf numFmtId="165" fontId="4" fillId="0" borderId="0" xfId="2" applyFont="1" applyBorder="1"/>
    <xf numFmtId="165" fontId="18" fillId="0" borderId="0" xfId="2" applyFont="1" applyBorder="1"/>
    <xf numFmtId="165" fontId="0" fillId="0" borderId="1" xfId="2" applyFont="1" applyBorder="1" applyAlignment="1">
      <alignment horizontal="right"/>
    </xf>
    <xf numFmtId="165" fontId="0" fillId="0" borderId="1" xfId="2" applyFont="1" applyFill="1" applyBorder="1" applyAlignment="1">
      <alignment horizontal="right"/>
    </xf>
    <xf numFmtId="165" fontId="5" fillId="0" borderId="9" xfId="2" applyFont="1" applyBorder="1" applyAlignment="1">
      <alignment horizontal="right"/>
    </xf>
    <xf numFmtId="171" fontId="26" fillId="0" borderId="22" xfId="0" applyNumberFormat="1" applyFont="1" applyBorder="1"/>
    <xf numFmtId="0" fontId="46" fillId="0" borderId="0" xfId="0" applyFont="1"/>
    <xf numFmtId="0" fontId="4" fillId="0" borderId="0" xfId="0" applyFont="1" applyAlignment="1">
      <alignment wrapText="1"/>
    </xf>
    <xf numFmtId="171" fontId="7" fillId="10" borderId="1" xfId="3" applyNumberFormat="1" applyFont="1" applyFill="1" applyBorder="1"/>
    <xf numFmtId="44" fontId="0" fillId="0" borderId="0" xfId="0" applyNumberFormat="1"/>
    <xf numFmtId="10" fontId="0" fillId="0" borderId="53" xfId="0" applyNumberFormat="1" applyBorder="1"/>
    <xf numFmtId="0" fontId="7" fillId="46" borderId="81" xfId="0" applyFont="1" applyFill="1" applyBorder="1"/>
    <xf numFmtId="0" fontId="7" fillId="46" borderId="82" xfId="0" applyFont="1" applyFill="1" applyBorder="1"/>
    <xf numFmtId="0" fontId="10" fillId="46" borderId="82" xfId="0" applyFont="1" applyFill="1" applyBorder="1" applyAlignment="1">
      <alignment horizontal="right"/>
    </xf>
    <xf numFmtId="0" fontId="10" fillId="46" borderId="83" xfId="0" applyFont="1" applyFill="1" applyBorder="1" applyAlignment="1">
      <alignment horizontal="right"/>
    </xf>
    <xf numFmtId="0" fontId="47" fillId="0" borderId="0" xfId="0" applyFont="1"/>
    <xf numFmtId="0" fontId="48" fillId="0" borderId="0" xfId="0" applyFont="1"/>
    <xf numFmtId="0" fontId="49" fillId="0" borderId="0" xfId="0" applyFont="1"/>
    <xf numFmtId="0" fontId="7" fillId="47" borderId="81" xfId="0" applyFont="1" applyFill="1" applyBorder="1"/>
    <xf numFmtId="0" fontId="7" fillId="47" borderId="82" xfId="0" applyFont="1" applyFill="1" applyBorder="1"/>
    <xf numFmtId="0" fontId="10" fillId="47" borderId="82" xfId="0" applyFont="1" applyFill="1" applyBorder="1" applyAlignment="1">
      <alignment horizontal="right"/>
    </xf>
    <xf numFmtId="0" fontId="10" fillId="47" borderId="84" xfId="0" applyFont="1" applyFill="1" applyBorder="1" applyAlignment="1">
      <alignment horizontal="right"/>
    </xf>
    <xf numFmtId="0" fontId="2" fillId="47" borderId="0" xfId="0" applyFont="1" applyFill="1" applyAlignment="1">
      <alignment wrapText="1"/>
    </xf>
    <xf numFmtId="0" fontId="2" fillId="46" borderId="0" xfId="0" applyFont="1" applyFill="1" applyAlignment="1">
      <alignment wrapText="1"/>
    </xf>
    <xf numFmtId="0" fontId="1" fillId="0" borderId="0" xfId="0" applyFont="1" applyAlignment="1">
      <alignment wrapText="1"/>
    </xf>
    <xf numFmtId="0" fontId="45" fillId="48" borderId="53" xfId="0" applyFont="1" applyFill="1" applyBorder="1"/>
    <xf numFmtId="0" fontId="45" fillId="48" borderId="0" xfId="0" applyFont="1" applyFill="1"/>
    <xf numFmtId="3" fontId="0" fillId="14" borderId="1" xfId="0" applyNumberFormat="1" applyFill="1" applyBorder="1"/>
    <xf numFmtId="14" fontId="50" fillId="0" borderId="24" xfId="0" applyNumberFormat="1" applyFont="1" applyBorder="1"/>
    <xf numFmtId="0" fontId="50" fillId="0" borderId="28" xfId="0" applyFont="1" applyBorder="1"/>
    <xf numFmtId="0" fontId="51" fillId="0" borderId="25" xfId="0" applyFont="1" applyBorder="1"/>
    <xf numFmtId="0" fontId="50" fillId="0" borderId="0" xfId="0" applyFont="1"/>
    <xf numFmtId="179" fontId="50" fillId="0" borderId="32" xfId="0" applyNumberFormat="1" applyFont="1" applyBorder="1"/>
    <xf numFmtId="0" fontId="50" fillId="0" borderId="21" xfId="0" applyFont="1" applyBorder="1"/>
    <xf numFmtId="172" fontId="50" fillId="0" borderId="5" xfId="0" applyNumberFormat="1" applyFont="1" applyBorder="1"/>
    <xf numFmtId="14" fontId="50" fillId="0" borderId="34" xfId="0" applyNumberFormat="1" applyFont="1" applyBorder="1"/>
    <xf numFmtId="176" fontId="51" fillId="0" borderId="22" xfId="0" applyNumberFormat="1" applyFont="1" applyBorder="1"/>
    <xf numFmtId="0" fontId="50" fillId="0" borderId="13" xfId="0" applyFont="1" applyBorder="1"/>
    <xf numFmtId="0" fontId="51" fillId="0" borderId="0" xfId="0" applyFont="1" applyAlignment="1">
      <alignment horizontal="center"/>
    </xf>
    <xf numFmtId="0" fontId="50" fillId="4" borderId="1" xfId="0" applyFont="1" applyFill="1" applyBorder="1"/>
    <xf numFmtId="165" fontId="50" fillId="4" borderId="1" xfId="2" applyFont="1" applyFill="1" applyBorder="1"/>
    <xf numFmtId="0" fontId="50" fillId="15" borderId="1" xfId="0" applyFont="1" applyFill="1" applyBorder="1"/>
    <xf numFmtId="165" fontId="50" fillId="15" borderId="1" xfId="2" applyFont="1" applyFill="1" applyBorder="1"/>
    <xf numFmtId="0" fontId="51" fillId="6" borderId="1" xfId="0" applyFont="1" applyFill="1" applyBorder="1"/>
    <xf numFmtId="165" fontId="51" fillId="6" borderId="1" xfId="2" applyFont="1" applyFill="1" applyBorder="1"/>
    <xf numFmtId="0" fontId="50" fillId="7" borderId="1" xfId="0" applyFont="1" applyFill="1" applyBorder="1"/>
    <xf numFmtId="165" fontId="50" fillId="7" borderId="1" xfId="2" applyFont="1" applyFill="1" applyBorder="1"/>
    <xf numFmtId="0" fontId="51" fillId="8" borderId="1" xfId="0" applyFont="1" applyFill="1" applyBorder="1"/>
    <xf numFmtId="165" fontId="51" fillId="8" borderId="1" xfId="2" applyFont="1" applyFill="1" applyBorder="1"/>
    <xf numFmtId="0" fontId="51" fillId="9" borderId="1" xfId="0" applyFont="1" applyFill="1" applyBorder="1"/>
    <xf numFmtId="165" fontId="51" fillId="9" borderId="1" xfId="2" applyFont="1" applyFill="1" applyBorder="1"/>
    <xf numFmtId="0" fontId="50" fillId="14" borderId="1" xfId="0" applyFont="1" applyFill="1" applyBorder="1"/>
    <xf numFmtId="166" fontId="50" fillId="14" borderId="1" xfId="1" applyFont="1" applyFill="1" applyBorder="1"/>
    <xf numFmtId="0" fontId="51" fillId="9" borderId="0" xfId="0" applyFont="1" applyFill="1"/>
    <xf numFmtId="168" fontId="51" fillId="9" borderId="0" xfId="2" applyNumberFormat="1" applyFont="1" applyFill="1" applyBorder="1"/>
    <xf numFmtId="0" fontId="51" fillId="14" borderId="0" xfId="0" applyFont="1" applyFill="1"/>
    <xf numFmtId="168" fontId="51" fillId="14" borderId="0" xfId="2" applyNumberFormat="1" applyFont="1" applyFill="1" applyBorder="1"/>
    <xf numFmtId="165" fontId="51" fillId="14" borderId="0" xfId="2" applyFont="1" applyFill="1" applyBorder="1"/>
    <xf numFmtId="169" fontId="51" fillId="9" borderId="0" xfId="1" applyNumberFormat="1" applyFont="1" applyFill="1" applyBorder="1"/>
    <xf numFmtId="0" fontId="51" fillId="2" borderId="0" xfId="0" applyFont="1" applyFill="1"/>
    <xf numFmtId="169" fontId="51" fillId="2" borderId="0" xfId="1" applyNumberFormat="1" applyFont="1" applyFill="1" applyBorder="1"/>
    <xf numFmtId="0" fontId="51" fillId="10" borderId="0" xfId="0" applyFont="1" applyFill="1"/>
    <xf numFmtId="169" fontId="51" fillId="10" borderId="0" xfId="1" applyNumberFormat="1" applyFont="1" applyFill="1" applyBorder="1"/>
    <xf numFmtId="0" fontId="50" fillId="11" borderId="1" xfId="0" applyFont="1" applyFill="1" applyBorder="1"/>
    <xf numFmtId="165" fontId="50" fillId="11" borderId="1" xfId="0" applyNumberFormat="1" applyFont="1" applyFill="1" applyBorder="1"/>
    <xf numFmtId="0" fontId="50" fillId="10" borderId="1" xfId="0" applyFont="1" applyFill="1" applyBorder="1"/>
    <xf numFmtId="168" fontId="50" fillId="10" borderId="1" xfId="2" applyNumberFormat="1" applyFont="1" applyFill="1" applyBorder="1"/>
    <xf numFmtId="2" fontId="50" fillId="10" borderId="1" xfId="0" applyNumberFormat="1" applyFont="1" applyFill="1" applyBorder="1"/>
    <xf numFmtId="0" fontId="50" fillId="8" borderId="1" xfId="0" applyFont="1" applyFill="1" applyBorder="1"/>
    <xf numFmtId="9" fontId="50" fillId="8" borderId="1" xfId="3" applyFont="1" applyFill="1" applyBorder="1"/>
    <xf numFmtId="0" fontId="50" fillId="3" borderId="1" xfId="0" applyFont="1" applyFill="1" applyBorder="1"/>
    <xf numFmtId="165" fontId="50" fillId="3" borderId="1" xfId="2" applyFont="1" applyFill="1" applyBorder="1"/>
    <xf numFmtId="0" fontId="51" fillId="2" borderId="1" xfId="0" applyFont="1" applyFill="1" applyBorder="1"/>
    <xf numFmtId="165" fontId="51" fillId="2" borderId="1" xfId="2" applyFont="1" applyFill="1" applyBorder="1"/>
    <xf numFmtId="9" fontId="50" fillId="3" borderId="1" xfId="3" applyFont="1" applyFill="1" applyBorder="1"/>
    <xf numFmtId="0" fontId="51" fillId="11" borderId="1" xfId="0" applyFont="1" applyFill="1" applyBorder="1"/>
    <xf numFmtId="165" fontId="51" fillId="11" borderId="1" xfId="2" applyFont="1" applyFill="1" applyBorder="1"/>
    <xf numFmtId="9" fontId="50" fillId="10" borderId="1" xfId="3" applyFont="1" applyFill="1" applyBorder="1"/>
    <xf numFmtId="0" fontId="50" fillId="13" borderId="1" xfId="0" applyFont="1" applyFill="1" applyBorder="1"/>
    <xf numFmtId="168" fontId="50" fillId="13" borderId="1" xfId="0" applyNumberFormat="1" applyFont="1" applyFill="1" applyBorder="1"/>
    <xf numFmtId="0" fontId="51" fillId="3" borderId="1" xfId="0" applyFont="1" applyFill="1" applyBorder="1"/>
    <xf numFmtId="10" fontId="51" fillId="3" borderId="1" xfId="3" applyNumberFormat="1" applyFont="1" applyFill="1" applyBorder="1"/>
    <xf numFmtId="43" fontId="51" fillId="3" borderId="1" xfId="3" applyNumberFormat="1" applyFont="1" applyFill="1" applyBorder="1"/>
    <xf numFmtId="165" fontId="51" fillId="3" borderId="1" xfId="3" applyNumberFormat="1" applyFont="1" applyFill="1" applyBorder="1"/>
    <xf numFmtId="0" fontId="50" fillId="0" borderId="1" xfId="0" applyFont="1" applyBorder="1"/>
    <xf numFmtId="0" fontId="50" fillId="14" borderId="1" xfId="0" applyFont="1" applyFill="1" applyBorder="1" applyAlignment="1">
      <alignment horizontal="right"/>
    </xf>
    <xf numFmtId="0" fontId="50" fillId="19" borderId="0" xfId="0" applyFont="1" applyFill="1"/>
    <xf numFmtId="0" fontId="50" fillId="10" borderId="1" xfId="0" applyFont="1" applyFill="1" applyBorder="1" applyAlignment="1">
      <alignment horizontal="left"/>
    </xf>
    <xf numFmtId="10" fontId="50" fillId="10" borderId="1" xfId="3" applyNumberFormat="1" applyFont="1" applyFill="1" applyBorder="1"/>
    <xf numFmtId="0" fontId="50" fillId="0" borderId="1" xfId="0" applyFont="1" applyBorder="1" applyAlignment="1">
      <alignment horizontal="left"/>
    </xf>
    <xf numFmtId="9" fontId="50" fillId="0" borderId="1" xfId="3" applyFont="1" applyBorder="1"/>
    <xf numFmtId="0" fontId="50" fillId="0" borderId="0" xfId="0" applyFont="1" applyAlignment="1">
      <alignment horizontal="left"/>
    </xf>
    <xf numFmtId="9" fontId="50" fillId="0" borderId="0" xfId="3" applyFont="1" applyFill="1" applyBorder="1"/>
    <xf numFmtId="0" fontId="50" fillId="10" borderId="0" xfId="0" applyFont="1" applyFill="1" applyAlignment="1">
      <alignment horizontal="left"/>
    </xf>
    <xf numFmtId="9" fontId="50" fillId="10" borderId="0" xfId="3" applyFont="1" applyFill="1" applyBorder="1"/>
    <xf numFmtId="9" fontId="52" fillId="10" borderId="0" xfId="3" applyFont="1" applyFill="1" applyBorder="1"/>
    <xf numFmtId="179" fontId="50" fillId="0" borderId="0" xfId="3" applyNumberFormat="1" applyFont="1" applyFill="1" applyBorder="1"/>
    <xf numFmtId="0" fontId="51" fillId="3" borderId="0" xfId="0" applyFont="1" applyFill="1"/>
    <xf numFmtId="0" fontId="51" fillId="0" borderId="2" xfId="0" applyFont="1" applyBorder="1"/>
    <xf numFmtId="0" fontId="51" fillId="0" borderId="6" xfId="0" applyFont="1" applyBorder="1"/>
    <xf numFmtId="0" fontId="51" fillId="0" borderId="3" xfId="0" applyFont="1" applyBorder="1"/>
    <xf numFmtId="165" fontId="50" fillId="0" borderId="1" xfId="2" applyFont="1" applyBorder="1"/>
    <xf numFmtId="0" fontId="51" fillId="0" borderId="3" xfId="0" applyFont="1" applyBorder="1" applyAlignment="1">
      <alignment horizontal="left" indent="1"/>
    </xf>
    <xf numFmtId="165" fontId="51" fillId="0" borderId="1" xfId="2" applyFont="1" applyBorder="1"/>
    <xf numFmtId="3" fontId="51" fillId="0" borderId="1" xfId="0" applyNumberFormat="1" applyFont="1" applyBorder="1"/>
    <xf numFmtId="165" fontId="51" fillId="0" borderId="1" xfId="2" applyFont="1" applyFill="1" applyBorder="1"/>
    <xf numFmtId="0" fontId="50" fillId="0" borderId="3" xfId="0" applyFont="1" applyBorder="1" applyAlignment="1">
      <alignment horizontal="left" indent="2"/>
    </xf>
    <xf numFmtId="165" fontId="50" fillId="0" borderId="1" xfId="2" applyFont="1" applyFill="1" applyBorder="1"/>
    <xf numFmtId="3" fontId="50" fillId="0" borderId="1" xfId="0" applyNumberFormat="1" applyFont="1" applyBorder="1"/>
    <xf numFmtId="0" fontId="51" fillId="0" borderId="4" xfId="0" applyFont="1" applyBorder="1"/>
    <xf numFmtId="165" fontId="51" fillId="0" borderId="9" xfId="2" applyFont="1" applyBorder="1"/>
    <xf numFmtId="165" fontId="51" fillId="0" borderId="9" xfId="2" applyFont="1" applyFill="1" applyBorder="1"/>
    <xf numFmtId="0" fontId="50" fillId="0" borderId="5" xfId="0" applyFont="1" applyBorder="1"/>
    <xf numFmtId="165" fontId="50" fillId="0" borderId="5" xfId="2" applyFont="1" applyBorder="1"/>
    <xf numFmtId="165" fontId="50" fillId="0" borderId="5" xfId="2" applyFont="1" applyFill="1" applyBorder="1"/>
    <xf numFmtId="165" fontId="50" fillId="0" borderId="6" xfId="2" applyFont="1" applyBorder="1"/>
    <xf numFmtId="165" fontId="51" fillId="0" borderId="6" xfId="2" applyFont="1" applyBorder="1"/>
    <xf numFmtId="165" fontId="50" fillId="0" borderId="6" xfId="2" applyFont="1" applyFill="1" applyBorder="1"/>
    <xf numFmtId="0" fontId="51" fillId="0" borderId="12" xfId="0" applyFont="1" applyBorder="1"/>
    <xf numFmtId="0" fontId="51" fillId="0" borderId="14" xfId="0" applyFont="1" applyBorder="1"/>
    <xf numFmtId="0" fontId="51" fillId="0" borderId="13" xfId="0" applyFont="1" applyBorder="1"/>
    <xf numFmtId="165" fontId="51" fillId="0" borderId="13" xfId="2" applyFont="1" applyBorder="1"/>
    <xf numFmtId="0" fontId="50" fillId="0" borderId="1" xfId="0" applyFont="1" applyBorder="1" applyAlignment="1">
      <alignment horizontal="left" indent="1"/>
    </xf>
    <xf numFmtId="0" fontId="51" fillId="0" borderId="1" xfId="0" applyFont="1" applyBorder="1" applyAlignment="1">
      <alignment horizontal="left"/>
    </xf>
    <xf numFmtId="165" fontId="50" fillId="0" borderId="8" xfId="2" applyFont="1" applyFill="1" applyBorder="1"/>
    <xf numFmtId="165" fontId="52" fillId="0" borderId="1" xfId="2" applyFont="1" applyBorder="1"/>
    <xf numFmtId="0" fontId="51" fillId="0" borderId="1" xfId="0" applyFont="1" applyBorder="1"/>
    <xf numFmtId="165" fontId="51" fillId="0" borderId="8" xfId="2" applyFont="1" applyFill="1" applyBorder="1"/>
    <xf numFmtId="0" fontId="50" fillId="0" borderId="1" xfId="0" applyFont="1" applyBorder="1" applyAlignment="1">
      <alignment horizontal="left" wrapText="1" indent="1"/>
    </xf>
    <xf numFmtId="168" fontId="51" fillId="0" borderId="1" xfId="2" applyNumberFormat="1" applyFont="1" applyBorder="1"/>
    <xf numFmtId="168" fontId="51" fillId="0" borderId="1" xfId="2" applyNumberFormat="1" applyFont="1" applyFill="1" applyBorder="1"/>
    <xf numFmtId="165" fontId="53" fillId="0" borderId="1" xfId="2" applyFont="1" applyBorder="1"/>
    <xf numFmtId="165" fontId="54" fillId="0" borderId="1" xfId="2" applyFont="1" applyBorder="1"/>
    <xf numFmtId="186" fontId="0" fillId="0" borderId="0" xfId="0" applyNumberFormat="1"/>
    <xf numFmtId="0" fontId="55" fillId="0" borderId="0" xfId="0" applyFont="1"/>
    <xf numFmtId="0" fontId="56" fillId="0" borderId="0" xfId="0" applyFont="1"/>
    <xf numFmtId="0" fontId="5" fillId="47" borderId="0" xfId="0" applyFont="1" applyFill="1" applyAlignment="1">
      <alignment wrapText="1"/>
    </xf>
    <xf numFmtId="0" fontId="0" fillId="47" borderId="0" xfId="0" applyFill="1" applyAlignment="1">
      <alignment vertical="center"/>
    </xf>
    <xf numFmtId="0" fontId="63" fillId="0" borderId="0" xfId="0" applyFont="1" applyAlignment="1">
      <alignment horizontal="left" vertical="center"/>
    </xf>
    <xf numFmtId="0" fontId="60" fillId="0" borderId="0" xfId="0" applyFont="1"/>
    <xf numFmtId="0" fontId="57" fillId="0" borderId="0" xfId="0" applyFont="1"/>
    <xf numFmtId="0" fontId="66" fillId="0" borderId="0" xfId="0" applyFont="1" applyAlignment="1">
      <alignment horizontal="left" vertical="center"/>
    </xf>
    <xf numFmtId="0" fontId="70" fillId="0" borderId="0" xfId="0" applyFont="1"/>
    <xf numFmtId="0" fontId="0" fillId="0" borderId="85" xfId="0" applyBorder="1" applyAlignment="1">
      <alignment vertical="center"/>
    </xf>
    <xf numFmtId="0" fontId="0" fillId="47" borderId="85" xfId="0" applyFill="1" applyBorder="1" applyAlignment="1">
      <alignment vertical="center"/>
    </xf>
    <xf numFmtId="0" fontId="0" fillId="47" borderId="0" xfId="0" applyFill="1"/>
    <xf numFmtId="0" fontId="15" fillId="0" borderId="0" xfId="5" applyBorder="1"/>
    <xf numFmtId="0" fontId="0" fillId="0" borderId="85" xfId="0" applyBorder="1"/>
    <xf numFmtId="0" fontId="5" fillId="0" borderId="85" xfId="0" applyFont="1" applyBorder="1"/>
    <xf numFmtId="14" fontId="0" fillId="0" borderId="85" xfId="0" applyNumberFormat="1" applyBorder="1" applyAlignment="1">
      <alignment horizontal="center"/>
    </xf>
    <xf numFmtId="0" fontId="0" fillId="0" borderId="85" xfId="0" applyBorder="1" applyAlignment="1">
      <alignment horizontal="left"/>
    </xf>
    <xf numFmtId="0" fontId="0" fillId="0" borderId="86" xfId="0" applyBorder="1"/>
    <xf numFmtId="0" fontId="4" fillId="0" borderId="86" xfId="0" applyFont="1" applyBorder="1"/>
    <xf numFmtId="0" fontId="29" fillId="0" borderId="39" xfId="0" applyFont="1" applyBorder="1" applyAlignment="1">
      <alignment horizontal="center" vertical="center"/>
    </xf>
    <xf numFmtId="0" fontId="29" fillId="0" borderId="46" xfId="0" applyFont="1" applyBorder="1" applyAlignment="1">
      <alignment horizontal="center" vertical="center"/>
    </xf>
    <xf numFmtId="0" fontId="71" fillId="0" borderId="39" xfId="0" applyFont="1" applyBorder="1" applyAlignment="1">
      <alignment horizontal="center" vertical="center" wrapText="1"/>
    </xf>
    <xf numFmtId="0" fontId="71" fillId="0" borderId="46" xfId="0" applyFont="1" applyBorder="1" applyAlignment="1">
      <alignment vertical="center"/>
    </xf>
    <xf numFmtId="0" fontId="71" fillId="0" borderId="39" xfId="0" applyFont="1" applyBorder="1" applyAlignment="1">
      <alignment vertical="center"/>
    </xf>
    <xf numFmtId="0" fontId="72" fillId="0" borderId="87" xfId="0" applyFont="1" applyBorder="1" applyAlignment="1">
      <alignment vertical="center" wrapText="1"/>
    </xf>
    <xf numFmtId="0" fontId="72" fillId="0" borderId="46" xfId="0" applyFont="1" applyBorder="1" applyAlignment="1">
      <alignment vertical="center"/>
    </xf>
    <xf numFmtId="0" fontId="72" fillId="0" borderId="39" xfId="0" applyFont="1" applyBorder="1" applyAlignment="1">
      <alignment vertical="center"/>
    </xf>
    <xf numFmtId="0" fontId="73" fillId="0" borderId="0" xfId="0" applyFont="1"/>
    <xf numFmtId="0" fontId="76" fillId="0" borderId="0" xfId="0" applyFont="1"/>
    <xf numFmtId="0" fontId="15" fillId="0" borderId="0" xfId="5"/>
    <xf numFmtId="0" fontId="77" fillId="21" borderId="39" xfId="0" applyFont="1" applyFill="1" applyBorder="1"/>
    <xf numFmtId="0" fontId="77" fillId="22" borderId="52" xfId="0" applyFont="1" applyFill="1" applyBorder="1"/>
    <xf numFmtId="0" fontId="77" fillId="21" borderId="52" xfId="0" applyFont="1" applyFill="1" applyBorder="1"/>
    <xf numFmtId="0" fontId="78" fillId="23" borderId="52" xfId="0" applyFont="1" applyFill="1" applyBorder="1"/>
    <xf numFmtId="0" fontId="77" fillId="24" borderId="52" xfId="0" applyFont="1" applyFill="1" applyBorder="1"/>
    <xf numFmtId="0" fontId="78" fillId="25" borderId="52" xfId="0" applyFont="1" applyFill="1" applyBorder="1"/>
    <xf numFmtId="0" fontId="78" fillId="26" borderId="52" xfId="0" applyFont="1" applyFill="1" applyBorder="1"/>
    <xf numFmtId="0" fontId="51" fillId="14" borderId="1" xfId="0" applyFont="1" applyFill="1" applyBorder="1"/>
    <xf numFmtId="0" fontId="79" fillId="9" borderId="0" xfId="0" applyFont="1" applyFill="1"/>
    <xf numFmtId="14" fontId="80" fillId="0" borderId="24" xfId="0" applyNumberFormat="1" applyFont="1" applyBorder="1"/>
    <xf numFmtId="0" fontId="80" fillId="0" borderId="28" xfId="0" applyFont="1" applyBorder="1"/>
    <xf numFmtId="0" fontId="79" fillId="0" borderId="25" xfId="0" applyFont="1" applyBorder="1"/>
    <xf numFmtId="0" fontId="80" fillId="0" borderId="0" xfId="0" applyFont="1"/>
    <xf numFmtId="179" fontId="80" fillId="0" borderId="32" xfId="0" applyNumberFormat="1" applyFont="1" applyBorder="1"/>
    <xf numFmtId="0" fontId="80" fillId="0" borderId="21" xfId="0" applyFont="1" applyBorder="1"/>
    <xf numFmtId="172" fontId="80" fillId="0" borderId="5" xfId="0" applyNumberFormat="1" applyFont="1" applyBorder="1"/>
    <xf numFmtId="14" fontId="80" fillId="0" borderId="34" xfId="0" applyNumberFormat="1" applyFont="1" applyBorder="1"/>
    <xf numFmtId="176" fontId="79" fillId="0" borderId="22" xfId="0" applyNumberFormat="1" applyFont="1" applyBorder="1"/>
    <xf numFmtId="0" fontId="80" fillId="0" borderId="13" xfId="0" applyFont="1" applyBorder="1"/>
    <xf numFmtId="0" fontId="79" fillId="0" borderId="0" xfId="0" applyFont="1" applyAlignment="1">
      <alignment horizontal="center"/>
    </xf>
    <xf numFmtId="165" fontId="80" fillId="4" borderId="1" xfId="2" applyFont="1" applyFill="1" applyBorder="1"/>
    <xf numFmtId="165" fontId="81" fillId="16" borderId="1" xfId="2" applyFont="1" applyFill="1" applyBorder="1"/>
    <xf numFmtId="165" fontId="79" fillId="6" borderId="1" xfId="2" applyFont="1" applyFill="1" applyBorder="1"/>
    <xf numFmtId="165" fontId="80" fillId="7" borderId="1" xfId="2" applyFont="1" applyFill="1" applyBorder="1"/>
    <xf numFmtId="165" fontId="79" fillId="8" borderId="1" xfId="2" applyFont="1" applyFill="1" applyBorder="1"/>
    <xf numFmtId="165" fontId="79" fillId="9" borderId="1" xfId="2" applyFont="1" applyFill="1" applyBorder="1"/>
    <xf numFmtId="0" fontId="79" fillId="9" borderId="1" xfId="0" applyFont="1" applyFill="1" applyBorder="1"/>
    <xf numFmtId="0" fontId="80" fillId="14" borderId="1" xfId="0" applyFont="1" applyFill="1" applyBorder="1"/>
    <xf numFmtId="165" fontId="80" fillId="14" borderId="1" xfId="2" applyFont="1" applyFill="1" applyBorder="1"/>
    <xf numFmtId="168" fontId="79" fillId="9" borderId="0" xfId="2" applyNumberFormat="1" applyFont="1" applyFill="1" applyBorder="1"/>
    <xf numFmtId="0" fontId="79" fillId="14" borderId="0" xfId="0" applyFont="1" applyFill="1"/>
    <xf numFmtId="168" fontId="79" fillId="14" borderId="0" xfId="2" applyNumberFormat="1" applyFont="1" applyFill="1" applyBorder="1"/>
    <xf numFmtId="169" fontId="79" fillId="9" borderId="0" xfId="1" applyNumberFormat="1" applyFont="1" applyFill="1" applyBorder="1"/>
    <xf numFmtId="0" fontId="79" fillId="2" borderId="0" xfId="0" applyFont="1" applyFill="1"/>
    <xf numFmtId="169" fontId="79" fillId="2" borderId="0" xfId="1" applyNumberFormat="1" applyFont="1" applyFill="1" applyBorder="1"/>
    <xf numFmtId="0" fontId="79" fillId="10" borderId="0" xfId="0" applyFont="1" applyFill="1"/>
    <xf numFmtId="169" fontId="79" fillId="10" borderId="0" xfId="1" applyNumberFormat="1" applyFont="1" applyFill="1" applyBorder="1"/>
    <xf numFmtId="0" fontId="80" fillId="11" borderId="1" xfId="0" applyFont="1" applyFill="1" applyBorder="1"/>
    <xf numFmtId="165" fontId="80" fillId="11" borderId="1" xfId="0" applyNumberFormat="1" applyFont="1" applyFill="1" applyBorder="1"/>
    <xf numFmtId="0" fontId="80" fillId="10" borderId="1" xfId="0" applyFont="1" applyFill="1" applyBorder="1"/>
    <xf numFmtId="168" fontId="80" fillId="10" borderId="1" xfId="2" applyNumberFormat="1" applyFont="1" applyFill="1" applyBorder="1"/>
    <xf numFmtId="0" fontId="80" fillId="8" borderId="1" xfId="0" applyFont="1" applyFill="1" applyBorder="1"/>
    <xf numFmtId="9" fontId="80" fillId="8" borderId="1" xfId="3" applyFont="1" applyFill="1" applyBorder="1"/>
    <xf numFmtId="0" fontId="80" fillId="3" borderId="1" xfId="0" applyFont="1" applyFill="1" applyBorder="1"/>
    <xf numFmtId="165" fontId="80" fillId="3" borderId="1" xfId="2" applyFont="1" applyFill="1" applyBorder="1"/>
    <xf numFmtId="0" fontId="79" fillId="2" borderId="1" xfId="0" applyFont="1" applyFill="1" applyBorder="1"/>
    <xf numFmtId="165" fontId="79" fillId="2" borderId="1" xfId="2" applyFont="1" applyFill="1" applyBorder="1"/>
    <xf numFmtId="9" fontId="80" fillId="3" borderId="1" xfId="3" applyFont="1" applyFill="1" applyBorder="1"/>
    <xf numFmtId="0" fontId="79" fillId="11" borderId="1" xfId="0" applyFont="1" applyFill="1" applyBorder="1"/>
    <xf numFmtId="165" fontId="79" fillId="11" borderId="1" xfId="2" applyFont="1" applyFill="1" applyBorder="1"/>
    <xf numFmtId="9" fontId="80" fillId="10" borderId="1" xfId="3" applyFont="1" applyFill="1" applyBorder="1"/>
    <xf numFmtId="0" fontId="80" fillId="13" borderId="1" xfId="0" applyFont="1" applyFill="1" applyBorder="1"/>
    <xf numFmtId="165" fontId="80" fillId="13" borderId="1" xfId="0" applyNumberFormat="1" applyFont="1" applyFill="1" applyBorder="1"/>
    <xf numFmtId="0" fontId="79" fillId="3" borderId="1" xfId="0" applyFont="1" applyFill="1" applyBorder="1"/>
    <xf numFmtId="10" fontId="79" fillId="3" borderId="1" xfId="3" applyNumberFormat="1" applyFont="1" applyFill="1" applyBorder="1"/>
    <xf numFmtId="165" fontId="79" fillId="3" borderId="1" xfId="3" applyNumberFormat="1" applyFont="1" applyFill="1" applyBorder="1"/>
    <xf numFmtId="0" fontId="80" fillId="0" borderId="1" xfId="0" applyFont="1" applyBorder="1"/>
    <xf numFmtId="0" fontId="80" fillId="14" borderId="1" xfId="0" applyFont="1" applyFill="1" applyBorder="1" applyAlignment="1">
      <alignment horizontal="right"/>
    </xf>
    <xf numFmtId="0" fontId="80" fillId="10" borderId="1" xfId="0" applyFont="1" applyFill="1" applyBorder="1" applyAlignment="1">
      <alignment horizontal="left"/>
    </xf>
    <xf numFmtId="10" fontId="80" fillId="10" borderId="1" xfId="3" applyNumberFormat="1" applyFont="1" applyFill="1" applyBorder="1"/>
    <xf numFmtId="10" fontId="81" fillId="10" borderId="1" xfId="3" applyNumberFormat="1" applyFont="1" applyFill="1" applyBorder="1"/>
    <xf numFmtId="0" fontId="80" fillId="0" borderId="1" xfId="0" applyFont="1" applyBorder="1" applyAlignment="1">
      <alignment horizontal="left"/>
    </xf>
    <xf numFmtId="9" fontId="80" fillId="0" borderId="1" xfId="3" applyFont="1" applyBorder="1"/>
    <xf numFmtId="0" fontId="80" fillId="0" borderId="0" xfId="0" applyFont="1" applyAlignment="1">
      <alignment horizontal="left"/>
    </xf>
    <xf numFmtId="9" fontId="80" fillId="0" borderId="0" xfId="3" applyFont="1" applyFill="1" applyBorder="1"/>
    <xf numFmtId="0" fontId="80" fillId="10" borderId="0" xfId="0" applyFont="1" applyFill="1" applyAlignment="1">
      <alignment horizontal="left"/>
    </xf>
    <xf numFmtId="9" fontId="80" fillId="10" borderId="0" xfId="3" applyFont="1" applyFill="1" applyBorder="1"/>
    <xf numFmtId="9" fontId="81" fillId="10" borderId="0" xfId="3" applyFont="1" applyFill="1" applyBorder="1"/>
    <xf numFmtId="0" fontId="79" fillId="3" borderId="0" xfId="0" applyFont="1" applyFill="1"/>
    <xf numFmtId="0" fontId="79" fillId="0" borderId="2" xfId="0" applyFont="1" applyBorder="1"/>
    <xf numFmtId="0" fontId="79" fillId="0" borderId="6" xfId="0" applyFont="1" applyBorder="1"/>
    <xf numFmtId="0" fontId="79" fillId="0" borderId="3" xfId="0" applyFont="1" applyBorder="1"/>
    <xf numFmtId="165" fontId="80" fillId="0" borderId="1" xfId="2" applyFont="1" applyBorder="1"/>
    <xf numFmtId="165" fontId="79" fillId="0" borderId="1" xfId="2" applyFont="1" applyBorder="1"/>
    <xf numFmtId="0" fontId="79" fillId="0" borderId="3" xfId="0" applyFont="1" applyBorder="1" applyAlignment="1">
      <alignment horizontal="left" indent="1"/>
    </xf>
    <xf numFmtId="3" fontId="79" fillId="0" borderId="1" xfId="0" applyNumberFormat="1" applyFont="1" applyBorder="1"/>
    <xf numFmtId="0" fontId="80" fillId="0" borderId="3" xfId="0" applyFont="1" applyBorder="1" applyAlignment="1">
      <alignment horizontal="left" indent="2"/>
    </xf>
    <xf numFmtId="165" fontId="80" fillId="0" borderId="1" xfId="2" applyFont="1" applyFill="1" applyBorder="1"/>
    <xf numFmtId="3" fontId="80" fillId="0" borderId="1" xfId="0" applyNumberFormat="1" applyFont="1" applyBorder="1"/>
    <xf numFmtId="165" fontId="79" fillId="0" borderId="1" xfId="2" applyFont="1" applyFill="1" applyBorder="1"/>
    <xf numFmtId="0" fontId="79" fillId="0" borderId="4" xfId="0" applyFont="1" applyBorder="1"/>
    <xf numFmtId="165" fontId="79" fillId="0" borderId="9" xfId="2" applyFont="1" applyBorder="1"/>
    <xf numFmtId="165" fontId="79" fillId="0" borderId="9" xfId="2" applyFont="1" applyFill="1" applyBorder="1"/>
    <xf numFmtId="0" fontId="80" fillId="0" borderId="5" xfId="0" applyFont="1" applyBorder="1"/>
    <xf numFmtId="165" fontId="80" fillId="0" borderId="5" xfId="2" applyFont="1" applyBorder="1"/>
    <xf numFmtId="165" fontId="80" fillId="0" borderId="5" xfId="2" applyFont="1" applyFill="1" applyBorder="1"/>
    <xf numFmtId="165" fontId="80" fillId="0" borderId="6" xfId="2" applyFont="1" applyBorder="1"/>
    <xf numFmtId="165" fontId="80" fillId="0" borderId="6" xfId="2" applyFont="1" applyFill="1" applyBorder="1"/>
    <xf numFmtId="0" fontId="79" fillId="0" borderId="12" xfId="0" applyFont="1" applyBorder="1"/>
    <xf numFmtId="0" fontId="79" fillId="0" borderId="14" xfId="0" applyFont="1" applyBorder="1"/>
    <xf numFmtId="0" fontId="79" fillId="0" borderId="13" xfId="0" applyFont="1" applyBorder="1"/>
    <xf numFmtId="165" fontId="79" fillId="0" borderId="13" xfId="2" applyFont="1" applyBorder="1"/>
    <xf numFmtId="0" fontId="80" fillId="0" borderId="1" xfId="0" applyFont="1" applyBorder="1" applyAlignment="1">
      <alignment horizontal="left" indent="1"/>
    </xf>
    <xf numFmtId="165" fontId="80" fillId="0" borderId="8" xfId="2" applyFont="1" applyFill="1" applyBorder="1"/>
    <xf numFmtId="0" fontId="79" fillId="0" borderId="1" xfId="0" applyFont="1" applyBorder="1" applyAlignment="1">
      <alignment horizontal="left"/>
    </xf>
    <xf numFmtId="165" fontId="81" fillId="0" borderId="1" xfId="2" applyFont="1" applyBorder="1"/>
    <xf numFmtId="0" fontId="79" fillId="0" borderId="1" xfId="0" applyFont="1" applyBorder="1"/>
    <xf numFmtId="165" fontId="79" fillId="0" borderId="8" xfId="2" applyFont="1" applyFill="1" applyBorder="1"/>
    <xf numFmtId="0" fontId="80" fillId="0" borderId="1" xfId="0" applyFont="1" applyBorder="1" applyAlignment="1">
      <alignment horizontal="left" wrapText="1" indent="1"/>
    </xf>
    <xf numFmtId="0" fontId="79" fillId="0" borderId="1" xfId="0" applyFont="1" applyBorder="1" applyAlignment="1">
      <alignment horizontal="left" indent="1"/>
    </xf>
    <xf numFmtId="165" fontId="82" fillId="0" borderId="1" xfId="2" applyFont="1" applyBorder="1"/>
    <xf numFmtId="165" fontId="83" fillId="0" borderId="1" xfId="2" applyFont="1" applyBorder="1"/>
    <xf numFmtId="0" fontId="80" fillId="4" borderId="1" xfId="0" applyFont="1" applyFill="1" applyBorder="1"/>
    <xf numFmtId="0" fontId="81" fillId="16" borderId="1" xfId="0" applyFont="1" applyFill="1" applyBorder="1"/>
    <xf numFmtId="0" fontId="79" fillId="6" borderId="1" xfId="0" applyFont="1" applyFill="1" applyBorder="1"/>
    <xf numFmtId="0" fontId="80" fillId="7" borderId="1" xfId="0" applyFont="1" applyFill="1" applyBorder="1"/>
    <xf numFmtId="0" fontId="79" fillId="8" borderId="1" xfId="0" applyFont="1" applyFill="1" applyBorder="1"/>
    <xf numFmtId="165" fontId="79" fillId="14" borderId="0" xfId="2" applyFont="1" applyFill="1" applyBorder="1"/>
    <xf numFmtId="179" fontId="80" fillId="0" borderId="0" xfId="0" applyNumberFormat="1" applyFont="1"/>
    <xf numFmtId="0" fontId="80" fillId="12" borderId="3" xfId="0" applyFont="1" applyFill="1" applyBorder="1" applyAlignment="1">
      <alignment horizontal="left" indent="2"/>
    </xf>
    <xf numFmtId="165" fontId="80" fillId="0" borderId="9" xfId="2" applyFont="1" applyBorder="1"/>
    <xf numFmtId="165" fontId="52" fillId="16" borderId="1" xfId="2" applyFont="1" applyFill="1" applyBorder="1"/>
    <xf numFmtId="165" fontId="50" fillId="14" borderId="1" xfId="2" applyFont="1" applyFill="1" applyBorder="1"/>
    <xf numFmtId="165" fontId="50" fillId="0" borderId="0" xfId="2" applyFont="1" applyFill="1" applyBorder="1"/>
    <xf numFmtId="165" fontId="51" fillId="12" borderId="1" xfId="2" applyFont="1" applyFill="1" applyBorder="1"/>
    <xf numFmtId="9" fontId="50" fillId="12" borderId="1" xfId="3" applyFont="1" applyFill="1" applyBorder="1"/>
    <xf numFmtId="165" fontId="50" fillId="13" borderId="1" xfId="0" applyNumberFormat="1" applyFont="1" applyFill="1" applyBorder="1"/>
    <xf numFmtId="165" fontId="50" fillId="12" borderId="1" xfId="0" applyNumberFormat="1" applyFont="1" applyFill="1" applyBorder="1"/>
    <xf numFmtId="10" fontId="51" fillId="12" borderId="1" xfId="3" applyNumberFormat="1" applyFont="1" applyFill="1" applyBorder="1"/>
    <xf numFmtId="10" fontId="52" fillId="10" borderId="1" xfId="3" applyNumberFormat="1" applyFont="1" applyFill="1" applyBorder="1"/>
    <xf numFmtId="0" fontId="84" fillId="0" borderId="0" xfId="0" applyFont="1"/>
    <xf numFmtId="0" fontId="50" fillId="0" borderId="27" xfId="0" applyFont="1" applyBorder="1" applyAlignment="1">
      <alignment horizontal="left" indent="2"/>
    </xf>
    <xf numFmtId="165" fontId="50" fillId="0" borderId="0" xfId="0" applyNumberFormat="1" applyFont="1"/>
    <xf numFmtId="0" fontId="51" fillId="0" borderId="15" xfId="0" applyFont="1" applyBorder="1"/>
    <xf numFmtId="0" fontId="51" fillId="0" borderId="17" xfId="0" applyFont="1" applyBorder="1"/>
    <xf numFmtId="165" fontId="51" fillId="0" borderId="16" xfId="2" applyFont="1" applyFill="1" applyBorder="1"/>
    <xf numFmtId="165" fontId="50" fillId="0" borderId="22" xfId="2" applyFont="1" applyBorder="1"/>
    <xf numFmtId="165" fontId="50" fillId="0" borderId="19" xfId="2" applyFont="1" applyBorder="1"/>
    <xf numFmtId="165" fontId="50" fillId="0" borderId="24" xfId="2" applyFont="1" applyFill="1" applyBorder="1"/>
    <xf numFmtId="168" fontId="51" fillId="0" borderId="19" xfId="2" applyNumberFormat="1" applyFont="1" applyBorder="1"/>
    <xf numFmtId="0" fontId="51" fillId="0" borderId="1" xfId="0" applyFont="1" applyBorder="1" applyAlignment="1">
      <alignment horizontal="left" indent="1"/>
    </xf>
    <xf numFmtId="168" fontId="51" fillId="0" borderId="8" xfId="2" applyNumberFormat="1" applyFont="1" applyBorder="1"/>
    <xf numFmtId="168" fontId="50" fillId="0" borderId="19" xfId="2" applyNumberFormat="1" applyFont="1" applyBorder="1"/>
    <xf numFmtId="42" fontId="50" fillId="0" borderId="22" xfId="0" applyNumberFormat="1" applyFont="1" applyBorder="1"/>
    <xf numFmtId="0" fontId="50" fillId="0" borderId="22" xfId="0" applyFont="1" applyBorder="1"/>
    <xf numFmtId="42" fontId="50" fillId="0" borderId="19" xfId="0" applyNumberFormat="1" applyFont="1" applyBorder="1"/>
    <xf numFmtId="0" fontId="50" fillId="0" borderId="19" xfId="0" applyFont="1" applyBorder="1"/>
    <xf numFmtId="165" fontId="54" fillId="0" borderId="1" xfId="2" applyFont="1" applyFill="1" applyBorder="1"/>
    <xf numFmtId="42" fontId="50" fillId="0" borderId="8" xfId="2" applyNumberFormat="1" applyFont="1" applyFill="1" applyBorder="1"/>
    <xf numFmtId="10" fontId="50" fillId="0" borderId="1" xfId="3" applyNumberFormat="1" applyFont="1" applyBorder="1"/>
    <xf numFmtId="10" fontId="50" fillId="0" borderId="1" xfId="3" applyNumberFormat="1" applyFont="1" applyFill="1" applyBorder="1"/>
    <xf numFmtId="165" fontId="51" fillId="14" borderId="16" xfId="2" applyFont="1" applyFill="1" applyBorder="1"/>
    <xf numFmtId="165" fontId="51" fillId="14" borderId="8" xfId="2" applyFont="1" applyFill="1" applyBorder="1"/>
    <xf numFmtId="165" fontId="50" fillId="14" borderId="8" xfId="2" applyFont="1" applyFill="1" applyBorder="1"/>
    <xf numFmtId="179" fontId="50" fillId="0" borderId="0" xfId="3" applyNumberFormat="1" applyFont="1"/>
    <xf numFmtId="168" fontId="80" fillId="0" borderId="5" xfId="2" applyNumberFormat="1" applyFont="1" applyBorder="1"/>
    <xf numFmtId="0" fontId="85" fillId="0" borderId="0" xfId="4" applyFont="1" applyAlignment="1">
      <alignment horizontal="center"/>
    </xf>
    <xf numFmtId="0" fontId="80" fillId="0" borderId="0" xfId="4" applyFont="1"/>
    <xf numFmtId="165" fontId="86" fillId="21" borderId="39" xfId="4" applyNumberFormat="1" applyFont="1" applyFill="1" applyBorder="1"/>
    <xf numFmtId="165" fontId="86" fillId="22" borderId="39" xfId="4" applyNumberFormat="1" applyFont="1" applyFill="1" applyBorder="1"/>
    <xf numFmtId="165" fontId="85" fillId="23" borderId="39" xfId="4" applyNumberFormat="1" applyFont="1" applyFill="1" applyBorder="1"/>
    <xf numFmtId="165" fontId="86" fillId="24" borderId="39" xfId="4" applyNumberFormat="1" applyFont="1" applyFill="1" applyBorder="1"/>
    <xf numFmtId="165" fontId="85" fillId="25" borderId="39" xfId="4" applyNumberFormat="1" applyFont="1" applyFill="1" applyBorder="1"/>
    <xf numFmtId="165" fontId="85" fillId="26" borderId="39" xfId="4" applyNumberFormat="1" applyFont="1" applyFill="1" applyBorder="1"/>
    <xf numFmtId="166" fontId="85" fillId="14" borderId="39" xfId="4" applyNumberFormat="1" applyFont="1" applyFill="1" applyBorder="1"/>
    <xf numFmtId="166" fontId="85" fillId="27" borderId="39" xfId="4" applyNumberFormat="1" applyFont="1" applyFill="1" applyBorder="1"/>
    <xf numFmtId="0" fontId="85" fillId="26" borderId="0" xfId="4" applyFont="1" applyFill="1"/>
    <xf numFmtId="168" fontId="85" fillId="26" borderId="0" xfId="4" applyNumberFormat="1" applyFont="1" applyFill="1"/>
    <xf numFmtId="0" fontId="85" fillId="27" borderId="0" xfId="4" applyFont="1" applyFill="1"/>
    <xf numFmtId="168" fontId="85" fillId="27" borderId="0" xfId="4" applyNumberFormat="1" applyFont="1" applyFill="1"/>
    <xf numFmtId="169" fontId="85" fillId="26" borderId="0" xfId="4" applyNumberFormat="1" applyFont="1" applyFill="1"/>
    <xf numFmtId="0" fontId="85" fillId="28" borderId="0" xfId="4" applyFont="1" applyFill="1"/>
    <xf numFmtId="169" fontId="85" fillId="28" borderId="0" xfId="4" applyNumberFormat="1" applyFont="1" applyFill="1"/>
    <xf numFmtId="0" fontId="85" fillId="29" borderId="0" xfId="4" applyFont="1" applyFill="1"/>
    <xf numFmtId="169" fontId="85" fillId="29" borderId="0" xfId="4" applyNumberFormat="1" applyFont="1" applyFill="1"/>
    <xf numFmtId="0" fontId="86" fillId="30" borderId="39" xfId="4" applyFont="1" applyFill="1" applyBorder="1"/>
    <xf numFmtId="165" fontId="86" fillId="30" borderId="39" xfId="4" applyNumberFormat="1" applyFont="1" applyFill="1" applyBorder="1"/>
    <xf numFmtId="168" fontId="86" fillId="29" borderId="39" xfId="4" applyNumberFormat="1" applyFont="1" applyFill="1" applyBorder="1"/>
    <xf numFmtId="2" fontId="86" fillId="29" borderId="39" xfId="4" applyNumberFormat="1" applyFont="1" applyFill="1" applyBorder="1"/>
    <xf numFmtId="9" fontId="86" fillId="25" borderId="39" xfId="4" applyNumberFormat="1" applyFont="1" applyFill="1" applyBorder="1"/>
    <xf numFmtId="0" fontId="86" fillId="31" borderId="39" xfId="4" applyFont="1" applyFill="1" applyBorder="1"/>
    <xf numFmtId="165" fontId="86" fillId="31" borderId="39" xfId="4" applyNumberFormat="1" applyFont="1" applyFill="1" applyBorder="1"/>
    <xf numFmtId="0" fontId="85" fillId="28" borderId="39" xfId="4" applyFont="1" applyFill="1" applyBorder="1"/>
    <xf numFmtId="165" fontId="85" fillId="28" borderId="39" xfId="4" applyNumberFormat="1" applyFont="1" applyFill="1" applyBorder="1"/>
    <xf numFmtId="9" fontId="86" fillId="31" borderId="39" xfId="4" applyNumberFormat="1" applyFont="1" applyFill="1" applyBorder="1"/>
    <xf numFmtId="0" fontId="85" fillId="30" borderId="39" xfId="4" applyFont="1" applyFill="1" applyBorder="1"/>
    <xf numFmtId="165" fontId="85" fillId="30" borderId="39" xfId="4" applyNumberFormat="1" applyFont="1" applyFill="1" applyBorder="1"/>
    <xf numFmtId="0" fontId="86" fillId="29" borderId="39" xfId="4" applyFont="1" applyFill="1" applyBorder="1"/>
    <xf numFmtId="9" fontId="86" fillId="29" borderId="39" xfId="4" applyNumberFormat="1" applyFont="1" applyFill="1" applyBorder="1"/>
    <xf numFmtId="0" fontId="86" fillId="32" borderId="39" xfId="4" applyFont="1" applyFill="1" applyBorder="1"/>
    <xf numFmtId="168" fontId="86" fillId="32" borderId="39" xfId="4" applyNumberFormat="1" applyFont="1" applyFill="1" applyBorder="1"/>
    <xf numFmtId="0" fontId="85" fillId="31" borderId="39" xfId="4" applyFont="1" applyFill="1" applyBorder="1"/>
    <xf numFmtId="10" fontId="85" fillId="31" borderId="39" xfId="4" applyNumberFormat="1" applyFont="1" applyFill="1" applyBorder="1"/>
    <xf numFmtId="0" fontId="86" fillId="0" borderId="39" xfId="4" applyFont="1" applyBorder="1"/>
    <xf numFmtId="0" fontId="86" fillId="27" borderId="39" xfId="4" applyFont="1" applyFill="1" applyBorder="1"/>
    <xf numFmtId="0" fontId="86" fillId="0" borderId="0" xfId="4" applyFont="1"/>
    <xf numFmtId="178" fontId="87" fillId="0" borderId="0" xfId="4" applyNumberFormat="1" applyFont="1" applyAlignment="1">
      <alignment horizontal="right"/>
    </xf>
    <xf numFmtId="0" fontId="85" fillId="31" borderId="0" xfId="4" applyFont="1" applyFill="1"/>
    <xf numFmtId="0" fontId="85" fillId="0" borderId="40" xfId="4" applyFont="1" applyBorder="1"/>
    <xf numFmtId="0" fontId="85" fillId="0" borderId="41" xfId="4" applyFont="1" applyBorder="1"/>
    <xf numFmtId="0" fontId="85" fillId="0" borderId="42" xfId="4" applyFont="1" applyBorder="1"/>
    <xf numFmtId="165" fontId="86" fillId="0" borderId="43" xfId="4" applyNumberFormat="1" applyFont="1" applyBorder="1"/>
    <xf numFmtId="0" fontId="85" fillId="0" borderId="44" xfId="4" applyFont="1" applyBorder="1" applyAlignment="1">
      <alignment horizontal="left"/>
    </xf>
    <xf numFmtId="165" fontId="85" fillId="0" borderId="39" xfId="4" applyNumberFormat="1" applyFont="1" applyBorder="1"/>
    <xf numFmtId="3" fontId="85" fillId="0" borderId="0" xfId="4" applyNumberFormat="1" applyFont="1"/>
    <xf numFmtId="165" fontId="85" fillId="0" borderId="45" xfId="4" applyNumberFormat="1" applyFont="1" applyBorder="1"/>
    <xf numFmtId="0" fontId="86" fillId="0" borderId="44" xfId="4" applyFont="1" applyBorder="1" applyAlignment="1">
      <alignment horizontal="left"/>
    </xf>
    <xf numFmtId="165" fontId="86" fillId="0" borderId="39" xfId="4" applyNumberFormat="1" applyFont="1" applyBorder="1"/>
    <xf numFmtId="165" fontId="86" fillId="0" borderId="0" xfId="4" applyNumberFormat="1" applyFont="1"/>
    <xf numFmtId="165" fontId="86" fillId="0" borderId="46" xfId="4" applyNumberFormat="1" applyFont="1" applyBorder="1"/>
    <xf numFmtId="3" fontId="86" fillId="0" borderId="0" xfId="4" applyNumberFormat="1" applyFont="1"/>
    <xf numFmtId="165" fontId="86" fillId="0" borderId="45" xfId="4" applyNumberFormat="1" applyFont="1" applyBorder="1"/>
    <xf numFmtId="0" fontId="85" fillId="0" borderId="47" xfId="4" applyFont="1" applyBorder="1"/>
    <xf numFmtId="165" fontId="85" fillId="0" borderId="48" xfId="4" applyNumberFormat="1" applyFont="1" applyBorder="1"/>
    <xf numFmtId="0" fontId="86" fillId="0" borderId="49" xfId="4" applyFont="1" applyBorder="1"/>
    <xf numFmtId="165" fontId="86" fillId="0" borderId="49" xfId="4" applyNumberFormat="1" applyFont="1" applyBorder="1"/>
    <xf numFmtId="0" fontId="86" fillId="0" borderId="50" xfId="4" applyFont="1" applyBorder="1" applyAlignment="1">
      <alignment horizontal="left"/>
    </xf>
    <xf numFmtId="165" fontId="86" fillId="0" borderId="51" xfId="4" applyNumberFormat="1" applyFont="1" applyBorder="1"/>
    <xf numFmtId="0" fontId="85" fillId="0" borderId="52" xfId="4" applyFont="1" applyBorder="1"/>
    <xf numFmtId="165" fontId="85" fillId="0" borderId="52" xfId="4" applyNumberFormat="1" applyFont="1" applyBorder="1"/>
    <xf numFmtId="0" fontId="86" fillId="0" borderId="39" xfId="4" applyFont="1" applyBorder="1" applyAlignment="1">
      <alignment horizontal="left"/>
    </xf>
    <xf numFmtId="165" fontId="88" fillId="0" borderId="39" xfId="4" applyNumberFormat="1" applyFont="1" applyBorder="1"/>
    <xf numFmtId="0" fontId="85" fillId="0" borderId="39" xfId="4" applyFont="1" applyBorder="1" applyAlignment="1">
      <alignment horizontal="left"/>
    </xf>
    <xf numFmtId="165" fontId="85" fillId="0" borderId="46" xfId="4" applyNumberFormat="1" applyFont="1" applyBorder="1"/>
    <xf numFmtId="0" fontId="86" fillId="0" borderId="39" xfId="4" applyFont="1" applyBorder="1" applyAlignment="1">
      <alignment horizontal="left" wrapText="1"/>
    </xf>
    <xf numFmtId="0" fontId="85" fillId="0" borderId="39" xfId="4" applyFont="1" applyBorder="1"/>
    <xf numFmtId="168" fontId="85" fillId="0" borderId="39" xfId="4" applyNumberFormat="1" applyFont="1" applyBorder="1"/>
    <xf numFmtId="166" fontId="80" fillId="0" borderId="0" xfId="4" applyNumberFormat="1" applyFont="1"/>
    <xf numFmtId="169" fontId="80" fillId="0" borderId="0" xfId="4" applyNumberFormat="1" applyFont="1"/>
    <xf numFmtId="165" fontId="89" fillId="0" borderId="39" xfId="4" applyNumberFormat="1" applyFont="1" applyBorder="1"/>
    <xf numFmtId="165" fontId="90" fillId="0" borderId="39" xfId="4" applyNumberFormat="1" applyFont="1" applyBorder="1"/>
    <xf numFmtId="3" fontId="10" fillId="14" borderId="1" xfId="0" applyNumberFormat="1" applyFont="1" applyFill="1" applyBorder="1"/>
    <xf numFmtId="3" fontId="5" fillId="0" borderId="1" xfId="2" applyNumberFormat="1" applyFont="1" applyBorder="1"/>
    <xf numFmtId="186" fontId="19" fillId="0" borderId="32" xfId="0" applyNumberFormat="1" applyFont="1" applyBorder="1"/>
    <xf numFmtId="43" fontId="7" fillId="0" borderId="0" xfId="3" applyNumberFormat="1" applyFont="1" applyFill="1" applyBorder="1"/>
    <xf numFmtId="0" fontId="92" fillId="0" borderId="13" xfId="0" applyFont="1" applyBorder="1"/>
    <xf numFmtId="6" fontId="91" fillId="0" borderId="1" xfId="0" applyNumberFormat="1" applyFont="1" applyBorder="1"/>
    <xf numFmtId="6" fontId="92" fillId="0" borderId="13" xfId="0" applyNumberFormat="1" applyFont="1" applyBorder="1"/>
    <xf numFmtId="6" fontId="92" fillId="0" borderId="5" xfId="0" applyNumberFormat="1" applyFont="1" applyBorder="1"/>
    <xf numFmtId="3" fontId="92" fillId="0" borderId="0" xfId="0" applyNumberFormat="1" applyFont="1"/>
    <xf numFmtId="6" fontId="92" fillId="0" borderId="1" xfId="0" applyNumberFormat="1" applyFont="1" applyBorder="1"/>
    <xf numFmtId="6" fontId="91" fillId="0" borderId="13" xfId="0" applyNumberFormat="1" applyFont="1" applyBorder="1"/>
    <xf numFmtId="6" fontId="93" fillId="0" borderId="1" xfId="0" applyNumberFormat="1" applyFont="1" applyBorder="1"/>
    <xf numFmtId="6" fontId="94" fillId="0" borderId="1" xfId="0" applyNumberFormat="1" applyFont="1" applyBorder="1"/>
    <xf numFmtId="6" fontId="92" fillId="0" borderId="22" xfId="0" applyNumberFormat="1" applyFont="1" applyBorder="1"/>
    <xf numFmtId="6" fontId="93" fillId="0" borderId="19" xfId="0" applyNumberFormat="1" applyFont="1" applyBorder="1"/>
    <xf numFmtId="6" fontId="92" fillId="0" borderId="34" xfId="0" applyNumberFormat="1" applyFont="1" applyBorder="1"/>
    <xf numFmtId="6" fontId="91" fillId="0" borderId="16" xfId="0" applyNumberFormat="1" applyFont="1" applyBorder="1"/>
    <xf numFmtId="6" fontId="95" fillId="0" borderId="13" xfId="0" applyNumberFormat="1" applyFont="1" applyBorder="1"/>
    <xf numFmtId="8" fontId="91" fillId="0" borderId="13" xfId="0" applyNumberFormat="1" applyFont="1" applyBorder="1"/>
    <xf numFmtId="6" fontId="94" fillId="0" borderId="13" xfId="0" applyNumberFormat="1" applyFont="1" applyBorder="1"/>
    <xf numFmtId="6" fontId="93" fillId="0" borderId="8" xfId="0" applyNumberFormat="1" applyFont="1" applyBorder="1"/>
    <xf numFmtId="0" fontId="96" fillId="48" borderId="1" xfId="0" applyFont="1" applyFill="1" applyBorder="1"/>
    <xf numFmtId="0" fontId="96" fillId="48" borderId="19" xfId="0" applyFont="1" applyFill="1" applyBorder="1"/>
    <xf numFmtId="0" fontId="96" fillId="48" borderId="13" xfId="0" applyFont="1" applyFill="1" applyBorder="1"/>
    <xf numFmtId="0" fontId="96" fillId="48" borderId="22" xfId="0" applyFont="1" applyFill="1" applyBorder="1"/>
    <xf numFmtId="10" fontId="45" fillId="44" borderId="1" xfId="0" applyNumberFormat="1" applyFont="1" applyFill="1" applyBorder="1"/>
    <xf numFmtId="6" fontId="45" fillId="48" borderId="0" xfId="0" applyNumberFormat="1" applyFont="1" applyFill="1"/>
    <xf numFmtId="0" fontId="97" fillId="0" borderId="0" xfId="0" applyFont="1"/>
    <xf numFmtId="183" fontId="98" fillId="52" borderId="1" xfId="0" applyNumberFormat="1" applyFont="1" applyFill="1" applyBorder="1"/>
    <xf numFmtId="183" fontId="98" fillId="52" borderId="19" xfId="0" applyNumberFormat="1" applyFont="1" applyFill="1" applyBorder="1"/>
    <xf numFmtId="183" fontId="98" fillId="53" borderId="13" xfId="0" applyNumberFormat="1" applyFont="1" applyFill="1" applyBorder="1"/>
    <xf numFmtId="183" fontId="98" fillId="53" borderId="22" xfId="0" applyNumberFormat="1" applyFont="1" applyFill="1" applyBorder="1"/>
    <xf numFmtId="183" fontId="98" fillId="44" borderId="13" xfId="0" applyNumberFormat="1" applyFont="1" applyFill="1" applyBorder="1"/>
    <xf numFmtId="183" fontId="98" fillId="44" borderId="22" xfId="0" applyNumberFormat="1" applyFont="1" applyFill="1" applyBorder="1"/>
    <xf numFmtId="183" fontId="98" fillId="54" borderId="13" xfId="0" applyNumberFormat="1" applyFont="1" applyFill="1" applyBorder="1"/>
    <xf numFmtId="183" fontId="98" fillId="54" borderId="22" xfId="0" applyNumberFormat="1" applyFont="1" applyFill="1" applyBorder="1"/>
    <xf numFmtId="1" fontId="98" fillId="51" borderId="0" xfId="0" applyNumberFormat="1" applyFont="1" applyFill="1"/>
    <xf numFmtId="183" fontId="98" fillId="49" borderId="1" xfId="0" applyNumberFormat="1" applyFont="1" applyFill="1" applyBorder="1"/>
    <xf numFmtId="183" fontId="98" fillId="50" borderId="13" xfId="0" applyNumberFormat="1" applyFont="1" applyFill="1" applyBorder="1"/>
    <xf numFmtId="183" fontId="98" fillId="51" borderId="13" xfId="0" applyNumberFormat="1" applyFont="1" applyFill="1" applyBorder="1"/>
    <xf numFmtId="183" fontId="98" fillId="49" borderId="19" xfId="0" applyNumberFormat="1" applyFont="1" applyFill="1" applyBorder="1"/>
    <xf numFmtId="183" fontId="98" fillId="50" borderId="22" xfId="0" applyNumberFormat="1" applyFont="1" applyFill="1" applyBorder="1"/>
    <xf numFmtId="183" fontId="98" fillId="51" borderId="22" xfId="0" applyNumberFormat="1" applyFont="1" applyFill="1" applyBorder="1"/>
    <xf numFmtId="183" fontId="19" fillId="14" borderId="1" xfId="0" applyNumberFormat="1" applyFont="1" applyFill="1" applyBorder="1"/>
    <xf numFmtId="183" fontId="98" fillId="48" borderId="1" xfId="0" applyNumberFormat="1" applyFont="1" applyFill="1" applyBorder="1"/>
    <xf numFmtId="183" fontId="98" fillId="48" borderId="19" xfId="0" applyNumberFormat="1" applyFont="1" applyFill="1" applyBorder="1"/>
    <xf numFmtId="183" fontId="19" fillId="10" borderId="1" xfId="0" applyNumberFormat="1" applyFont="1" applyFill="1" applyBorder="1"/>
    <xf numFmtId="183" fontId="19" fillId="11" borderId="1" xfId="0" applyNumberFormat="1" applyFont="1" applyFill="1" applyBorder="1"/>
    <xf numFmtId="183" fontId="19" fillId="3" borderId="1" xfId="0" applyNumberFormat="1" applyFont="1" applyFill="1" applyBorder="1"/>
    <xf numFmtId="183" fontId="19" fillId="15" borderId="1" xfId="0" applyNumberFormat="1" applyFont="1" applyFill="1" applyBorder="1"/>
    <xf numFmtId="168" fontId="10" fillId="15" borderId="1" xfId="2" applyNumberFormat="1" applyFont="1" applyFill="1" applyBorder="1"/>
    <xf numFmtId="168" fontId="10" fillId="15" borderId="5" xfId="2" applyNumberFormat="1" applyFont="1" applyFill="1" applyBorder="1"/>
    <xf numFmtId="183" fontId="19" fillId="6" borderId="1" xfId="2" applyNumberFormat="1" applyFont="1" applyFill="1" applyBorder="1"/>
    <xf numFmtId="183" fontId="19" fillId="7" borderId="1" xfId="2" applyNumberFormat="1" applyFont="1" applyFill="1" applyBorder="1"/>
    <xf numFmtId="183" fontId="19" fillId="10" borderId="1" xfId="2" applyNumberFormat="1" applyFont="1" applyFill="1" applyBorder="1"/>
    <xf numFmtId="183" fontId="19" fillId="11" borderId="1" xfId="2" applyNumberFormat="1" applyFont="1" applyFill="1" applyBorder="1"/>
    <xf numFmtId="183" fontId="19" fillId="3" borderId="1" xfId="2" applyNumberFormat="1" applyFont="1" applyFill="1" applyBorder="1"/>
    <xf numFmtId="0" fontId="91" fillId="0" borderId="1" xfId="0" applyFont="1" applyBorder="1"/>
    <xf numFmtId="0" fontId="91" fillId="0" borderId="13" xfId="0" applyFont="1" applyBorder="1"/>
    <xf numFmtId="168" fontId="51" fillId="0" borderId="88" xfId="2" applyNumberFormat="1" applyFont="1" applyBorder="1"/>
    <xf numFmtId="168" fontId="51" fillId="0" borderId="88" xfId="2" applyNumberFormat="1" applyFont="1" applyFill="1" applyBorder="1"/>
    <xf numFmtId="0" fontId="99" fillId="48" borderId="13" xfId="0" applyFont="1" applyFill="1" applyBorder="1"/>
    <xf numFmtId="0" fontId="101" fillId="0" borderId="13" xfId="0" applyFont="1" applyBorder="1"/>
    <xf numFmtId="0" fontId="100" fillId="0" borderId="13" xfId="0" applyFont="1" applyBorder="1"/>
    <xf numFmtId="0" fontId="101" fillId="0" borderId="5" xfId="0" applyFont="1" applyBorder="1"/>
    <xf numFmtId="0" fontId="101" fillId="0" borderId="6" xfId="0" applyFont="1" applyBorder="1"/>
    <xf numFmtId="0" fontId="101" fillId="0" borderId="0" xfId="0" applyFont="1"/>
    <xf numFmtId="0" fontId="100" fillId="0" borderId="14" xfId="0" applyFont="1" applyBorder="1"/>
    <xf numFmtId="0" fontId="101" fillId="0" borderId="16" xfId="0" applyFont="1" applyBorder="1"/>
    <xf numFmtId="0" fontId="103" fillId="0" borderId="13" xfId="0" applyFont="1" applyBorder="1"/>
    <xf numFmtId="0" fontId="104" fillId="0" borderId="13" xfId="0" applyFont="1" applyBorder="1"/>
    <xf numFmtId="0" fontId="102" fillId="0" borderId="13" xfId="0" applyFont="1" applyBorder="1"/>
    <xf numFmtId="6" fontId="104" fillId="0" borderId="1" xfId="0" applyNumberFormat="1" applyFont="1" applyBorder="1"/>
    <xf numFmtId="6" fontId="102" fillId="0" borderId="1" xfId="0" applyNumberFormat="1" applyFont="1" applyBorder="1"/>
    <xf numFmtId="168" fontId="7" fillId="0" borderId="0" xfId="3" applyNumberFormat="1" applyFont="1" applyFill="1" applyBorder="1"/>
    <xf numFmtId="0" fontId="105" fillId="0" borderId="86" xfId="0" applyFont="1" applyBorder="1"/>
    <xf numFmtId="165" fontId="0" fillId="0" borderId="89" xfId="2" applyFont="1" applyBorder="1"/>
    <xf numFmtId="0" fontId="106" fillId="0" borderId="0" xfId="0" applyFont="1" applyAlignment="1">
      <alignment vertical="center"/>
    </xf>
    <xf numFmtId="0" fontId="8" fillId="19" borderId="1" xfId="0" applyFont="1" applyFill="1" applyBorder="1"/>
    <xf numFmtId="165" fontId="8" fillId="19" borderId="1" xfId="3" applyNumberFormat="1" applyFont="1" applyFill="1" applyBorder="1"/>
    <xf numFmtId="0" fontId="107" fillId="0" borderId="0" xfId="0" applyFont="1"/>
    <xf numFmtId="0" fontId="10" fillId="11" borderId="1" xfId="0" applyFont="1" applyFill="1" applyBorder="1" applyAlignment="1">
      <alignment horizontal="right"/>
    </xf>
    <xf numFmtId="0" fontId="2" fillId="11" borderId="1" xfId="0" applyFont="1" applyFill="1" applyBorder="1"/>
    <xf numFmtId="0" fontId="4" fillId="0" borderId="0" xfId="0" applyFont="1" applyAlignment="1">
      <alignment vertical="center"/>
    </xf>
    <xf numFmtId="0" fontId="7" fillId="0" borderId="24" xfId="0" applyFont="1" applyBorder="1"/>
    <xf numFmtId="0" fontId="10" fillId="14" borderId="24" xfId="0" applyFont="1" applyFill="1" applyBorder="1" applyAlignment="1">
      <alignment horizontal="right"/>
    </xf>
    <xf numFmtId="165" fontId="85" fillId="31" borderId="51" xfId="4" applyNumberFormat="1" applyFont="1" applyFill="1" applyBorder="1"/>
    <xf numFmtId="179" fontId="80" fillId="0" borderId="0" xfId="3" applyNumberFormat="1" applyFont="1" applyFill="1" applyBorder="1"/>
    <xf numFmtId="0" fontId="109" fillId="48" borderId="22" xfId="0" applyFont="1" applyFill="1" applyBorder="1"/>
    <xf numFmtId="190" fontId="80" fillId="0" borderId="0" xfId="4" applyNumberFormat="1" applyFont="1"/>
    <xf numFmtId="165" fontId="86" fillId="14" borderId="39" xfId="4" applyNumberFormat="1" applyFont="1" applyFill="1" applyBorder="1"/>
    <xf numFmtId="165" fontId="88" fillId="14" borderId="39" xfId="4" applyNumberFormat="1" applyFont="1" applyFill="1" applyBorder="1"/>
    <xf numFmtId="0" fontId="110" fillId="0" borderId="0" xfId="0" applyFont="1"/>
    <xf numFmtId="42" fontId="85" fillId="0" borderId="45" xfId="4" applyNumberFormat="1" applyFont="1" applyBorder="1"/>
    <xf numFmtId="165" fontId="85" fillId="14" borderId="52" xfId="4" applyNumberFormat="1" applyFont="1" applyFill="1" applyBorder="1"/>
    <xf numFmtId="165" fontId="85" fillId="14" borderId="39" xfId="4" applyNumberFormat="1" applyFont="1" applyFill="1" applyBorder="1"/>
    <xf numFmtId="3" fontId="88" fillId="0" borderId="0" xfId="4" applyNumberFormat="1" applyFont="1"/>
    <xf numFmtId="180" fontId="2" fillId="19" borderId="0" xfId="2" applyNumberFormat="1" applyFont="1" applyFill="1"/>
    <xf numFmtId="0" fontId="51" fillId="0" borderId="0" xfId="0" applyFont="1"/>
    <xf numFmtId="165" fontId="51" fillId="0" borderId="5" xfId="0" applyNumberFormat="1" applyFont="1" applyBorder="1"/>
    <xf numFmtId="43" fontId="50" fillId="0" borderId="1" xfId="0" applyNumberFormat="1" applyFont="1" applyBorder="1"/>
    <xf numFmtId="189" fontId="50" fillId="0" borderId="1" xfId="0" applyNumberFormat="1" applyFont="1" applyBorder="1"/>
    <xf numFmtId="189" fontId="50" fillId="14" borderId="1" xfId="0" applyNumberFormat="1" applyFont="1" applyFill="1" applyBorder="1"/>
    <xf numFmtId="191" fontId="50" fillId="14" borderId="1" xfId="0" applyNumberFormat="1" applyFont="1" applyFill="1" applyBorder="1"/>
    <xf numFmtId="181" fontId="50" fillId="14" borderId="1" xfId="0" applyNumberFormat="1" applyFont="1" applyFill="1" applyBorder="1"/>
    <xf numFmtId="10" fontId="7" fillId="0" borderId="0" xfId="3" applyNumberFormat="1" applyFont="1" applyFill="1" applyBorder="1"/>
    <xf numFmtId="1" fontId="7" fillId="0" borderId="1" xfId="0" applyNumberFormat="1" applyFont="1" applyBorder="1"/>
    <xf numFmtId="185" fontId="109" fillId="48" borderId="19" xfId="0" applyNumberFormat="1" applyFont="1" applyFill="1" applyBorder="1"/>
    <xf numFmtId="186" fontId="80" fillId="0" borderId="0" xfId="0" applyNumberFormat="1" applyFont="1"/>
    <xf numFmtId="0" fontId="80" fillId="15" borderId="1" xfId="0" applyFont="1" applyFill="1" applyBorder="1"/>
    <xf numFmtId="165" fontId="80" fillId="15" borderId="1" xfId="2" applyFont="1" applyFill="1" applyBorder="1"/>
    <xf numFmtId="166" fontId="80" fillId="14" borderId="1" xfId="1" applyFont="1" applyFill="1" applyBorder="1"/>
    <xf numFmtId="2" fontId="80" fillId="10" borderId="1" xfId="0" applyNumberFormat="1" applyFont="1" applyFill="1" applyBorder="1"/>
    <xf numFmtId="168" fontId="80" fillId="13" borderId="1" xfId="0" applyNumberFormat="1" applyFont="1" applyFill="1" applyBorder="1"/>
    <xf numFmtId="43" fontId="79" fillId="3" borderId="1" xfId="3" applyNumberFormat="1" applyFont="1" applyFill="1" applyBorder="1"/>
    <xf numFmtId="165" fontId="79" fillId="0" borderId="6" xfId="2" applyFont="1" applyBorder="1"/>
    <xf numFmtId="168" fontId="79" fillId="0" borderId="1" xfId="2" applyNumberFormat="1" applyFont="1" applyFill="1" applyBorder="1"/>
    <xf numFmtId="0" fontId="0" fillId="0" borderId="0" xfId="0" applyAlignment="1">
      <alignment horizontal="left"/>
    </xf>
    <xf numFmtId="0" fontId="2" fillId="0" borderId="0" xfId="0" applyFont="1" applyAlignment="1">
      <alignment horizontal="left"/>
    </xf>
    <xf numFmtId="0" fontId="1" fillId="0" borderId="0" xfId="0" applyFont="1" applyAlignment="1">
      <alignment horizontal="left"/>
    </xf>
    <xf numFmtId="0" fontId="16" fillId="0" borderId="0" xfId="5" applyFont="1" applyBorder="1" applyAlignment="1">
      <alignment horizontal="left"/>
    </xf>
    <xf numFmtId="0" fontId="25" fillId="0" borderId="0" xfId="5" applyFont="1" applyBorder="1" applyAlignment="1">
      <alignment horizontal="left"/>
    </xf>
    <xf numFmtId="0" fontId="2" fillId="18" borderId="0" xfId="0" applyFont="1" applyFill="1" applyAlignment="1">
      <alignment horizontal="left"/>
    </xf>
    <xf numFmtId="9" fontId="2" fillId="14" borderId="0" xfId="2" applyNumberFormat="1" applyFont="1" applyFill="1"/>
    <xf numFmtId="9" fontId="2" fillId="14" borderId="0" xfId="0" applyNumberFormat="1" applyFont="1" applyFill="1"/>
    <xf numFmtId="168" fontId="8" fillId="5" borderId="0" xfId="2" applyNumberFormat="1" applyFont="1" applyFill="1"/>
    <xf numFmtId="6" fontId="111" fillId="44" borderId="19" xfId="0" applyNumberFormat="1" applyFont="1" applyFill="1" applyBorder="1"/>
    <xf numFmtId="0" fontId="21" fillId="0" borderId="0" xfId="0" applyFont="1" applyAlignment="1">
      <alignment wrapText="1"/>
    </xf>
    <xf numFmtId="0" fontId="112" fillId="0" borderId="6" xfId="0" applyFont="1" applyBorder="1"/>
    <xf numFmtId="0" fontId="113" fillId="0" borderId="13" xfId="0" applyFont="1" applyBorder="1"/>
    <xf numFmtId="0" fontId="112" fillId="0" borderId="13" xfId="0" applyFont="1" applyBorder="1"/>
    <xf numFmtId="0" fontId="113" fillId="0" borderId="5" xfId="0" applyFont="1" applyBorder="1"/>
    <xf numFmtId="0" fontId="113" fillId="0" borderId="6" xfId="0" applyFont="1" applyBorder="1"/>
    <xf numFmtId="0" fontId="113" fillId="0" borderId="0" xfId="0" applyFont="1"/>
    <xf numFmtId="0" fontId="112" fillId="0" borderId="14" xfId="0" applyFont="1" applyBorder="1"/>
    <xf numFmtId="165" fontId="50" fillId="0" borderId="8" xfId="2" applyFont="1" applyBorder="1"/>
    <xf numFmtId="6" fontId="113" fillId="0" borderId="16" xfId="0" applyNumberFormat="1" applyFont="1" applyBorder="1"/>
    <xf numFmtId="6" fontId="112" fillId="0" borderId="13" xfId="0" applyNumberFormat="1" applyFont="1" applyBorder="1"/>
    <xf numFmtId="6" fontId="53" fillId="0" borderId="1" xfId="0" applyNumberFormat="1" applyFont="1" applyBorder="1"/>
    <xf numFmtId="6" fontId="54" fillId="0" borderId="1" xfId="0" applyNumberFormat="1" applyFont="1" applyBorder="1"/>
    <xf numFmtId="6" fontId="52" fillId="0" borderId="13" xfId="0" applyNumberFormat="1" applyFont="1" applyBorder="1"/>
    <xf numFmtId="6" fontId="112" fillId="0" borderId="16" xfId="0" applyNumberFormat="1" applyFont="1" applyBorder="1"/>
    <xf numFmtId="6" fontId="53" fillId="0" borderId="8" xfId="0" applyNumberFormat="1" applyFont="1" applyBorder="1"/>
    <xf numFmtId="6" fontId="113" fillId="0" borderId="13" xfId="0" applyNumberFormat="1" applyFont="1" applyBorder="1"/>
    <xf numFmtId="6" fontId="112" fillId="0" borderId="90" xfId="0" applyNumberFormat="1" applyFont="1" applyBorder="1"/>
    <xf numFmtId="0" fontId="0" fillId="0" borderId="86" xfId="0" applyBorder="1" applyAlignment="1">
      <alignment wrapText="1"/>
    </xf>
    <xf numFmtId="3" fontId="50" fillId="14" borderId="1" xfId="0" applyNumberFormat="1" applyFont="1" applyFill="1" applyBorder="1"/>
    <xf numFmtId="0" fontId="51" fillId="13" borderId="1" xfId="0" applyFont="1" applyFill="1" applyBorder="1"/>
    <xf numFmtId="0" fontId="5" fillId="0" borderId="0" xfId="0" applyFont="1" applyAlignment="1">
      <alignment vertical="center"/>
    </xf>
    <xf numFmtId="1" fontId="98" fillId="51" borderId="39" xfId="0" applyNumberFormat="1" applyFont="1" applyFill="1" applyBorder="1"/>
    <xf numFmtId="183" fontId="98" fillId="51" borderId="21" xfId="0" applyNumberFormat="1" applyFont="1" applyFill="1" applyBorder="1"/>
    <xf numFmtId="183" fontId="98" fillId="48" borderId="22" xfId="0" applyNumberFormat="1" applyFont="1" applyFill="1" applyBorder="1"/>
    <xf numFmtId="165" fontId="19" fillId="20" borderId="39" xfId="2" applyFont="1" applyFill="1" applyBorder="1"/>
    <xf numFmtId="1" fontId="98" fillId="51" borderId="46" xfId="0" applyNumberFormat="1" applyFont="1" applyFill="1" applyBorder="1"/>
    <xf numFmtId="183" fontId="19" fillId="20" borderId="25" xfId="2" applyNumberFormat="1" applyFont="1" applyFill="1" applyBorder="1"/>
    <xf numFmtId="165" fontId="19" fillId="20" borderId="25" xfId="2" applyFont="1" applyFill="1" applyBorder="1"/>
    <xf numFmtId="168" fontId="19" fillId="14" borderId="13" xfId="2" applyNumberFormat="1" applyFont="1" applyFill="1" applyBorder="1"/>
    <xf numFmtId="165" fontId="19" fillId="14" borderId="13" xfId="2" applyFont="1" applyFill="1" applyBorder="1"/>
    <xf numFmtId="168" fontId="7" fillId="0" borderId="1" xfId="0" applyNumberFormat="1" applyFont="1" applyBorder="1"/>
    <xf numFmtId="184" fontId="3" fillId="0" borderId="1" xfId="2" applyNumberFormat="1" applyFont="1" applyBorder="1"/>
    <xf numFmtId="184" fontId="94" fillId="0" borderId="19" xfId="0" quotePrefix="1" applyNumberFormat="1" applyFont="1" applyBorder="1"/>
    <xf numFmtId="184" fontId="93" fillId="0" borderId="19" xfId="0" quotePrefix="1" applyNumberFormat="1" applyFont="1" applyBorder="1"/>
    <xf numFmtId="184" fontId="92" fillId="0" borderId="19" xfId="0" applyNumberFormat="1" applyFont="1" applyBorder="1"/>
    <xf numFmtId="0" fontId="114" fillId="0" borderId="0" xfId="0" applyFont="1" applyAlignment="1">
      <alignment vertical="center"/>
    </xf>
    <xf numFmtId="0" fontId="5" fillId="47" borderId="0" xfId="0" applyFont="1" applyFill="1" applyAlignment="1">
      <alignment vertical="center"/>
    </xf>
    <xf numFmtId="0" fontId="91" fillId="0" borderId="58" xfId="0" applyFont="1" applyBorder="1"/>
    <xf numFmtId="0" fontId="92" fillId="0" borderId="22" xfId="0" applyFont="1" applyBorder="1"/>
    <xf numFmtId="8" fontId="92" fillId="0" borderId="22" xfId="0" applyNumberFormat="1" applyFont="1" applyBorder="1"/>
    <xf numFmtId="0" fontId="92" fillId="0" borderId="57" xfId="0" applyFont="1" applyBorder="1"/>
    <xf numFmtId="0" fontId="91" fillId="0" borderId="57" xfId="0" applyFont="1" applyBorder="1"/>
    <xf numFmtId="0" fontId="92" fillId="0" borderId="21" xfId="0" applyFont="1" applyBorder="1"/>
    <xf numFmtId="0" fontId="92" fillId="0" borderId="18" xfId="0" applyFont="1" applyBorder="1"/>
    <xf numFmtId="0" fontId="92" fillId="0" borderId="0" xfId="0" applyFont="1"/>
    <xf numFmtId="8" fontId="93" fillId="0" borderId="19" xfId="0" applyNumberFormat="1" applyFont="1" applyBorder="1"/>
    <xf numFmtId="6" fontId="92" fillId="0" borderId="16" xfId="0" applyNumberFormat="1" applyFont="1" applyBorder="1"/>
    <xf numFmtId="3" fontId="92" fillId="0" borderId="22" xfId="0" applyNumberFormat="1" applyFont="1" applyBorder="1"/>
    <xf numFmtId="3" fontId="93" fillId="0" borderId="19" xfId="0" applyNumberFormat="1" applyFont="1" applyBorder="1"/>
    <xf numFmtId="6" fontId="91" fillId="0" borderId="22" xfId="0" applyNumberFormat="1" applyFont="1" applyBorder="1"/>
    <xf numFmtId="6" fontId="91" fillId="0" borderId="34" xfId="0" applyNumberFormat="1" applyFont="1" applyBorder="1"/>
    <xf numFmtId="6" fontId="94" fillId="0" borderId="19" xfId="0" applyNumberFormat="1" applyFont="1" applyBorder="1"/>
    <xf numFmtId="6" fontId="92" fillId="0" borderId="21" xfId="0" applyNumberFormat="1" applyFont="1" applyBorder="1"/>
    <xf numFmtId="6" fontId="91" fillId="0" borderId="20" xfId="0" applyNumberFormat="1" applyFont="1" applyBorder="1"/>
    <xf numFmtId="6" fontId="91" fillId="0" borderId="91" xfId="0" applyNumberFormat="1" applyFont="1" applyBorder="1"/>
    <xf numFmtId="6" fontId="91" fillId="0" borderId="57" xfId="0" applyNumberFormat="1" applyFont="1" applyBorder="1"/>
    <xf numFmtId="0" fontId="115" fillId="48" borderId="1" xfId="0" applyFont="1" applyFill="1" applyBorder="1"/>
    <xf numFmtId="3" fontId="116" fillId="48" borderId="19" xfId="0" applyNumberFormat="1" applyFont="1" applyFill="1" applyBorder="1"/>
    <xf numFmtId="0" fontId="116" fillId="48" borderId="22" xfId="0" applyFont="1" applyFill="1" applyBorder="1"/>
    <xf numFmtId="6" fontId="98" fillId="49" borderId="1" xfId="0" applyNumberFormat="1" applyFont="1" applyFill="1" applyBorder="1"/>
    <xf numFmtId="6" fontId="98" fillId="50" borderId="13" xfId="0" applyNumberFormat="1" applyFont="1" applyFill="1" applyBorder="1"/>
    <xf numFmtId="6" fontId="98" fillId="51" borderId="13" xfId="0" applyNumberFormat="1" applyFont="1" applyFill="1" applyBorder="1"/>
    <xf numFmtId="6" fontId="98" fillId="51" borderId="0" xfId="0" applyNumberFormat="1" applyFont="1" applyFill="1"/>
    <xf numFmtId="6" fontId="98" fillId="48" borderId="1" xfId="0" applyNumberFormat="1" applyFont="1" applyFill="1" applyBorder="1"/>
    <xf numFmtId="6" fontId="98" fillId="52" borderId="1" xfId="0" applyNumberFormat="1" applyFont="1" applyFill="1" applyBorder="1"/>
    <xf numFmtId="6" fontId="98" fillId="53" borderId="13" xfId="0" applyNumberFormat="1" applyFont="1" applyFill="1" applyBorder="1"/>
    <xf numFmtId="6" fontId="98" fillId="44" borderId="13" xfId="0" applyNumberFormat="1" applyFont="1" applyFill="1" applyBorder="1"/>
    <xf numFmtId="8" fontId="98" fillId="44" borderId="1" xfId="0" applyNumberFormat="1" applyFont="1" applyFill="1" applyBorder="1"/>
    <xf numFmtId="0" fontId="40" fillId="40" borderId="0" xfId="0" applyFont="1" applyFill="1" applyAlignment="1">
      <alignment horizontal="center"/>
    </xf>
    <xf numFmtId="0" fontId="40" fillId="40" borderId="63" xfId="0" applyFont="1" applyFill="1" applyBorder="1" applyAlignment="1">
      <alignment horizontal="center"/>
    </xf>
    <xf numFmtId="0" fontId="37" fillId="42" borderId="0" xfId="0" applyFont="1" applyFill="1" applyAlignment="1">
      <alignment horizontal="center" vertical="center"/>
    </xf>
    <xf numFmtId="0" fontId="41" fillId="41" borderId="0" xfId="0" applyFont="1" applyFill="1" applyAlignment="1">
      <alignment horizontal="center" vertical="center"/>
    </xf>
    <xf numFmtId="0" fontId="39" fillId="40" borderId="60" xfId="0" applyFont="1" applyFill="1" applyBorder="1" applyAlignment="1">
      <alignment horizontal="center"/>
    </xf>
    <xf numFmtId="0" fontId="39" fillId="40" borderId="61" xfId="0" applyFont="1" applyFill="1" applyBorder="1" applyAlignment="1">
      <alignment horizontal="center"/>
    </xf>
    <xf numFmtId="0" fontId="1" fillId="0" borderId="35" xfId="0" applyFont="1" applyBorder="1" applyAlignment="1">
      <alignment horizontal="center"/>
    </xf>
    <xf numFmtId="0" fontId="1" fillId="0" borderId="36" xfId="0" applyFont="1" applyBorder="1" applyAlignment="1">
      <alignment horizontal="center"/>
    </xf>
    <xf numFmtId="0" fontId="1" fillId="0" borderId="37" xfId="0" applyFont="1" applyBorder="1" applyAlignment="1">
      <alignment horizontal="center"/>
    </xf>
    <xf numFmtId="0" fontId="44" fillId="14" borderId="71" xfId="0" applyFont="1" applyFill="1" applyBorder="1" applyAlignment="1">
      <alignment horizontal="center"/>
    </xf>
    <xf numFmtId="0" fontId="44" fillId="14" borderId="0" xfId="0" applyFont="1" applyFill="1" applyAlignment="1">
      <alignment horizontal="center"/>
    </xf>
  </cellXfs>
  <cellStyles count="6">
    <cellStyle name="Comma [0]" xfId="1" builtinId="6"/>
    <cellStyle name="Currency [0]" xfId="2" builtinId="7"/>
    <cellStyle name="Hyperlink" xfId="5" builtinId="8"/>
    <cellStyle name="Normal" xfId="0" builtinId="0"/>
    <cellStyle name="Normal 2" xfId="4" xr:uid="{2AEE24E7-7ADF-4A1D-866D-112FBD5137F9}"/>
    <cellStyle name="Percent" xfId="3" builtinId="5"/>
  </cellStyles>
  <dxfs count="304">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9" tint="0.79998168889431442"/>
        </patternFill>
      </fill>
    </dxf>
    <dxf>
      <fill>
        <patternFill>
          <bgColor theme="5" tint="0.79998168889431442"/>
        </patternFill>
      </fill>
    </dxf>
    <dxf>
      <font>
        <color auto="1"/>
      </font>
      <fill>
        <patternFill>
          <bgColor theme="9" tint="0.79998168889431442"/>
        </patternFill>
      </fill>
    </dxf>
    <dxf>
      <fill>
        <patternFill>
          <bgColor theme="7" tint="0.79998168889431442"/>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0" formatCode="General"/>
    </dxf>
  </dxfs>
  <tableStyles count="0" defaultTableStyle="TableStyleMedium2" defaultPivotStyle="PivotStyleLight16"/>
  <colors>
    <mruColors>
      <color rgb="FFE7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sheetMetadata" Target="metadata.xml"/><Relationship Id="rId79" Type="http://schemas.microsoft.com/office/2017/06/relationships/rdSupportingPropertyBag" Target="richData/rdsupportingpropertybag.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microsoft.com/office/2017/06/relationships/richStyles" Target="richData/rich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80" Type="http://schemas.microsoft.com/office/2017/06/relationships/rdRichValueTypes" Target="richData/rdRichValueTyp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78" Type="http://schemas.microsoft.com/office/2017/06/relationships/rdSupportingPropertyBagStructure" Target="richData/rdsupportingpropertybagstructure.xml"/><Relationship Id="rId8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microsoft.com/office/2017/06/relationships/rdRichValueStructure" Target="richData/rdrichvaluestructure.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Gráfico</a:t>
            </a:r>
            <a:r>
              <a:rPr lang="en-US" baseline="0"/>
              <a:t> Amigo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181015773173485"/>
          <c:y val="0.1276031994868165"/>
          <c:w val="0.88224544273618644"/>
          <c:h val="0.75585397350159167"/>
        </c:manualLayout>
      </c:layout>
      <c:lineChart>
        <c:grouping val="standard"/>
        <c:varyColors val="0"/>
        <c:ser>
          <c:idx val="0"/>
          <c:order val="0"/>
          <c:tx>
            <c:strRef>
              <c:f>BANVIDA!$B$34</c:f>
              <c:strCache>
                <c:ptCount val="1"/>
                <c:pt idx="0">
                  <c:v>Utilidad neta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BANVIDA!$C$34:$I$34</c:f>
              <c:numCache>
                <c:formatCode>_ "$"* #,##0_ ;_ "$"* \-#,##0_ ;_ "$"* "-"_ ;_ @_ </c:formatCode>
                <c:ptCount val="7"/>
                <c:pt idx="0">
                  <c:v>83753861000</c:v>
                </c:pt>
                <c:pt idx="1">
                  <c:v>30317362000</c:v>
                </c:pt>
                <c:pt idx="2">
                  <c:v>39310287000</c:v>
                </c:pt>
                <c:pt idx="3">
                  <c:v>84638569000</c:v>
                </c:pt>
                <c:pt idx="4">
                  <c:v>135030389000</c:v>
                </c:pt>
                <c:pt idx="5">
                  <c:v>110107272000</c:v>
                </c:pt>
                <c:pt idx="6">
                  <c:v>109163047000</c:v>
                </c:pt>
              </c:numCache>
            </c:numRef>
          </c:val>
          <c:smooth val="0"/>
          <c:extLst>
            <c:ext xmlns:c16="http://schemas.microsoft.com/office/drawing/2014/chart" uri="{C3380CC4-5D6E-409C-BE32-E72D297353CC}">
              <c16:uniqueId val="{00000000-9490-4553-A957-B52D7B7BF4E7}"/>
            </c:ext>
          </c:extLst>
        </c:ser>
        <c:ser>
          <c:idx val="1"/>
          <c:order val="1"/>
          <c:tx>
            <c:strRef>
              <c:f>BANVIDA!$B$38</c:f>
              <c:strCache>
                <c:ptCount val="1"/>
                <c:pt idx="0">
                  <c:v>FCF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BANVIDA!$C$38:$I$38</c:f>
              <c:numCache>
                <c:formatCode>"$"#,##0;[Red]"$"\-#,##0</c:formatCode>
                <c:ptCount val="7"/>
                <c:pt idx="0">
                  <c:v>3947927000</c:v>
                </c:pt>
                <c:pt idx="1">
                  <c:v>4526234000</c:v>
                </c:pt>
                <c:pt idx="2">
                  <c:v>3206616000</c:v>
                </c:pt>
                <c:pt idx="3">
                  <c:v>2622088000</c:v>
                </c:pt>
                <c:pt idx="4">
                  <c:v>4590222000</c:v>
                </c:pt>
                <c:pt idx="5">
                  <c:v>34938338000</c:v>
                </c:pt>
                <c:pt idx="6">
                  <c:v>6628611000</c:v>
                </c:pt>
              </c:numCache>
            </c:numRef>
          </c:val>
          <c:smooth val="0"/>
          <c:extLst>
            <c:ext xmlns:c16="http://schemas.microsoft.com/office/drawing/2014/chart" uri="{C3380CC4-5D6E-409C-BE32-E72D297353CC}">
              <c16:uniqueId val="{00000001-9490-4553-A957-B52D7B7BF4E7}"/>
            </c:ext>
          </c:extLst>
        </c:ser>
        <c:dLbls>
          <c:showLegendKey val="0"/>
          <c:showVal val="0"/>
          <c:showCatName val="0"/>
          <c:showSerName val="0"/>
          <c:showPercent val="0"/>
          <c:showBubbleSize val="0"/>
        </c:dLbls>
        <c:marker val="1"/>
        <c:smooth val="0"/>
        <c:axId val="231666175"/>
        <c:axId val="231666655"/>
      </c:lineChart>
      <c:catAx>
        <c:axId val="2316661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31666655"/>
        <c:crosses val="autoZero"/>
        <c:auto val="1"/>
        <c:lblAlgn val="ctr"/>
        <c:lblOffset val="100"/>
        <c:noMultiLvlLbl val="0"/>
      </c:catAx>
      <c:valAx>
        <c:axId val="231666655"/>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0_ ;_ &quot;$&quot;* \-#,##0_ ;_ &quot;$&quot;*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31666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857250</xdr:colOff>
      <xdr:row>2</xdr:row>
      <xdr:rowOff>323850</xdr:rowOff>
    </xdr:from>
    <xdr:to>
      <xdr:col>3</xdr:col>
      <xdr:colOff>3076575</xdr:colOff>
      <xdr:row>11</xdr:row>
      <xdr:rowOff>19050</xdr:rowOff>
    </xdr:to>
    <xdr:pic>
      <xdr:nvPicPr>
        <xdr:cNvPr id="2" name="Imagen 1">
          <a:extLst>
            <a:ext uri="{FF2B5EF4-FFF2-40B4-BE49-F238E27FC236}">
              <a16:creationId xmlns:a16="http://schemas.microsoft.com/office/drawing/2014/main" id="{A8FA7B28-8DB6-87B8-FAE9-A435D5D9029A}"/>
            </a:ext>
          </a:extLst>
        </xdr:cNvPr>
        <xdr:cNvPicPr>
          <a:picLocks noChangeAspect="1"/>
        </xdr:cNvPicPr>
      </xdr:nvPicPr>
      <xdr:blipFill>
        <a:blip xmlns:r="http://schemas.openxmlformats.org/officeDocument/2006/relationships" r:embed="rId1"/>
        <a:stretch>
          <a:fillRect/>
        </a:stretch>
      </xdr:blipFill>
      <xdr:spPr>
        <a:xfrm>
          <a:off x="9782175" y="771525"/>
          <a:ext cx="4362450" cy="2476500"/>
        </a:xfrm>
        <a:prstGeom prst="rect">
          <a:avLst/>
        </a:prstGeom>
      </xdr:spPr>
    </xdr:pic>
    <xdr:clientData/>
  </xdr:twoCellAnchor>
  <xdr:twoCellAnchor editAs="oneCell">
    <xdr:from>
      <xdr:col>6</xdr:col>
      <xdr:colOff>123825</xdr:colOff>
      <xdr:row>2</xdr:row>
      <xdr:rowOff>333375</xdr:rowOff>
    </xdr:from>
    <xdr:to>
      <xdr:col>13</xdr:col>
      <xdr:colOff>219075</xdr:colOff>
      <xdr:row>11</xdr:row>
      <xdr:rowOff>28575</xdr:rowOff>
    </xdr:to>
    <xdr:pic>
      <xdr:nvPicPr>
        <xdr:cNvPr id="5" name="Imagen 4">
          <a:extLst>
            <a:ext uri="{FF2B5EF4-FFF2-40B4-BE49-F238E27FC236}">
              <a16:creationId xmlns:a16="http://schemas.microsoft.com/office/drawing/2014/main" id="{E57BEE06-C973-4EA6-86FA-74562CAC5AD3}"/>
            </a:ext>
            <a:ext uri="{147F2762-F138-4A5C-976F-8EAC2B608ADB}">
              <a16:predDERef xmlns:a16="http://schemas.microsoft.com/office/drawing/2014/main" pred="{A8FA7B28-8DB6-87B8-FAE9-A435D5D9029A}"/>
            </a:ext>
          </a:extLst>
        </xdr:cNvPr>
        <xdr:cNvPicPr>
          <a:picLocks noChangeAspect="1"/>
        </xdr:cNvPicPr>
      </xdr:nvPicPr>
      <xdr:blipFill>
        <a:blip xmlns:r="http://schemas.openxmlformats.org/officeDocument/2006/relationships" r:embed="rId1"/>
        <a:stretch>
          <a:fillRect/>
        </a:stretch>
      </xdr:blipFill>
      <xdr:spPr>
        <a:xfrm>
          <a:off x="14706600" y="790575"/>
          <a:ext cx="4362450" cy="2524125"/>
        </a:xfrm>
        <a:prstGeom prst="rect">
          <a:avLst/>
        </a:prstGeom>
      </xdr:spPr>
    </xdr:pic>
    <xdr:clientData/>
  </xdr:twoCellAnchor>
  <xdr:twoCellAnchor>
    <xdr:from>
      <xdr:col>2</xdr:col>
      <xdr:colOff>819150</xdr:colOff>
      <xdr:row>7</xdr:row>
      <xdr:rowOff>257175</xdr:rowOff>
    </xdr:from>
    <xdr:to>
      <xdr:col>4</xdr:col>
      <xdr:colOff>647700</xdr:colOff>
      <xdr:row>11</xdr:row>
      <xdr:rowOff>161925</xdr:rowOff>
    </xdr:to>
    <xdr:sp macro="" textlink="">
      <xdr:nvSpPr>
        <xdr:cNvPr id="4" name="Rectángulo 3">
          <a:extLst>
            <a:ext uri="{FF2B5EF4-FFF2-40B4-BE49-F238E27FC236}">
              <a16:creationId xmlns:a16="http://schemas.microsoft.com/office/drawing/2014/main" id="{80DBCCBE-D40D-43A2-8D12-6A7DA60CC40B}"/>
            </a:ext>
            <a:ext uri="{147F2762-F138-4A5C-976F-8EAC2B608ADB}">
              <a16:predDERef xmlns:a16="http://schemas.microsoft.com/office/drawing/2014/main" pred="{E57BEE06-C973-4EA6-86FA-74562CAC5AD3}"/>
            </a:ext>
          </a:extLst>
        </xdr:cNvPr>
        <xdr:cNvSpPr/>
      </xdr:nvSpPr>
      <xdr:spPr>
        <a:xfrm>
          <a:off x="9144000" y="2476500"/>
          <a:ext cx="4495800" cy="952500"/>
        </a:xfrm>
        <a:prstGeom prst="rect">
          <a:avLst/>
        </a:prstGeom>
        <a:no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161925</xdr:colOff>
      <xdr:row>5</xdr:row>
      <xdr:rowOff>171450</xdr:rowOff>
    </xdr:from>
    <xdr:to>
      <xdr:col>13</xdr:col>
      <xdr:colOff>390525</xdr:colOff>
      <xdr:row>11</xdr:row>
      <xdr:rowOff>152400</xdr:rowOff>
    </xdr:to>
    <xdr:sp macro="" textlink="">
      <xdr:nvSpPr>
        <xdr:cNvPr id="6" name="Rectángulo 5">
          <a:extLst>
            <a:ext uri="{FF2B5EF4-FFF2-40B4-BE49-F238E27FC236}">
              <a16:creationId xmlns:a16="http://schemas.microsoft.com/office/drawing/2014/main" id="{B749B734-82F0-4156-BB20-448055620CB7}"/>
            </a:ext>
            <a:ext uri="{147F2762-F138-4A5C-976F-8EAC2B608ADB}">
              <a16:predDERef xmlns:a16="http://schemas.microsoft.com/office/drawing/2014/main" pred="{80DBCCBE-D40D-43A2-8D12-6A7DA60CC40B}"/>
            </a:ext>
          </a:extLst>
        </xdr:cNvPr>
        <xdr:cNvSpPr/>
      </xdr:nvSpPr>
      <xdr:spPr>
        <a:xfrm>
          <a:off x="16583025" y="1866900"/>
          <a:ext cx="4295775" cy="1533525"/>
        </a:xfrm>
        <a:prstGeom prst="rect">
          <a:avLst/>
        </a:prstGeom>
        <a:noFill/>
        <a:ln>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171450</xdr:colOff>
      <xdr:row>4</xdr:row>
      <xdr:rowOff>28575</xdr:rowOff>
    </xdr:from>
    <xdr:to>
      <xdr:col>13</xdr:col>
      <xdr:colOff>400050</xdr:colOff>
      <xdr:row>5</xdr:row>
      <xdr:rowOff>133350</xdr:rowOff>
    </xdr:to>
    <xdr:sp macro="" textlink="">
      <xdr:nvSpPr>
        <xdr:cNvPr id="3" name="Rectángulo 2">
          <a:extLst>
            <a:ext uri="{FF2B5EF4-FFF2-40B4-BE49-F238E27FC236}">
              <a16:creationId xmlns:a16="http://schemas.microsoft.com/office/drawing/2014/main" id="{318F2055-DC11-769F-ADEC-7DA55970C29F}"/>
            </a:ext>
            <a:ext uri="{147F2762-F138-4A5C-976F-8EAC2B608ADB}">
              <a16:predDERef xmlns:a16="http://schemas.microsoft.com/office/drawing/2014/main" pred="{B749B734-82F0-4156-BB20-448055620CB7}"/>
            </a:ext>
          </a:extLst>
        </xdr:cNvPr>
        <xdr:cNvSpPr/>
      </xdr:nvSpPr>
      <xdr:spPr>
        <a:xfrm>
          <a:off x="14754225" y="1533525"/>
          <a:ext cx="4495800" cy="295275"/>
        </a:xfrm>
        <a:prstGeom prst="rect">
          <a:avLst/>
        </a:prstGeom>
        <a:noFill/>
        <a:ln>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800100</xdr:colOff>
      <xdr:row>4</xdr:row>
      <xdr:rowOff>28575</xdr:rowOff>
    </xdr:from>
    <xdr:to>
      <xdr:col>4</xdr:col>
      <xdr:colOff>647700</xdr:colOff>
      <xdr:row>7</xdr:row>
      <xdr:rowOff>161925</xdr:rowOff>
    </xdr:to>
    <xdr:sp macro="" textlink="">
      <xdr:nvSpPr>
        <xdr:cNvPr id="7" name="Rectángulo 6">
          <a:extLst>
            <a:ext uri="{FF2B5EF4-FFF2-40B4-BE49-F238E27FC236}">
              <a16:creationId xmlns:a16="http://schemas.microsoft.com/office/drawing/2014/main" id="{0C1B1EA7-2933-4B5D-8856-9DC9645F21D4}"/>
            </a:ext>
            <a:ext uri="{147F2762-F138-4A5C-976F-8EAC2B608ADB}">
              <a16:predDERef xmlns:a16="http://schemas.microsoft.com/office/drawing/2014/main" pred="{318F2055-DC11-769F-ADEC-7DA55970C29F}"/>
            </a:ext>
          </a:extLst>
        </xdr:cNvPr>
        <xdr:cNvSpPr/>
      </xdr:nvSpPr>
      <xdr:spPr>
        <a:xfrm>
          <a:off x="9725025" y="1543050"/>
          <a:ext cx="5753100" cy="771525"/>
        </a:xfrm>
        <a:prstGeom prst="rect">
          <a:avLst/>
        </a:prstGeom>
        <a:no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295275</xdr:colOff>
      <xdr:row>7</xdr:row>
      <xdr:rowOff>28575</xdr:rowOff>
    </xdr:from>
    <xdr:to>
      <xdr:col>6</xdr:col>
      <xdr:colOff>504825</xdr:colOff>
      <xdr:row>7</xdr:row>
      <xdr:rowOff>257175</xdr:rowOff>
    </xdr:to>
    <xdr:sp macro="" textlink="">
      <xdr:nvSpPr>
        <xdr:cNvPr id="3" name="Diagrama de flujo: conector 2">
          <a:extLst>
            <a:ext uri="{FF2B5EF4-FFF2-40B4-BE49-F238E27FC236}">
              <a16:creationId xmlns:a16="http://schemas.microsoft.com/office/drawing/2014/main" id="{B3BCE2F1-9B6B-4122-B940-BA9385DE1657}"/>
            </a:ext>
            <a:ext uri="{147F2762-F138-4A5C-976F-8EAC2B608ADB}">
              <a16:predDERef xmlns:a16="http://schemas.microsoft.com/office/drawing/2014/main" pred="{BE0FF256-4C97-0594-5DF8-CC56E403A905}"/>
            </a:ext>
          </a:extLst>
        </xdr:cNvPr>
        <xdr:cNvSpPr/>
      </xdr:nvSpPr>
      <xdr:spPr>
        <a:xfrm>
          <a:off x="4895850" y="1819275"/>
          <a:ext cx="209550" cy="228600"/>
        </a:xfrm>
        <a:prstGeom prst="flowChartConnector">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295275</xdr:colOff>
      <xdr:row>8</xdr:row>
      <xdr:rowOff>28575</xdr:rowOff>
    </xdr:from>
    <xdr:to>
      <xdr:col>6</xdr:col>
      <xdr:colOff>504825</xdr:colOff>
      <xdr:row>8</xdr:row>
      <xdr:rowOff>257175</xdr:rowOff>
    </xdr:to>
    <xdr:sp macro="" textlink="">
      <xdr:nvSpPr>
        <xdr:cNvPr id="4" name="Diagrama de flujo: conector 3">
          <a:extLst>
            <a:ext uri="{FF2B5EF4-FFF2-40B4-BE49-F238E27FC236}">
              <a16:creationId xmlns:a16="http://schemas.microsoft.com/office/drawing/2014/main" id="{FFF976CC-46EF-4308-B821-D35C4AAF0A20}"/>
            </a:ext>
            <a:ext uri="{147F2762-F138-4A5C-976F-8EAC2B608ADB}">
              <a16:predDERef xmlns:a16="http://schemas.microsoft.com/office/drawing/2014/main" pred="{B3BCE2F1-9B6B-4122-B940-BA9385DE1657}"/>
            </a:ext>
          </a:extLst>
        </xdr:cNvPr>
        <xdr:cNvSpPr/>
      </xdr:nvSpPr>
      <xdr:spPr>
        <a:xfrm>
          <a:off x="4895850" y="2133600"/>
          <a:ext cx="209550" cy="228600"/>
        </a:xfrm>
        <a:prstGeom prst="flowChartConnector">
          <a:avLst/>
        </a:prstGeom>
        <a:solidFill>
          <a:srgbClr val="FFFF00"/>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285750</xdr:colOff>
      <xdr:row>9</xdr:row>
      <xdr:rowOff>9525</xdr:rowOff>
    </xdr:from>
    <xdr:to>
      <xdr:col>6</xdr:col>
      <xdr:colOff>495300</xdr:colOff>
      <xdr:row>9</xdr:row>
      <xdr:rowOff>238125</xdr:rowOff>
    </xdr:to>
    <xdr:sp macro="" textlink="">
      <xdr:nvSpPr>
        <xdr:cNvPr id="5" name="Diagrama de flujo: conector 4">
          <a:extLst>
            <a:ext uri="{FF2B5EF4-FFF2-40B4-BE49-F238E27FC236}">
              <a16:creationId xmlns:a16="http://schemas.microsoft.com/office/drawing/2014/main" id="{F90F8408-3A97-4A8E-9EC6-59C21774B40E}"/>
            </a:ext>
            <a:ext uri="{147F2762-F138-4A5C-976F-8EAC2B608ADB}">
              <a16:predDERef xmlns:a16="http://schemas.microsoft.com/office/drawing/2014/main" pred="{FFF976CC-46EF-4308-B821-D35C4AAF0A20}"/>
            </a:ext>
          </a:extLst>
        </xdr:cNvPr>
        <xdr:cNvSpPr/>
      </xdr:nvSpPr>
      <xdr:spPr>
        <a:xfrm>
          <a:off x="4886325" y="2390775"/>
          <a:ext cx="209550" cy="228600"/>
        </a:xfrm>
        <a:prstGeom prst="flowChartConnector">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314325</xdr:colOff>
      <xdr:row>13</xdr:row>
      <xdr:rowOff>38100</xdr:rowOff>
    </xdr:from>
    <xdr:to>
      <xdr:col>6</xdr:col>
      <xdr:colOff>523875</xdr:colOff>
      <xdr:row>13</xdr:row>
      <xdr:rowOff>266700</xdr:rowOff>
    </xdr:to>
    <xdr:sp macro="" textlink="">
      <xdr:nvSpPr>
        <xdr:cNvPr id="8" name="Diagrama de flujo: conector 7">
          <a:extLst>
            <a:ext uri="{FF2B5EF4-FFF2-40B4-BE49-F238E27FC236}">
              <a16:creationId xmlns:a16="http://schemas.microsoft.com/office/drawing/2014/main" id="{3469D4BC-DF1C-4CBA-8099-C9A57FB63AA6}"/>
            </a:ext>
            <a:ext uri="{147F2762-F138-4A5C-976F-8EAC2B608ADB}">
              <a16:predDERef xmlns:a16="http://schemas.microsoft.com/office/drawing/2014/main" pred="{AD2BEEF8-6940-437A-AF6E-01D4D98E20B2}"/>
            </a:ext>
          </a:extLst>
        </xdr:cNvPr>
        <xdr:cNvSpPr/>
      </xdr:nvSpPr>
      <xdr:spPr>
        <a:xfrm>
          <a:off x="4914900" y="3867150"/>
          <a:ext cx="209550" cy="228600"/>
        </a:xfrm>
        <a:prstGeom prst="flowChartConnector">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314325</xdr:colOff>
      <xdr:row>15</xdr:row>
      <xdr:rowOff>47625</xdr:rowOff>
    </xdr:from>
    <xdr:to>
      <xdr:col>6</xdr:col>
      <xdr:colOff>523875</xdr:colOff>
      <xdr:row>15</xdr:row>
      <xdr:rowOff>276225</xdr:rowOff>
    </xdr:to>
    <xdr:sp macro="" textlink="">
      <xdr:nvSpPr>
        <xdr:cNvPr id="9" name="Diagrama de flujo: conector 8">
          <a:extLst>
            <a:ext uri="{FF2B5EF4-FFF2-40B4-BE49-F238E27FC236}">
              <a16:creationId xmlns:a16="http://schemas.microsoft.com/office/drawing/2014/main" id="{8C0381B7-D001-45BA-947A-5E65BB071838}"/>
            </a:ext>
            <a:ext uri="{147F2762-F138-4A5C-976F-8EAC2B608ADB}">
              <a16:predDERef xmlns:a16="http://schemas.microsoft.com/office/drawing/2014/main" pred="{3469D4BC-DF1C-4CBA-8099-C9A57FB63AA6}"/>
            </a:ext>
          </a:extLst>
        </xdr:cNvPr>
        <xdr:cNvSpPr/>
      </xdr:nvSpPr>
      <xdr:spPr>
        <a:xfrm>
          <a:off x="4914900" y="4210050"/>
          <a:ext cx="209550" cy="228600"/>
        </a:xfrm>
        <a:prstGeom prst="flowChartConnector">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323850</xdr:colOff>
      <xdr:row>16</xdr:row>
      <xdr:rowOff>66675</xdr:rowOff>
    </xdr:from>
    <xdr:to>
      <xdr:col>6</xdr:col>
      <xdr:colOff>533400</xdr:colOff>
      <xdr:row>16</xdr:row>
      <xdr:rowOff>295275</xdr:rowOff>
    </xdr:to>
    <xdr:sp macro="" textlink="">
      <xdr:nvSpPr>
        <xdr:cNvPr id="10" name="Diagrama de flujo: conector 9">
          <a:extLst>
            <a:ext uri="{FF2B5EF4-FFF2-40B4-BE49-F238E27FC236}">
              <a16:creationId xmlns:a16="http://schemas.microsoft.com/office/drawing/2014/main" id="{DA62EA1E-4862-4B14-8E86-BAEB6B2A8055}"/>
            </a:ext>
            <a:ext uri="{147F2762-F138-4A5C-976F-8EAC2B608ADB}">
              <a16:predDERef xmlns:a16="http://schemas.microsoft.com/office/drawing/2014/main" pred="{8C0381B7-D001-45BA-947A-5E65BB071838}"/>
            </a:ext>
          </a:extLst>
        </xdr:cNvPr>
        <xdr:cNvSpPr/>
      </xdr:nvSpPr>
      <xdr:spPr>
        <a:xfrm>
          <a:off x="4924425" y="4562475"/>
          <a:ext cx="209550" cy="228600"/>
        </a:xfrm>
        <a:prstGeom prst="flowChartConnector">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342900</xdr:colOff>
      <xdr:row>20</xdr:row>
      <xdr:rowOff>38100</xdr:rowOff>
    </xdr:from>
    <xdr:to>
      <xdr:col>6</xdr:col>
      <xdr:colOff>552450</xdr:colOff>
      <xdr:row>20</xdr:row>
      <xdr:rowOff>266700</xdr:rowOff>
    </xdr:to>
    <xdr:sp macro="" textlink="">
      <xdr:nvSpPr>
        <xdr:cNvPr id="11" name="Diagrama de flujo: conector 10">
          <a:extLst>
            <a:ext uri="{FF2B5EF4-FFF2-40B4-BE49-F238E27FC236}">
              <a16:creationId xmlns:a16="http://schemas.microsoft.com/office/drawing/2014/main" id="{EE2A7C5B-1007-419B-8BAA-1307746C8910}"/>
            </a:ext>
            <a:ext uri="{147F2762-F138-4A5C-976F-8EAC2B608ADB}">
              <a16:predDERef xmlns:a16="http://schemas.microsoft.com/office/drawing/2014/main" pred="{DA62EA1E-4862-4B14-8E86-BAEB6B2A8055}"/>
            </a:ext>
          </a:extLst>
        </xdr:cNvPr>
        <xdr:cNvSpPr/>
      </xdr:nvSpPr>
      <xdr:spPr>
        <a:xfrm>
          <a:off x="4943475" y="5505450"/>
          <a:ext cx="209550" cy="228600"/>
        </a:xfrm>
        <a:prstGeom prst="flowChartConnector">
          <a:avLst/>
        </a:prstGeom>
        <a:solidFill>
          <a:srgbClr val="FFFF00"/>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285750</xdr:colOff>
      <xdr:row>6</xdr:row>
      <xdr:rowOff>19050</xdr:rowOff>
    </xdr:from>
    <xdr:to>
      <xdr:col>6</xdr:col>
      <xdr:colOff>495300</xdr:colOff>
      <xdr:row>6</xdr:row>
      <xdr:rowOff>247650</xdr:rowOff>
    </xdr:to>
    <xdr:sp macro="" textlink="">
      <xdr:nvSpPr>
        <xdr:cNvPr id="12" name="Diagrama de flujo: conector 11">
          <a:extLst>
            <a:ext uri="{FF2B5EF4-FFF2-40B4-BE49-F238E27FC236}">
              <a16:creationId xmlns:a16="http://schemas.microsoft.com/office/drawing/2014/main" id="{E1A0D770-D58D-4666-B7CE-F5BD22982C4C}"/>
            </a:ext>
            <a:ext uri="{147F2762-F138-4A5C-976F-8EAC2B608ADB}">
              <a16:predDERef xmlns:a16="http://schemas.microsoft.com/office/drawing/2014/main" pred="{EE2A7C5B-1007-419B-8BAA-1307746C8910}"/>
            </a:ext>
          </a:extLst>
        </xdr:cNvPr>
        <xdr:cNvSpPr/>
      </xdr:nvSpPr>
      <xdr:spPr>
        <a:xfrm>
          <a:off x="7353300" y="1543050"/>
          <a:ext cx="209550" cy="228600"/>
        </a:xfrm>
        <a:prstGeom prst="flowChartConnector">
          <a:avLst/>
        </a:prstGeom>
        <a:solidFill>
          <a:srgbClr val="FFFF00"/>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333375</xdr:colOff>
      <xdr:row>14</xdr:row>
      <xdr:rowOff>38100</xdr:rowOff>
    </xdr:from>
    <xdr:to>
      <xdr:col>6</xdr:col>
      <xdr:colOff>542925</xdr:colOff>
      <xdr:row>14</xdr:row>
      <xdr:rowOff>266700</xdr:rowOff>
    </xdr:to>
    <xdr:sp macro="" textlink="">
      <xdr:nvSpPr>
        <xdr:cNvPr id="13" name="Diagrama de flujo: conector 12">
          <a:extLst>
            <a:ext uri="{FF2B5EF4-FFF2-40B4-BE49-F238E27FC236}">
              <a16:creationId xmlns:a16="http://schemas.microsoft.com/office/drawing/2014/main" id="{3B0FFDD8-A52D-4357-BFBE-A4D0A972E7F1}"/>
            </a:ext>
            <a:ext uri="{147F2762-F138-4A5C-976F-8EAC2B608ADB}">
              <a16:predDERef xmlns:a16="http://schemas.microsoft.com/office/drawing/2014/main" pred="{E1A0D770-D58D-4666-B7CE-F5BD22982C4C}"/>
            </a:ext>
          </a:extLst>
        </xdr:cNvPr>
        <xdr:cNvSpPr/>
      </xdr:nvSpPr>
      <xdr:spPr>
        <a:xfrm>
          <a:off x="7400925" y="3867150"/>
          <a:ext cx="209550" cy="228600"/>
        </a:xfrm>
        <a:prstGeom prst="flowChartConnector">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3</xdr:col>
      <xdr:colOff>142875</xdr:colOff>
      <xdr:row>42</xdr:row>
      <xdr:rowOff>123825</xdr:rowOff>
    </xdr:from>
    <xdr:to>
      <xdr:col>3</xdr:col>
      <xdr:colOff>723900</xdr:colOff>
      <xdr:row>44</xdr:row>
      <xdr:rowOff>123825</xdr:rowOff>
    </xdr:to>
    <xdr:pic>
      <xdr:nvPicPr>
        <xdr:cNvPr id="15" name="Imagen 14">
          <a:extLst>
            <a:ext uri="{FF2B5EF4-FFF2-40B4-BE49-F238E27FC236}">
              <a16:creationId xmlns:a16="http://schemas.microsoft.com/office/drawing/2014/main" id="{ED63AA59-EDCF-5125-DC17-A90DA7037152}"/>
            </a:ext>
            <a:ext uri="{147F2762-F138-4A5C-976F-8EAC2B608ADB}">
              <a16:predDERef xmlns:a16="http://schemas.microsoft.com/office/drawing/2014/main" pred="{3B0FFDD8-A52D-4357-BFBE-A4D0A972E7F1}"/>
            </a:ext>
          </a:extLst>
        </xdr:cNvPr>
        <xdr:cNvPicPr>
          <a:picLocks noChangeAspect="1"/>
        </xdr:cNvPicPr>
      </xdr:nvPicPr>
      <xdr:blipFill>
        <a:blip xmlns:r="http://schemas.openxmlformats.org/officeDocument/2006/relationships" r:embed="rId1"/>
        <a:stretch>
          <a:fillRect/>
        </a:stretch>
      </xdr:blipFill>
      <xdr:spPr>
        <a:xfrm>
          <a:off x="3505200" y="11172825"/>
          <a:ext cx="581025" cy="581025"/>
        </a:xfrm>
        <a:prstGeom prst="rect">
          <a:avLst/>
        </a:prstGeom>
      </xdr:spPr>
    </xdr:pic>
    <xdr:clientData/>
  </xdr:twoCellAnchor>
  <xdr:twoCellAnchor editAs="oneCell">
    <xdr:from>
      <xdr:col>5</xdr:col>
      <xdr:colOff>542925</xdr:colOff>
      <xdr:row>37</xdr:row>
      <xdr:rowOff>85725</xdr:rowOff>
    </xdr:from>
    <xdr:to>
      <xdr:col>5</xdr:col>
      <xdr:colOff>1123950</xdr:colOff>
      <xdr:row>38</xdr:row>
      <xdr:rowOff>276225</xdr:rowOff>
    </xdr:to>
    <xdr:pic>
      <xdr:nvPicPr>
        <xdr:cNvPr id="16" name="Imagen 15">
          <a:extLst>
            <a:ext uri="{FF2B5EF4-FFF2-40B4-BE49-F238E27FC236}">
              <a16:creationId xmlns:a16="http://schemas.microsoft.com/office/drawing/2014/main" id="{49144BDC-2F9A-4574-AE47-F1500194CDED}"/>
            </a:ext>
            <a:ext uri="{147F2762-F138-4A5C-976F-8EAC2B608ADB}">
              <a16:predDERef xmlns:a16="http://schemas.microsoft.com/office/drawing/2014/main" pred="{ED63AA59-EDCF-5125-DC17-A90DA7037152}"/>
            </a:ext>
          </a:extLst>
        </xdr:cNvPr>
        <xdr:cNvPicPr>
          <a:picLocks noChangeAspect="1"/>
        </xdr:cNvPicPr>
      </xdr:nvPicPr>
      <xdr:blipFill>
        <a:blip xmlns:r="http://schemas.openxmlformats.org/officeDocument/2006/relationships" r:embed="rId1"/>
        <a:stretch>
          <a:fillRect/>
        </a:stretch>
      </xdr:blipFill>
      <xdr:spPr>
        <a:xfrm>
          <a:off x="6705600" y="9839325"/>
          <a:ext cx="581025" cy="5810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668866</xdr:colOff>
      <xdr:row>111</xdr:row>
      <xdr:rowOff>118533</xdr:rowOff>
    </xdr:from>
    <xdr:to>
      <xdr:col>7</xdr:col>
      <xdr:colOff>990599</xdr:colOff>
      <xdr:row>131</xdr:row>
      <xdr:rowOff>84667</xdr:rowOff>
    </xdr:to>
    <xdr:graphicFrame macro="">
      <xdr:nvGraphicFramePr>
        <xdr:cNvPr id="2" name="Gráfico 1">
          <a:extLst>
            <a:ext uri="{FF2B5EF4-FFF2-40B4-BE49-F238E27FC236}">
              <a16:creationId xmlns:a16="http://schemas.microsoft.com/office/drawing/2014/main" id="{EE7D6832-9BBE-41AD-AB59-D4E719A72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Víctor Sánchez Segura" id="{8377039C-155F-42D4-B2FC-2CB908B71205}" userId="418e38eb5890972a" providerId="Windows Live"/>
  <person displayName="Victor  Sanchez" id="{6B1655D5-AB2E-44AB-A4FD-07AC1B03BF7A}" userId="S::krescenvass@upsoft10.onmicrosoft.com::7aff093c-84c5-42dc-b0fd-49c2dfdf6fd9"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00">
  <rv s="0">
    <v>https://www.bing.com/financeapi/forcetrigger?t=c6ngmw&amp;q=XSGO%3aAAISA&amp;form=skydnc</v>
    <v>Learn more on Bing</v>
  </rv>
  <rv s="1">
    <v>es-ES</v>
    <v>c6ngmw</v>
    <v>268435456</v>
    <v>1</v>
    <v>Con tecnología de Refinitiv</v>
    <v>0</v>
    <v>1</v>
    <v>AAISA (XSGO:AAISA)</v>
    <v>3</v>
    <v>4</v>
    <v>Finance</v>
    <v>5</v>
    <v>XSGO</v>
    <v>1000000000</v>
    <v>2021</v>
    <v>380</v>
    <v>0.32440000000000002</v>
    <v>5.08</v>
    <v>1.3478E-2</v>
    <v>382000000000</v>
    <v>376.92</v>
    <v>Administradora Americana de Inversiones SA is a Chile-based company that operates in the financial investment industry. The principal activity of the Company is the investment in all kinds of real estate and rights constituted on them, and in all kinds of tangible and intangible assets, including rights in companies, shares, marketable securities, debt securities and bills of exchange, subsequently managing such investments and assets.</v>
    <v>XSGO</v>
    <v>46106</v>
    <v>Santiago Stock Exchange</v>
    <v>0</v>
    <v>382</v>
    <v>469</v>
    <v>377</v>
    <v>199.75800000000001</v>
    <v>CLP</v>
    <v>AAISA</v>
    <v>AAISA</v>
    <v>382</v>
    <v>Investment Banking &amp; Investment Services</v>
    <v>Marchant Pereira 10, Piso 16, PROVIDENCIA, SANTIAGO CL</v>
    <v>AAISA</v>
    <v>Acciones</v>
    <v>AAISA (XSGO:AAISA)</v>
    <v>16996</v>
    <v>88340</v>
  </rv>
  <rv s="2">
    <v>1</v>
  </rv>
  <rv s="0">
    <v>https://www.bing.com/financeapi/forcetrigger?t=acyvpr&amp;q=XSGO%3aAFPCAPITAL&amp;form=skydnc</v>
    <v>Learn more on Bing</v>
  </rv>
  <rv s="3">
    <v>es-ES</v>
    <v>acyvpr</v>
    <v>268435456</v>
    <v>1</v>
    <v>Con tecnología de Refinitiv</v>
    <v>6</v>
    <v>7</v>
    <v>AFP Capital (XSGO:AFPCAPITAL)</v>
    <v>3</v>
    <v>8</v>
    <v>Finance</v>
    <v>5</v>
    <v>XSGO</v>
    <v>3123768000</v>
    <v>1981</v>
    <v>272.25</v>
    <v>-4.0000000000000001E-3</v>
    <v>24.75</v>
    <v>0.1</v>
    <v>850445838000</v>
    <v>247.5</v>
    <v xml:space="preserve">AFP Capital SA is a Chile-based company primarily engaged in the financial sector. The Company’s scope of activities includes providing services related to investment advice in regard to various fields, including the management of individual capitalization accounts, provision of life and disability benefits, payments of funeral expenses, as well as senior retirement pensions, and more. The Company’s savings-product portfolio comprises mandatory savings, voluntary retirement savings and multi funds where its customers can invest its savings, among others. The Company operates a network of branches and service centers located nationwide. The Company is a subsidiary of Sura Asset Management Chile SA. </v>
    <v>1358</v>
    <v>XSGO</v>
    <v>45996</v>
    <v>Santiago Stock Exchange</v>
    <v>3</v>
    <v>272.25</v>
    <v>272.25</v>
    <v>272.25</v>
    <v>228.29300000000001</v>
    <v>CLP</v>
    <v>AFP Capital</v>
    <v>AFP Capital</v>
    <v>272.25</v>
    <v>Investment Banking &amp; Investment Services</v>
    <v>Casa Matriz Apoquindo 4820, LAS CONDES, SANTIAGO CL</v>
    <v>AFPCAPITAL</v>
    <v>Acciones</v>
    <v>AFP Capital (XSGO:AFPCAPITAL)</v>
    <v>27</v>
  </rv>
  <rv s="2">
    <v>4</v>
  </rv>
  <rv s="0">
    <v>https://www.bing.com/financeapi/forcetrigger?t=acyvsm&amp;q=XSGO%3aAGUAS-A&amp;form=skydnc</v>
    <v>Learn more on Bing</v>
  </rv>
  <rv s="4">
    <v>es-ES</v>
    <v>acyvsm</v>
    <v>268435456</v>
    <v>1</v>
    <v>Con tecnología de Refinitiv</v>
    <v>9</v>
    <v>10</v>
    <v>Aguas Andinas (XSGO:AGUAS-A)</v>
    <v>3</v>
    <v>11</v>
    <v>Finance</v>
    <v>5</v>
    <v>XSGO</v>
    <v>6118965000</v>
    <v>1989</v>
    <v>349</v>
    <v>1.0639000000000001</v>
    <v>-2</v>
    <v>-5.7310000000000009E-3</v>
    <v>2123280855000</v>
    <v>349</v>
    <v>Aguas Andinas SA is a Chile-based company engaged in the provision of sanitation services. The Company operates in two business segments: Water and Non-water. The Water division provides services related to the distribution and supply of drinking water, as well as the collection and treatment of sewage water. The Non-water division includes services related to environmental analysis, industrial waste treatment, engineering services, as well as distribution of equipment for sanitation and energy projects. The Company operates through a number of subsidiaries, such as Aguas Cordillera SA, Aguas del Maipo SA, Essal SA, Gestion y Servicios SA and EcoRiles SA. The Company is indirectly controlled by Suez SA through Inversiones Aguas Metropolitanas SA.</v>
    <v>2266</v>
    <v>XSGO</v>
    <v>46106</v>
    <v>Santiago Stock Exchange</v>
    <v>6</v>
    <v>350.5</v>
    <v>400</v>
    <v>345.5</v>
    <v>309.35000000000002</v>
    <v>CLP</v>
    <v>Aguas Andinas</v>
    <v>Aguas Andinas</v>
    <v>347</v>
    <v>Water Utilities</v>
    <v>Av. Presidente Balmaceda 1398, SANTIAGO, SANTIAGO CL</v>
    <v>AGUAS-A</v>
    <v>Acciones</v>
    <v>Aguas Andinas (XSGO:AGUAS-A)</v>
    <v>8390849</v>
    <v>6703110</v>
  </rv>
  <rv s="2">
    <v>7</v>
  </rv>
  <rv s="5">
    <v>12</v>
    <v>Precio</v>
    <v>0</v>
  </rv>
  <rv s="0">
    <v>https://www.bing.com/financeapi/forcetrigger?t=bjhlxm&amp;q=XSGO%3aAGUAS-B&amp;form=skydnc</v>
    <v>Learn more on Bing</v>
  </rv>
  <rv s="6">
    <v>es-ES</v>
    <v>bjhlxm</v>
    <v>268435456</v>
    <v>1</v>
    <v>Con tecnología de Refinitiv</v>
    <v>12</v>
    <v>13</v>
    <v>Aguas Andinas (XSGO:AGUAS-B)</v>
    <v>3</v>
    <v>14</v>
    <v>Finance</v>
    <v>15</v>
    <v>XSGO</v>
    <v>6118965000</v>
    <v>1989</v>
    <v>1.0639000000000001</v>
    <v>150</v>
    <v>Aguas Andinas SA is a Chile-based company engaged in the provision of sanitation services. The Company operates in two business segments: Water and Non-water. The Water division provides services related to the distribution and supply of drinking water, as well as the collection and treatment of sewage water. The Non-water division includes services related to environmental analysis, industrial waste treatment, engineering services, as well as distribution of equipment for sanitation and energy projects. The Company operates through a number of subsidiaries, such as Aguas Cordillera SA, Aguas del Maipo SA, Essal SA, Gestion y Servicios SA and EcoRiles SA. The Company is indirectly controlled by Suez SA through Inversiones Aguas Metropolitanas SA.</v>
    <v>2266</v>
    <v>XSGO</v>
    <v>41019</v>
    <v>Santiago Stock Exchange</v>
    <v>10</v>
    <v>150</v>
    <v>150</v>
    <v>CLP</v>
    <v>Aguas Andinas</v>
    <v>Aguas Andinas</v>
    <v>Water Utilities</v>
    <v>Av. Presidente Balmaceda 1398, SANTIAGO, SANTIAGO CL</v>
    <v>AGUAS-B</v>
    <v>Acciones</v>
    <v>Aguas Andinas (XSGO:AGUAS-B)</v>
    <v>6703110</v>
  </rv>
  <rv s="2">
    <v>11</v>
  </rv>
  <rv s="0">
    <v>https://www.bing.com/financeapi/forcetrigger?t=acyvyc&amp;q=XSGO%3aALMENDRAL&amp;form=skydnc</v>
    <v>Learn more on Bing</v>
  </rv>
  <rv s="4">
    <v>es-ES</v>
    <v>acyvyc</v>
    <v>268435456</v>
    <v>1</v>
    <v>Con tecnología de Refinitiv</v>
    <v>9</v>
    <v>10</v>
    <v>Almendral (XSGO:ALMENDRAL)</v>
    <v>3</v>
    <v>11</v>
    <v>Finance</v>
    <v>5</v>
    <v>XSGO</v>
    <v>18017580000</v>
    <v>1981</v>
    <v>24.49</v>
    <v>0.76780000000000004</v>
    <v>-0.93</v>
    <v>-3.6456000000000002E-2</v>
    <v>442872116399</v>
    <v>25.51</v>
    <v>Almendral SA is a Chile-based company primarily engaged in the telecommunications sector. Through Empresa Nacional de Telecomunicaciones SA (ENTEL), the Company offers a number of wired and wireless telecommunications services, such as mobile and fixed telephony, data transmission and communication, wireless and broadband Internet, business process outsourcing (BPO) and business data canter operation, among others. Its activities are divided into five segments: Individuals, including services for private customers; Business, offering services to legal entities; Corporate, offering services to private and public companies, banks and institutions, among others; Mobile, providing wireless services through Entel Peru SA in Peru, and Other, including rental of telecommunications network. In addition, through Inmobiliaria El Almendral SA, the Company is active in the real estate sector.</v>
    <v>11511</v>
    <v>XSGO</v>
    <v>46106</v>
    <v>Santiago Stock Exchange</v>
    <v>13</v>
    <v>24.58</v>
    <v>34</v>
    <v>24.49</v>
    <v>16.72</v>
    <v>CLP</v>
    <v>Almendral</v>
    <v>Almendral</v>
    <v>24.58</v>
    <v>Telecommunications Services</v>
    <v>Aurelio Gonzalez 3390 Of 402, VITACURA, SANTIAGO CL</v>
    <v>ALMENDRAL</v>
    <v>Acciones</v>
    <v>Almendral (XSGO:ALMENDRAL)</v>
    <v>1628764</v>
    <v>735260</v>
  </rv>
  <rv s="2">
    <v>14</v>
  </rv>
  <rv s="0">
    <v>https://www.bing.com/financeapi/forcetrigger?t=bgna52&amp;q=XSGO%3aANASAC&amp;form=skydnc</v>
    <v>Learn more on Bing</v>
  </rv>
  <rv s="7">
    <v>es-ES</v>
    <v>bgna52</v>
    <v>268435456</v>
    <v>1</v>
    <v>1</v>
    <v>Con tecnología de Refinitiv</v>
    <v>16</v>
    <v>17</v>
    <v>Anasac (XSGO:ANASAC)</v>
    <v>3</v>
    <v>18</v>
    <v>Finance</v>
    <v>5</v>
    <v>XSGO</v>
    <v>22000000</v>
    <v>1948</v>
    <v>2600</v>
    <v>100</v>
    <v>0.04</v>
    <v>57200000000</v>
    <v>2500</v>
    <v>Agricola Nacional SAC e I, formerly Agricola Nacional SACEI (ANASAC) is a Chile-based company principally engaged, through its subsidiaries, in the production and distribution of all types of inputs, products, machinery and equipment for agricultural and forestry sectors. The Company offers its products and services in such areas as cereals, vegetables, animal nutrition, environmental, phytosanitary measures, plant nutrition and pesticides. The Company controls a number of subsidiaries, such as as ANASAC Ambiental SA, ANASAC Chile SA, SA, ANASAC Comercial Spa, Sociedad Agricola Los Rulos SA, Inversiones Globales SA, Inmobiliaria El Algarrobo SA, Difem Laboratorios SA, Hortus SA, Gleba SA and Xilema SA.</v>
    <v>681</v>
    <v>XSGO</v>
    <v>45107</v>
    <v>Santiago Stock Exchange</v>
    <v>16</v>
    <v>2600</v>
    <v>2600</v>
    <v>2600</v>
    <v>2500</v>
    <v>CLP</v>
    <v>Anasac</v>
    <v>Anasac</v>
    <v>2600</v>
    <v>Chemicals</v>
    <v>Almirante Pastene 300, PROVIDENCIA, SANTIAGO CL</v>
    <v>ANASAC</v>
    <v>Acciones</v>
    <v>Anasac (XSGO:ANASAC)</v>
    <v>267</v>
  </rv>
  <rv s="2">
    <v>17</v>
  </rv>
  <rv s="0">
    <v>https://www.bing.com/financeapi/forcetrigger?t=acyw52&amp;q=XSGO%3aANDINA-A&amp;form=skydnc</v>
    <v>Learn more on Bing</v>
  </rv>
  <rv s="4">
    <v>es-ES</v>
    <v>acyw52</v>
    <v>268435456</v>
    <v>1</v>
    <v>Con tecnología de Refinitiv</v>
    <v>9</v>
    <v>10</v>
    <v>Embotelladora Andina S.A (XSGO:ANDINA-A)</v>
    <v>3</v>
    <v>11</v>
    <v>Finance</v>
    <v>5</v>
    <v>XSGO</v>
    <v>946570600</v>
    <v>1946</v>
    <v>3513.6</v>
    <v>0.53710000000000002</v>
    <v>-38.6</v>
    <v>-1.0986000000000001E-2</v>
    <v>3289332835000</v>
    <v>3513.6</v>
    <v>Embotelladora Andina SA (Coca-Cola Andina) es una compañía de bebidas con sede en Chile. La actividad principal de la firma es fabricar, embotellar, comercializar y distribuir los productos registrados bajo el nombre de The Coca-Cola Company (TCCC), así como comercializar y distribuir algunas marcas de otras compañías como Monster, Heineken, AB InBev, Diageo y Capel, entre otras. Los segmentos operativos de la Compañía han sido determinados por localidades geográficas donde opera y posee licencias para producir, comercializar y distribuir productos: Chile, Brasil, Argentina y Paraguay. Los cuatro segmentos identificados desarrollan su negocio a través de la producción y venta de refrescos, otras bebidas y envases.</v>
    <v>16484</v>
    <v>XSGO</v>
    <v>46105</v>
    <v>Santiago Stock Exchange</v>
    <v>19</v>
    <v>3513.6</v>
    <v>3854</v>
    <v>3475</v>
    <v>2480.6289999999999</v>
    <v>CLP</v>
    <v>Embotelladora Andina S.A</v>
    <v>Embotelladora Andina S.A</v>
    <v>3475</v>
    <v>Beverages</v>
    <v>Av. Miraflores 9153, RENCA, SANTIAGO CL</v>
    <v>ANDINA-A</v>
    <v>Acciones</v>
    <v>Embotelladora Andina S.A (XSGO:ANDINA-A)</v>
    <v>1009</v>
    <v>956350</v>
  </rv>
  <rv s="2">
    <v>20</v>
  </rv>
  <rv s="0">
    <v>https://www.bing.com/financeapi/forcetrigger?t=acyw7w&amp;q=XSGO%3aANDINA-B&amp;form=skydnc</v>
    <v>Learn more on Bing</v>
  </rv>
  <rv s="4">
    <v>es-ES</v>
    <v>acyw7w</v>
    <v>268435456</v>
    <v>1</v>
    <v>Con tecnología de Refinitiv</v>
    <v>9</v>
    <v>10</v>
    <v>Embotelladora Andina S.A (XSGO:ANDINA-B)</v>
    <v>3</v>
    <v>11</v>
    <v>Finance</v>
    <v>5</v>
    <v>XSGO</v>
    <v>946570600</v>
    <v>1946</v>
    <v>3930.1</v>
    <v>0.53710000000000002</v>
    <v>13</v>
    <v>3.31E-3</v>
    <v>3729488164000</v>
    <v>3927</v>
    <v>Embotelladora Andina SA (Coca-Cola Andina) es una compañía de bebidas con sede en Chile. La actividad principal de la firma es fabricar, embotellar, comercializar y distribuir los productos registrados bajo el nombre de The Coca-Cola Company (TCCC), así como comercializar y distribuir algunas marcas de otras compañías como Monster, Heineken, AB InBev, Diageo y Capel, entre otras. Los segmentos operativos de la Compañía han sido determinados por localidades geográficas donde opera y posee licencias para producir, comercializar y distribuir productos: Chile, Brasil, Argentina y Paraguay. Los cuatro segmentos identificados desarrollan su negocio a través de la producción y venta de refrescos, otras bebidas y envases.</v>
    <v>16484</v>
    <v>XSGO</v>
    <v>46106</v>
    <v>Santiago Stock Exchange</v>
    <v>22</v>
    <v>3982.4</v>
    <v>4760</v>
    <v>3911</v>
    <v>3251.2779999999998</v>
    <v>CLP</v>
    <v>Embotelladora Andina S.A</v>
    <v>Embotelladora Andina S.A</v>
    <v>3940</v>
    <v>Beverages</v>
    <v>Av. Miraflores 9153, RENCA, SANTIAGO CL</v>
    <v>ANDINA-B</v>
    <v>Acciones</v>
    <v>Embotelladora Andina S.A (XSGO:ANDINA-B)</v>
    <v>1400176</v>
    <v>956350</v>
  </rv>
  <rv s="2">
    <v>23</v>
  </rv>
  <rv s="0">
    <v>https://www.bing.com/financeapi/forcetrigger?t=acyx4c&amp;q=XSGO%3aBANVIDA&amp;form=skydnc</v>
    <v>Learn more on Bing</v>
  </rv>
  <rv s="4">
    <v>es-ES</v>
    <v>acyx4c</v>
    <v>268435456</v>
    <v>1</v>
    <v>Con tecnología de Refinitiv</v>
    <v>9</v>
    <v>10</v>
    <v>Banvida (XSGO:BANVIDA)</v>
    <v>3</v>
    <v>11</v>
    <v>Finance</v>
    <v>5</v>
    <v>XSGO</v>
    <v>1600066000</v>
    <v>1998</v>
    <v>720.08</v>
    <v>0.2472</v>
    <v>-10.34</v>
    <v>-1.4156E-2</v>
    <v>1152175525280</v>
    <v>730.42</v>
    <v>Banvida SA is a Chile-based investment company. The Company is engaged, through its indirect subsidiaries, in the provision of life insurance, annuity plans and securities brokerage, as well as other related investment services. As of December 31, 2011, the Company held 47.7% stake in Consorcio Financiero SA, a financial holding entity through which Banvida SA has indirect stakes in Consorcio Nacional de Seguros de Vida SA, CN-Life SA, Consorcio Nacional de Seguros Generales SA, Consorcio Corredores de Bolsa SA and Consorcio Inversores Ltda, among others. In addition, Inversiones Teval SA was the Company's majority shareholder with 80,3% of its interest.</v>
    <v>1</v>
    <v>XSGO</v>
    <v>46097</v>
    <v>Santiago Stock Exchange</v>
    <v>25</v>
    <v>720.08</v>
    <v>776</v>
    <v>720.08</v>
    <v>442.60300000000001</v>
    <v>CLP</v>
    <v>Banvida</v>
    <v>Banvida</v>
    <v>720.08</v>
    <v>Holding Companies</v>
    <v>Av. El Golf 99 Piso 8, LAS CONDES, SANTIAGO CL</v>
    <v>BANVIDA</v>
    <v>Acciones</v>
    <v>Banvida (XSGO:BANVIDA)</v>
    <v>390</v>
    <v>860</v>
  </rv>
  <rv s="2">
    <v>26</v>
  </rv>
  <rv s="0">
    <v>https://www.bing.com/financeapi/forcetrigger?t=acyxa2&amp;q=XSGO%3aBCI&amp;form=skydnc</v>
    <v>Learn more on Bing</v>
  </rv>
  <rv s="8">
    <v>es-ES</v>
    <v>acyxa2</v>
    <v>268435456</v>
    <v>1</v>
    <v>Con tecnología de Refinitiv</v>
    <v>19</v>
    <v>20</v>
    <v>Ban Cred Inver (XSGO:BCI)</v>
    <v>3</v>
    <v>21</v>
    <v>Finance</v>
    <v>5</v>
    <v>XSGO</v>
    <v>218604300</v>
    <v>59036</v>
    <v>0.9798</v>
    <v>1500</v>
    <v>2.5424000000000002E-2</v>
    <v>13225560150000</v>
    <v>59000</v>
    <v>Banco de Credito e Inversiones is a Chile-based financial institution (the Bank) engaged in the banking sector. The Bank's activities are divided into six segments: Retail banking, which offers current accounts, credit cards, personal loans and insurance products, among others, to individuals; Small and medium-sized enterprises, which provides financing, cash management, factoring and leasing, among others, to microenterprises and companies; Commercial banking, which includes services rendered to corporations, such as real estate and leasing companies; Corporate &amp; Investment Banking Commercial Division, which provides investment solutions to large corporations, financial institutions and high net worth investors; Corporate &amp; Investment Banking Finance Division, which offers sales and trading solutions to institutional investors, and BCI Financial Group, which includes operations of City National Bank of Florida in Chile. The Bank is controlled by Empresas Juan Yarur SAC.</v>
    <v>11514</v>
    <v>XSGO</v>
    <v>46106</v>
    <v>Santiago Stock Exchange</v>
    <v>28</v>
    <v>60799</v>
    <v>66985</v>
    <v>59000</v>
    <v>30613</v>
    <v>CLP</v>
    <v>Ban Cred Inver</v>
    <v>Ban Cred Inver</v>
    <v>60500</v>
    <v>Banking Services</v>
    <v>Av. El Golf 125, LAS CONDES, SANTIAGO CL</v>
    <v>BCI</v>
    <v>Acciones</v>
    <v>Ban Cred Inver (XSGO:BCI)</v>
    <v>150386</v>
    <v>144380</v>
  </rv>
  <rv s="2">
    <v>29</v>
  </rv>
  <rv s="0">
    <v>https://www.bing.com/financeapi/forcetrigger?t=acyxcw&amp;q=XSGO%3aBESALCO&amp;form=skydnc</v>
    <v>Learn more on Bing</v>
  </rv>
  <rv s="4">
    <v>es-ES</v>
    <v>acyxcw</v>
    <v>268435456</v>
    <v>1</v>
    <v>Con tecnología de Refinitiv</v>
    <v>9</v>
    <v>10</v>
    <v>Besalco (XSGO:BESALCO)</v>
    <v>3</v>
    <v>11</v>
    <v>Finance</v>
    <v>5</v>
    <v>XSGO</v>
    <v>576172700</v>
    <v>1965</v>
    <v>1287.5</v>
    <v>1.3819999999999999</v>
    <v>-10</v>
    <v>-7.8130000000000005E-3</v>
    <v>731739329000</v>
    <v>1280</v>
    <v>Besalco SA is a Chile-based company engaged in the engineering and construction sectors. Its activities are structured in six business areas. Constructions, which includes construction projects of tunnels, roadworks and industrial pipes, as well as development of private infrastructure; Real Estate, which comprises the construction, promotion and sale of residential properties; Machinery, which provides leasing services of heavy construction equipment and machinery; Concessions, which manages concession contracts of private and public works, such as engineering projects, construction and maintenance of roadworks and hydraulic reservoirs, among others. Assembly business offers technical support to different industrial projects. In addition, the Company operates other businesses, such as consulting or air cargo services. As of December 31, 2012, the Company owned such subsidiaries as Besalco Construcciones SA, Besalco-MD Montajes SA and Kipreos Ingenieros SA, among others.</v>
    <v>15726</v>
    <v>XSGO</v>
    <v>46106</v>
    <v>Santiago Stock Exchange</v>
    <v>31</v>
    <v>1287.5</v>
    <v>1454.9</v>
    <v>1250.0999999999999</v>
    <v>618.13400000000001</v>
    <v>CLP</v>
    <v>Besalco</v>
    <v>Besalco</v>
    <v>1270</v>
    <v>Construction &amp; Engineering</v>
    <v>Ebro 2705, LAS CONDES, SANTIAGO CL</v>
    <v>BESALCO</v>
    <v>Acciones</v>
    <v>Besalco (XSGO:BESALCO)</v>
    <v>200621</v>
    <v>145250</v>
  </rv>
  <rv s="2">
    <v>32</v>
  </rv>
  <rv s="0">
    <v>https://www.bing.com/financeapi/forcetrigger?t=aczm1h&amp;q=XSGO%3aCOLBUN&amp;form=skydnc</v>
    <v>Learn more on Bing</v>
  </rv>
  <rv s="4">
    <v>es-ES</v>
    <v>aczm1h</v>
    <v>268435456</v>
    <v>1</v>
    <v>Con tecnología de Refinitiv</v>
    <v>9</v>
    <v>10</v>
    <v>Colbún S.A. (XSGO:COLBUN)</v>
    <v>3</v>
    <v>11</v>
    <v>Finance</v>
    <v>5</v>
    <v>XSGO</v>
    <v>17536170000</v>
    <v>1986</v>
    <v>128.30000000000001</v>
    <v>0.54090000000000005</v>
    <v>-0.47</v>
    <v>-3.6809999999999998E-3</v>
    <v>2231126909100</v>
    <v>127.7</v>
    <v>Colbún S.A. es una empresa chilena dedicada a la generación y distribución de energía eléctrica. La empresa opera, a través de sus filiales, en la generación, transporte, transformación, distribución, suministro o comercialización de energía eléctrica, y la administración u operación de plantas de energía. Sus clientes abarcan proveedores eléctricos y empresas de fabricación y minería. Entre las fuentes de energía de la empresa se encuentran la hidroelectricidad y la termoelectricidad. La empresa opera plantas de energía hidroeléctrica y centrales térmicas, las cuales pueden funcionar a base de petróleo y gas natural y carbón. Sus plantas de energía y proyectos contribuyen energía al Sistema Interconectado Central (SIC). Sus centrales están distribuidas en 4 cuencas y 4 regiones de la región centromeridional de Chile. Entre las filiales de la empresa se encuentran Termoeléctrica Antilhue S.A. y Empresa Eléctrica Industrial S.A., entre otras. También posee activos de generación de energía en Perú.</v>
    <v>1335</v>
    <v>XSGO</v>
    <v>46106</v>
    <v>Santiago Stock Exchange</v>
    <v>34</v>
    <v>129.16</v>
    <v>156.51</v>
    <v>126.15</v>
    <v>117.379</v>
    <v>CLP</v>
    <v>Colbún S.A.</v>
    <v>Colbún S.A.</v>
    <v>127.23</v>
    <v>Electrical Utilities &amp; IPPs</v>
    <v>Av. Apoquindo 4775 Piso 11, LAS CONDES, SANTIAGO CL</v>
    <v>COLBUN</v>
    <v>Acciones</v>
    <v>Colbún S.A. (XSGO:COLBUN)</v>
    <v>16740302</v>
    <v>20319020</v>
  </rv>
  <rv s="2">
    <v>35</v>
  </rv>
  <rv s="0">
    <v>https://www.bing.com/financeapi/forcetrigger?t=acyxr7&amp;q=XSGO%3aBOLSASTGO&amp;form=skydnc</v>
    <v>Learn more on Bing</v>
  </rv>
  <rv s="3">
    <v>es-ES</v>
    <v>acyxr7</v>
    <v>268435456</v>
    <v>1</v>
    <v>Con tecnología de Refinitiv</v>
    <v>6</v>
    <v>7</v>
    <v>Bolsa Santiago (XSGO:BOLSASTGO)</v>
    <v>3</v>
    <v>8</v>
    <v>Finance</v>
    <v>5</v>
    <v>XSGO</v>
    <v>48000000</v>
    <v>1894</v>
    <v>403</v>
    <v>-8.6999999999999994E-2</v>
    <v>35</v>
    <v>9.5108999999999999E-2</v>
    <v>19344000000</v>
    <v>368</v>
    <v>Bolsa de Comercio de Santiago Bolsa de Valores SA is a Chile-based stock exchange. The Stock Exchange is a market infrastructure that allows companies and investors to trade securities. As the national stock exchange, its purpose is to lead the development and growth of the Securities Market. Its ecosystem engages securities intermediaries and offers competitive trading environments for all instruments in the Chilean Stock Market and regulated foreign securities. Due to the characteristics of this industry, the Stock Exchange primarily interacts with securities issuers, securities intermediaries, banks, insurance companies, pension fund administrators, and mutual and investment funds. Then, it is directly responsible for defining the technical, legal, and financial requirements for the incorporation of intermediaries to operate as stockbrokers registered with the Stock Exchange and for the authorization of their operators to participate in market transactions.</v>
    <v>125</v>
    <v>XSGO</v>
    <v>45085</v>
    <v>Santiago Stock Exchange</v>
    <v>37</v>
    <v>403</v>
    <v>403</v>
    <v>403</v>
    <v>368</v>
    <v>CLP</v>
    <v>Bolsa Santiago</v>
    <v>Bolsa Santiago</v>
    <v>403</v>
    <v>Investment Banking &amp; Investment Services</v>
    <v>La Bolsa 64, SANTIAGO, SANTIAGO CL</v>
    <v>BOLSASTGO</v>
    <v>Acciones</v>
    <v>Bolsa Santiago (XSGO:BOLSASTGO)</v>
    <v>234</v>
  </rv>
  <rv s="2">
    <v>38</v>
  </rv>
  <rv s="0">
    <v>https://www.bing.com/financeapi/forcetrigger?t=acyyf2&amp;q=XSGO%3aCAP&amp;form=skydnc</v>
    <v>Learn more on Bing</v>
  </rv>
  <rv s="4">
    <v>es-ES</v>
    <v>acyyf2</v>
    <v>268435456</v>
    <v>1</v>
    <v>Con tecnología de Refinitiv</v>
    <v>9</v>
    <v>10</v>
    <v>CAP S.A. (XSGO:CAP)</v>
    <v>3</v>
    <v>11</v>
    <v>Finance</v>
    <v>5</v>
    <v>XSGO</v>
    <v>149448100</v>
    <v>1946</v>
    <v>6399.9</v>
    <v>0.89219999999999999</v>
    <v>99</v>
    <v>1.5564E-2</v>
    <v>965434726000</v>
    <v>6361</v>
    <v>CAP S.A. es una compañía con sede en Chile dedicada principalmente a la industria del acero. Las actividades de la Compañía se dividen en cuatro segmentos comerciales: Minería, Acero, Procesamiento del Acero e Infraestructura. La división Minera se centra en la extracción, el procesamiento y la comercialización de minerales. La división Acero es responsable de la producción de acero acabado, que se produce a partir de acero líquido por reducción del mineral de hierro en altos hornos. La división Procesamiento del Acero procesa el acero para diversos sectores, como construcción, industria e infraestructura. La división Infraestructura incluye el desarrollo del sistema de desalación de agua de mar y líneas de transmisión eléctrica, así como la operación de la terminal portuaria. La Compañía opera a través de numerosas filiales, como Cleanairtech Sudámerica S.A., Tecnocap S.A. y Puerto Las Losas S.A.</v>
    <v>4792</v>
    <v>XSGO</v>
    <v>46106</v>
    <v>Santiago Stock Exchange</v>
    <v>40</v>
    <v>6475.3</v>
    <v>8680</v>
    <v>6320.9</v>
    <v>4351</v>
    <v>CLP</v>
    <v>CAP S.A.</v>
    <v>CAP S.A.</v>
    <v>6460</v>
    <v>Metals &amp; Mining</v>
    <v>Gertrudis Echenique 220, LAS CONDES, SANTIAGO CL</v>
    <v>CAP</v>
    <v>Acciones</v>
    <v>CAP S.A. (XSGO:CAP)</v>
    <v>161236</v>
    <v>143160</v>
  </rv>
  <rv s="2">
    <v>41</v>
  </rv>
  <rv s="0">
    <v>https://www.bing.com/financeapi/forcetrigger?t=acyynm&amp;q=XSGO%3aCCU&amp;form=skydnc</v>
    <v>Learn more on Bing</v>
  </rv>
  <rv s="4">
    <v>es-ES</v>
    <v>acyynm</v>
    <v>268435456</v>
    <v>1</v>
    <v>Con tecnología de Refinitiv</v>
    <v>9</v>
    <v>10</v>
    <v>COMPAÑIA CERVECERIAS UNIDAS S.A. (XSGO:CCU)</v>
    <v>3</v>
    <v>11</v>
    <v>Finance</v>
    <v>5</v>
    <v>XSGO</v>
    <v>369502900</v>
    <v>1902</v>
    <v>5250</v>
    <v>0.29039999999999999</v>
    <v>-205</v>
    <v>-3.9047999999999999E-2</v>
    <v>1864142130500</v>
    <v>5250</v>
    <v>Compania Cervecerias Unidas SA es una empresa diversificada de bebidas que opera principalmente en Chile, Argentina, Bolivia, Colombia, Paraguay y Uruguay. La Empresa opera como cervecera, productora de refrescos, agua y néctar, productora de vinos y distribuidora de pisco. Los segmentos de la empresa son: Chile, Negocios Internacionales y Vino. La Empresa tiene una cartera de productos, entre los cuales se incluye una gama de marcas de cerveza alcohólica y sin alcohol, con Cristal como su marca principal en Chile. Además, produce y distribuye cerveza Heineken; distribuye las cervezas Sol y Budweiser, y distribuye y produce las cervezas Kunstmann y Austral en Chile. El segmento de negocios internacionales incluye las operaciones en Argentina, Paraguay y Uruguay. La Empresa, a través de Viña San Pedro Tarapacá S.A. (VSPT), produce y comercializa una amplia gama de productos para el mercado doméstico y principalmente para el de exportación.</v>
    <v>9455</v>
    <v>XSGO</v>
    <v>46106</v>
    <v>Santiago Stock Exchange</v>
    <v>43</v>
    <v>5250</v>
    <v>7282.3190000000004</v>
    <v>5045</v>
    <v>5045</v>
    <v>CLP</v>
    <v>COMPAÑIA CERVECERIAS UNIDAS S.A.</v>
    <v>COMPAÑIA CERVECERIAS UNIDAS S.A.</v>
    <v>5045</v>
    <v>Beverages</v>
    <v>Vitacura 2670, Las Condes, SANTIAGO, SANTIAGO CL</v>
    <v>CCU</v>
    <v>Acciones</v>
    <v>COMPAÑIA CERVECERIAS UNIDAS S.A. (XSGO:CCU)</v>
    <v>215729</v>
    <v>368010</v>
  </rv>
  <rv s="2">
    <v>44</v>
  </rv>
  <rv s="0">
    <v>https://www.bing.com/financeapi/forcetrigger?t=bqi1c7&amp;q=XSGO%3aCENCOSHOPP&amp;form=skydnc</v>
    <v>Learn more on Bing</v>
  </rv>
  <rv s="4">
    <v>es-ES</v>
    <v>bqi1c7</v>
    <v>268435456</v>
    <v>1</v>
    <v>Con tecnología de Refinitiv</v>
    <v>9</v>
    <v>10</v>
    <v>Cencosud Shop (XSGO:CENCOMALLS)</v>
    <v>3</v>
    <v>11</v>
    <v>Finance</v>
    <v>5</v>
    <v>XSGO</v>
    <v>1705831000</v>
    <v>2005</v>
    <v>2192.6</v>
    <v>0.84109999999999996</v>
    <v>52.5</v>
    <v>2.4447E-2</v>
    <v>3752828200000</v>
    <v>2147.5</v>
    <v xml:space="preserve">Cencosud Shopping SA is a Chile-based public company which engages in the Real Estate Business Sector. The main corporate purpose of the Company is the construction of works, real estate and real estate developments, the purchase, sale, lease, subdivision, construction and in general the realization and administration by own or third-party account of all kinds of real estate investments. The Company also develops, builds, administers, manages, operates and leases premises and spaces in shopping centers of the type Mall. Since the beginning of the Company's history, Cencosud S.A., which is the majority shareholder of the Company, developed the shopping center business in Chile. Banco Santander - JP Morgan also owns shares of the Company. </v>
    <v>655</v>
    <v>XSGO</v>
    <v>46106</v>
    <v>Santiago Stock Exchange</v>
    <v>46</v>
    <v>2232</v>
    <v>2799.9</v>
    <v>2186</v>
    <v>1680.019</v>
    <v>CLP</v>
    <v>Cencosud Shop</v>
    <v>Cencosud Shop</v>
    <v>2200</v>
    <v>Real Estate Operations</v>
    <v>Av. Andres Bello 2425 Piso 7, PROVIDENCIA, SANTIAGO CL</v>
    <v>CENCOMALLS</v>
    <v>Acciones</v>
    <v>Cencosud Shop (XSGO:CENCOMALLS)</v>
    <v>1054905</v>
    <v>366390</v>
  </rv>
  <rv s="2">
    <v>47</v>
  </rv>
  <rv s="0">
    <v>https://www.bing.com/financeapi/forcetrigger?t=aczl52&amp;q=XSGO%3aCGE&amp;form=skydnc</v>
    <v>Learn more on Bing</v>
  </rv>
  <rv s="4">
    <v>es-ES</v>
    <v>aczl52</v>
    <v>268435456</v>
    <v>1</v>
    <v>Con tecnología de Refinitiv</v>
    <v>9</v>
    <v>10</v>
    <v>Compania General (XSGO:CGE)</v>
    <v>3</v>
    <v>11</v>
    <v>Finance</v>
    <v>5</v>
    <v>XSGO</v>
    <v>2019897000</v>
    <v>2014</v>
    <v>265</v>
    <v>-0.2389</v>
    <v>6.96</v>
    <v>2.6459999999999997E-2</v>
    <v>545372190000</v>
    <v>263.04000000000002</v>
    <v>Compania General de Electricidad SA (CGE) formerly known as Gas Natural Fenosa Chile S.A is a Chile-based company principally engaged in the energy sector. The Company main activities include the generation, transmission and supply of electric energy. The Company also participates in the investments related to a range of services complementary to energy sector, such as information technology, development of electrical transformers, logistics and real estate. CGE business operations are in Chile and Argentina. The Company owns such direct and indirect subsidiaries as CGE Distribucion SA, Compania Nacional de Fuerza Electrica SA, CGE Magallanes SA, Emel Atacama SA, CGE Argentina SA, Transnet SA and Tecnet SA, among others.</v>
    <v>1347</v>
    <v>XSGO</v>
    <v>46104</v>
    <v>Santiago Stock Exchange</v>
    <v>49</v>
    <v>270</v>
    <v>374.57</v>
    <v>246</v>
    <v>232</v>
    <v>CLP</v>
    <v>Compania General</v>
    <v>Compania General</v>
    <v>270</v>
    <v>Electrical Utilities &amp; IPPs</v>
    <v>Av. Presidente Riesco 5561, Piso 17, LAS CONDES, SANTIAGO, 7561127 CL</v>
    <v>CGE</v>
    <v>Acciones</v>
    <v>Compania General (XSGO:CGE)</v>
    <v>10</v>
    <v>142710</v>
  </rv>
  <rv s="2">
    <v>50</v>
  </rv>
  <rv s="0">
    <v>http://en.wikipedia.org/wiki/Public_domain</v>
    <v>Public domain</v>
  </rv>
  <rv s="0">
    <v>http://pt.wikipedia.org/wiki/Banco_de_Chile</v>
    <v>Wikipedia</v>
  </rv>
  <rv s="9">
    <v>52</v>
    <v>53</v>
  </rv>
  <rv s="10">
    <v>27</v>
    <v>https://www.bing.com/th?id=AMMS_49292d87fd403d73b26a2465618e6b6d&amp;qlt=95</v>
    <v>54</v>
    <v>0</v>
    <v>https://www.bing.com/images/search?form=xlimg&amp;q=banco+de+chile</v>
    <v>Image of Banco de Chile</v>
  </rv>
  <rv s="0">
    <v>https://www.bing.com/financeapi/forcetrigger?t=aczlar&amp;q=XSGO%3aCHILE&amp;form=skydnc</v>
    <v>Learn more on Bing</v>
  </rv>
  <rv s="11">
    <v>es-ES</v>
    <v>aczlar</v>
    <v>268435456</v>
    <v>1</v>
    <v>Con tecnología de Refinitiv</v>
    <v>22</v>
    <v>23</v>
    <v>Banco de Chile (XSGO:CHILE)</v>
    <v>25</v>
    <v>26</v>
    <v>Finance</v>
    <v>5</v>
    <v>XSGO</v>
    <v>101017100000</v>
    <v>1983</v>
    <v>164.2</v>
    <v>0.75480000000000003</v>
    <v>4.99</v>
    <v>3.0612E-2</v>
    <v>16970872800000</v>
    <v>163.01</v>
    <v>Banco de Chile es un banco de propiedad privada. La empresa es una institución financiera de servicio completo que proporciona, directa e indirectamente a través de sus filiales y afiliadas, una gama de productos y servicios de préstamo y no préstamo a todos los segmentos del mercado financiero chileno. Su negocio principal es la banca comercial en Chile, que ofrece productos bancarios tradicionales y servicios financieros especializados a su base de clientes particulares y empresas. La compañía opera en cuatro segmentos de negocio: banca minorista; banca mayorista; tesorería y mercados de dinero y filiales. Ofrece una gama de servicios financieros, como cuentas corrientes, tarjetas de débito, tarjetas de crédito, líneas de crédito renovable, préstamos hipotecarios residenciales, préstamos al consumo, préstamos comerciales, préstamos hipotecarios para fines generales, acuerdos de leasing, servicios de factorización, gestión de fondos mutuos y corretaje de bolsa, financiación comercial, pagos y cobros, corretaje de seguros, instrumentos de ahorro y servicios de divisas.</v>
    <v>10301</v>
    <v>XSGO</v>
    <v>46106</v>
    <v>55</v>
    <v>Santiago Stock Exchange</v>
    <v>56</v>
    <v>169.76</v>
    <v>200.68</v>
    <v>164.2</v>
    <v>121.06</v>
    <v>CLP</v>
    <v>Banco de Chile</v>
    <v>Banco de Chile</v>
    <v>168</v>
    <v>Banking Services</v>
    <v>Ahumada 251, SANTIAGO, SANTIAGO CL</v>
    <v>CHILE</v>
    <v>Acciones</v>
    <v>Banco de Chile (XSGO:CHILE)</v>
    <v>156841916</v>
    <v>105300980</v>
  </rv>
  <rv s="2">
    <v>57</v>
  </rv>
  <rv s="0">
    <v>https://www.bing.com/financeapi/forcetrigger?t=aczmfr&amp;q=XSGO%3aCONCHATORO&amp;form=skydnc</v>
    <v>Learn more on Bing</v>
  </rv>
  <rv s="4">
    <v>es-ES</v>
    <v>aczmfr</v>
    <v>268435456</v>
    <v>1</v>
    <v>Con tecnología de Refinitiv</v>
    <v>9</v>
    <v>10</v>
    <v>Viña Concha y Toro S.A. (XSGO:CONCHATORO)</v>
    <v>3</v>
    <v>11</v>
    <v>Finance</v>
    <v>5</v>
    <v>XSGO</v>
    <v>739010000</v>
    <v>1922</v>
    <v>854.01</v>
    <v>0.55800000000000005</v>
    <v>2.0499999999999998</v>
    <v>2.4120000000000001E-3</v>
    <v>629673470500</v>
    <v>850</v>
    <v>Concha y Toro Winery Inc es un productor de vino con sede en Chile en América Latina. La Compañía posee aproximadamente 10,800 hectáreas de viñedos en Chile, Argentina y los Estados Unidos. Su reconocido portafolio incluye vinos de estos tres orígenes, incluidos los íconos Don Melchor y Almaviva, las marcas Marques de Casa Concha y Casillero del Diablo, y vinos de sus subsidiarias Cono Sur, Quinta de Maipo en Chile, y Bodegas Trivento y Fetzer en el exterior. La Compañía lleva a cabo sus operaciones directamente a través de sus subsidiarias, incluyendo Viña Cono Sur, Quinta de Maipo, Viña Maipo, Viña Maycas del Limari, Trivento Bodegas y Viñedos en Argentina y Fetzer Vineyards en los Estados Unidos. Participa en el negocio de distribución a través de sus subsidiarias VCT Chile, Concha y Toro UK Limited, VCT Brasil Importación y Exportación Limitada, Concha y Toro Sweden AB, Concha y Toro Finlandia OY, Concha y Toro Noruega AS, VCT Group Asia, VCT África y Oriente Medio y Concha y Toro Canadá.</v>
    <v>3172</v>
    <v>XSGO</v>
    <v>46106</v>
    <v>Santiago Stock Exchange</v>
    <v>59</v>
    <v>874.76</v>
    <v>1233.249</v>
    <v>851</v>
    <v>845.1</v>
    <v>CLP</v>
    <v>Viña Concha y Toro S.A.</v>
    <v>Viña Concha y Toro S.A.</v>
    <v>852.05</v>
    <v>Beverages</v>
    <v>Av. Nueva Tajamar 481 Piso 15, PROVIDENCIA, SANTIAGO CL</v>
    <v>CONCHATORO</v>
    <v>Acciones</v>
    <v>Viña Concha y Toro S.A. (XSGO:CONCHATORO)</v>
    <v>1245450</v>
    <v>728310</v>
  </rv>
  <rv s="2">
    <v>60</v>
  </rv>
  <rv s="0">
    <v>https://www.bing.com/financeapi/forcetrigger?t=a1xy7w&amp;q=XNAS%3aMRTN&amp;form=skydnc</v>
    <v>Learn more on Bing</v>
  </rv>
  <rv s="12">
    <v>es-ES</v>
    <v>a1xy7w</v>
    <v>268435456</v>
    <v>1</v>
    <v>Con tecnología de Refinitiv</v>
    <v>28</v>
    <v>29</v>
    <v>Marten Transport (XNAS:MRTN)</v>
    <v>3</v>
    <v>30</v>
    <v>Finance</v>
    <v>31</v>
    <v>XNAS</v>
    <v>81589130</v>
    <v>1988</v>
    <v>12.97</v>
    <v>0.83979999999999999</v>
    <v>0.18</v>
    <v>1.3996999999999999E-2</v>
    <v>1063922255</v>
    <v>12.86</v>
    <v>Marten Transport, Ltd. operates a multifaceted business offering a network of time and temperature-sensitive and dry truck-based transportation and distribution capabilities across its six business platforms: Temperature-Sensitive and Dry Truckload, Dedicated, Intermodal, Brokerage and MRTN de Mexico. Its Truckload segment provides a combination of regional short-haul and medium-to-long-haul full-load transportation services. Dedicated segment provides customized transportation solutions, utilizing temperature-controlled trailers, dry vans and other specialized equipment within the United States. Its Intermodal segment transports its customers’ freight within the United States utilizing its refrigerated containers on railroad flatcars for portions of trips, with the balance of the trips using its tractors or, to a lesser extent, contracted carriers. Brokerage segment develops contractual relationships with and arranges for third-party carriers to transport freight for its customers.</v>
    <v>3502</v>
    <v>XNAS</v>
    <v>46106.823336191403</v>
    <v>Nasdaq Stock Market</v>
    <v>62</v>
    <v>13.115</v>
    <v>15.42</v>
    <v>12.775</v>
    <v>9.35</v>
    <v>USD</v>
    <v>Marten Transport</v>
    <v>Marten Transport</v>
    <v>60.934600000000003</v>
    <v>13.04</v>
    <v>Freight &amp; Logistics Services</v>
    <v>129 MARTEN STREET, MONDOVI, WI, 54755 US</v>
    <v>MRTN</v>
    <v>Acciones</v>
    <v>Marten Transport (XNAS:MRTN)</v>
    <v>262196</v>
    <v>730460</v>
  </rv>
  <rv s="2">
    <v>63</v>
  </rv>
  <rv s="0">
    <v>https://www.bing.com/financeapi/forcetrigger?t=aczlur&amp;q=XSGO%3aCMPC&amp;form=skydnc</v>
    <v>Learn more on Bing</v>
  </rv>
  <rv s="4">
    <v>es-ES</v>
    <v>aczlur</v>
    <v>268435456</v>
    <v>1</v>
    <v>Con tecnología de Refinitiv</v>
    <v>9</v>
    <v>10</v>
    <v>Empresas CMPC S.A. (XSGO:CMPC)</v>
    <v>3</v>
    <v>11</v>
    <v>Finance</v>
    <v>5</v>
    <v>XSGO</v>
    <v>2500000000</v>
    <v>1920</v>
    <v>1145</v>
    <v>0.73299999999999998</v>
    <v>25</v>
    <v>2.2026E-2</v>
    <v>2900000000000</v>
    <v>1135</v>
    <v>Empresas CMPC S.A. es una empresa radicada en Chile que se dedica principalmente a la industria de productos de papel. Las actividades de la compañía se dividen en cinco segmentos de negocio: Forestal, que incluye productos que son troncos para la fabricación de pasta de celulosa y productos de madera sólida, como madera aserrada, productos remanufacturados y tablas de madera contrachapada; Pulpa, el cual ofrece pulpa fabricada en líneas de producción en Chile y Brasil; Papel, que se centra en la producción y comercialización de cartón, papel para cartón corrugado, papel de uso industrial y papel prensa; Tejido, que es responsable de la producción y venta de tejidos, productos de higiene sanitaria y especializados, como papel higiénico, servilletas, pañales y pañuelos faciales y Otros, que incluye servicios administrativos generales. La compañía opera en Argentina, Colombia, México, Perú y Ecuador, entre otros países. Controla un número de filiales, CMPC Celulosa SA, Cartulinas CMPC SA, Chimolsa SA La Papelera del Plata SA.</v>
    <v>27115</v>
    <v>XSGO</v>
    <v>46106</v>
    <v>Santiago Stock Exchange</v>
    <v>65</v>
    <v>1179.7</v>
    <v>1666.05</v>
    <v>1145</v>
    <v>1120</v>
    <v>CLP</v>
    <v>Empresas CMPC S.A.</v>
    <v>Empresas CMPC S.A.</v>
    <v>1160</v>
    <v>Paper &amp; Forest Products</v>
    <v>Agustinas 1343, SANTIAGO, SANTIAGO, 8340432 CL</v>
    <v>CMPC</v>
    <v>Acciones</v>
    <v>Empresas CMPC S.A. (XSGO:CMPC)</v>
    <v>2591582</v>
    <v>3905110</v>
  </rv>
  <rv s="2">
    <v>66</v>
  </rv>
  <rv s="0">
    <v>https://www.bing.com/financeapi/forcetrigger?t=acznhw&amp;q=XSGO%3aCUPRUM&amp;form=skydnc</v>
    <v>Learn more on Bing</v>
  </rv>
  <rv s="4">
    <v>es-ES</v>
    <v>acznhw</v>
    <v>268435456</v>
    <v>1</v>
    <v>Con tecnología de Refinitiv</v>
    <v>9</v>
    <v>10</v>
    <v>AFP Cuprum (XSGO:CUPRUM)</v>
    <v>3</v>
    <v>11</v>
    <v>Finance</v>
    <v>5</v>
    <v>XSGO</v>
    <v>12770260000</v>
    <v>2012</v>
    <v>131.91999999999999</v>
    <v>0.50270000000000004</v>
    <v>0.48</v>
    <v>3.519E-3</v>
    <v>1747865486200</v>
    <v>136.38999999999999</v>
    <v>AFP Cuprum SA, formerly AFP Argentum SA, is a Chile-based company engaged in the investment management. The Company focuses on the administration of private pension funds in Chile. The Company’s activities comprises investment and collection of contributions, management of individual capitalization accounts, as well as provision of life and disability benefits, payments of funeral expenses and senior retirement pensions. The Company's subsidiaries include Inversiones Cuprum Internacional SA. The Company is controlled by Principal Chile Ltda.</v>
    <v>1320</v>
    <v>XSGO</v>
    <v>46106</v>
    <v>Santiago Stock Exchange</v>
    <v>68</v>
    <v>136.87</v>
    <v>195.64400000000001</v>
    <v>131.91999999999999</v>
    <v>62.357999999999997</v>
    <v>CLP</v>
    <v>AFP Cuprum</v>
    <v>AFP Cuprum</v>
    <v>136.87</v>
    <v>Investment Banking &amp; Investment Services</v>
    <v>Apoquindo 3600 Piso 6, LAS CONDES, SANTIAGO CL</v>
    <v>CUPRUM</v>
    <v>Acciones</v>
    <v>AFP Cuprum (XSGO:CUPRUM)</v>
    <v>32590</v>
    <v>39370</v>
  </rv>
  <rv s="2">
    <v>69</v>
  </rv>
  <rv s="0">
    <v>https://www.bing.com/financeapi/forcetrigger?t=aczo8m&amp;q=XSGO%3aEDELMAG&amp;form=skydnc</v>
    <v>Learn more on Bing</v>
  </rv>
  <rv s="3">
    <v>es-ES</v>
    <v>aczo8m</v>
    <v>268435456</v>
    <v>1</v>
    <v>Con tecnología de Refinitiv</v>
    <v>6</v>
    <v>7</v>
    <v>Emp Ele Magall (XSGO:EDELMAG)</v>
    <v>3</v>
    <v>8</v>
    <v>Finance</v>
    <v>5</v>
    <v>XSGO</v>
    <v>13081280</v>
    <v>1983</v>
    <v>6222.1</v>
    <v>-9.1000000000000004E-3</v>
    <v>15</v>
    <v>2.4169999999999999E-3</v>
    <v>81378642880</v>
    <v>6206</v>
    <v>Empresa Electrica de Magallanes SA (Edelmag) is a Chile-based company principally engaged in the generation, transmission, distribution and supply of electric energy. The Company operates in the XII Region, with the provision of its services to the Magellan land and Chilean Antarctic areas, concession which has a total installed capacity of over 98 megawatts (MW) and comprises thermal generation plants in the communities of Punta Arenas, Puerto Natales, Porvenir and Puerto Williams. The Company is also active in the telecommunications sector with the provision of cable television installation services. The Company owns such subsidiaries as Inversiones San Sebastian SA and TV Red SA. In addition, CGE Magallanes SA was the Company’s majority shareholder.</v>
    <v>128</v>
    <v>XSGO</v>
    <v>46064</v>
    <v>Santiago Stock Exchange</v>
    <v>71</v>
    <v>6222.1</v>
    <v>6222.1</v>
    <v>6221</v>
    <v>4768.7370000000001</v>
    <v>CLP</v>
    <v>Emp Ele Magall</v>
    <v>Emp Ele Magall</v>
    <v>6221</v>
    <v>Electrical Utilities &amp; IPPs</v>
    <v>Croacia 444 CL</v>
    <v>EDELMAG</v>
    <v>Acciones</v>
    <v>Emp Ele Magall (XSGO:EDELMAG)</v>
    <v>90</v>
  </rv>
  <rv s="2">
    <v>72</v>
  </rv>
  <rv s="0">
    <v>https://www.bing.com/financeapi/forcetrigger?t=aczopr&amp;q=XSGO%3aELECMETAL&amp;form=skydnc</v>
    <v>Learn more on Bing</v>
  </rv>
  <rv s="13">
    <v>es-ES</v>
    <v>aczopr</v>
    <v>268435456</v>
    <v>1</v>
    <v>Con tecnología de Refinitiv</v>
    <v>32</v>
    <v>33</v>
    <v>Elecmetal (XSGO:ELECMETAL)</v>
    <v>3</v>
    <v>34</v>
    <v>Finance</v>
    <v>5</v>
    <v>XSGO</v>
    <v>43800000</v>
    <v>1917</v>
    <v>14961</v>
    <v>31</v>
    <v>2.0760000000000002E-3</v>
    <v>655291800000</v>
    <v>14930</v>
    <v>Compania Electro Metalurgica SA (Elecmetal) is a Chile-based industrial conglomerate. The Company operates in the steel industry, with the production of steel components for the mining industry; in the glass and plastic packaging sector; in the wine industry, where produces and markets wine and liquor; as well as in the communications sector, where covers the publishing of print media, and television broadcasting. As of December 31, 2012, the Company owned such subsidiaries as Cristalerias de Chile SA, Servicios y Consultas Hendaya SA, Inversiones Elecmetal Ltda, ME Elecmetal SA, Servicios Compartidos Ticel Ltda, Fundicion Talleres Ltda and Aceros Especiales SA.</v>
    <v>3855</v>
    <v>XSGO</v>
    <v>46106</v>
    <v>Santiago Stock Exchange</v>
    <v>74</v>
    <v>14961</v>
    <v>14961</v>
    <v>14961</v>
    <v>7003.0129999999999</v>
    <v>CLP</v>
    <v>Elecmetal</v>
    <v>Elecmetal</v>
    <v>14961</v>
    <v>Metals &amp; Mining</v>
    <v>Av. Andres Bello 2233 Piso 11 - 12, PROVIDENCIA, SANTIAGO CL</v>
    <v>ELECMETAL</v>
    <v>Acciones</v>
    <v>Elecmetal (XSGO:ELECMETAL)</v>
    <v>120</v>
    <v>7860</v>
  </rv>
  <rv s="2">
    <v>75</v>
  </rv>
  <rv s="0">
    <v>https://www.bing.com/financeapi/forcetrigger?t=aczovh&amp;q=XSGO%3aEMBONOR-A&amp;form=skydnc</v>
    <v>Learn more on Bing</v>
  </rv>
  <rv s="4">
    <v>es-ES</v>
    <v>aczovh</v>
    <v>268435456</v>
    <v>1</v>
    <v>Con tecnología de Refinitiv</v>
    <v>9</v>
    <v>10</v>
    <v>Coca-Cola Embonor S.A. (XSGO:EMBONOR-A)</v>
    <v>3</v>
    <v>11</v>
    <v>Finance</v>
    <v>5</v>
    <v>XSGO</v>
    <v>510853200</v>
    <v>1969</v>
    <v>1401</v>
    <v>0.4819</v>
    <v>71</v>
    <v>5.3383E-2</v>
    <v>715705333200</v>
    <v>1330</v>
    <v>Coca-Cola Embonor S.A. es una empresa con sede en Chile dedicada al sector de bebidas. La Compañía se enfoca en la producción y distribución de refrescos carbonatados en Chile y Bolivia, bajo la licencia de The Coca-Cola Company. Su gama de productos también incluye agua embotellada, bebidas energéticas y jugos de frutas. La cartera de marcas de la Compañía incluye Coca-Cola, Fanta, Sprite, Nordic Mist, Powerade, Quatro, Acuario, Fuze Tea, Andina y Kapo, entre otros. Sus clientes incluyen Walmart Chile Comercial Ltda., Super 10 SA, Rendic Hermanos SA y Supermercados Fidalga, entre otros. La Compañía opera a través de una serie de subsidiarias, tales como Embonor SA, Embonor Inversiones SA, Embotelladoras Bolivianas Unidas SA, así como Embonor Empaques SA.</v>
    <v>5776</v>
    <v>XSGO</v>
    <v>46037</v>
    <v>Santiago Stock Exchange</v>
    <v>77</v>
    <v>1401</v>
    <v>1401</v>
    <v>1401</v>
    <v>1182.0119999999999</v>
    <v>CLP</v>
    <v>Coca-Cola Embonor S.A.</v>
    <v>Coca-Cola Embonor S.A.</v>
    <v>1401</v>
    <v>Beverages</v>
    <v>Av. El Golf 40 piso 4, SANTIAGO, SANTIAGO CL</v>
    <v>EMBONOR-A</v>
    <v>Acciones</v>
    <v>Coca-Cola Embonor S.A. (XSGO:EMBONOR-A)</v>
    <v>20</v>
    <v>177630</v>
  </rv>
  <rv s="2">
    <v>78</v>
  </rv>
  <rv s="0">
    <v>https://www.bing.com/financeapi/forcetrigger?t=aczomw&amp;q=XSGO%3aEISA&amp;form=skydnc</v>
    <v>Learn more on Bing</v>
  </rv>
  <rv s="14">
    <v>es-ES</v>
    <v>aczomw</v>
    <v>268435456</v>
    <v>1</v>
    <v>Con tecnología de Refinitiv</v>
    <v>35</v>
    <v>36</v>
    <v>Echeverria Izq (XSGO:EISA)</v>
    <v>3</v>
    <v>37</v>
    <v>Finance</v>
    <v>5</v>
    <v>XSGO</v>
    <v>599161200</v>
    <v>470</v>
    <v>1.0016</v>
    <v>9</v>
    <v>1.9355000000000001E-2</v>
    <v>284002408800</v>
    <v>465</v>
    <v>Echeverria Izquierdo SA is a Chile-based company primarily engaged in the construction industry. The Company is involved in the construction of buildings and civil works, including offices, residential buildings, shopping centers, hospitals, deep foundations and transport infrastructure, as well as in the assembly of industrial installation for various sectors, such as energy, cellulose, mining, petrochemical and steel and cement, among others. Its portfolio includes office and residential buildings, university department, public urban spaces, power plants, natural gas terminals, power boilers, drying and grinding plants, hydrogen and phenol plants, clarification plant for blast furnaces, phenol treatment plant and cement plant, among others. Additionally, the Company is engaged in the residential real estate development, including single-family houses and apartments. On October 26, 2012, the Company established a new subsidiary named as Echeverria Izquierdo Edificaciones SA.</v>
    <v>XSGO</v>
    <v>46106</v>
    <v>Santiago Stock Exchange</v>
    <v>80</v>
    <v>474</v>
    <v>480</v>
    <v>470</v>
    <v>240.233</v>
    <v>CLP</v>
    <v>Echeverria Izq</v>
    <v>Echeverria Izq</v>
    <v>474</v>
    <v>Construction &amp; Engineering</v>
    <v>Av. Rosario Norte 532 Piso 8, LAS CONDES, SANTIAGO CL</v>
    <v>EISA</v>
    <v>Acciones</v>
    <v>Echeverria Izq (XSGO:EISA)</v>
    <v>1134529</v>
    <v>371790</v>
  </rv>
  <rv s="2">
    <v>81</v>
  </rv>
  <rv s="0">
    <v>https://www.bing.com/financeapi/forcetrigger?t=aczoyc&amp;q=XSGO%3aEMBONOR-B&amp;form=skydnc</v>
    <v>Learn more on Bing</v>
  </rv>
  <rv s="4">
    <v>es-ES</v>
    <v>aczoyc</v>
    <v>268435456</v>
    <v>1</v>
    <v>Con tecnología de Refinitiv</v>
    <v>9</v>
    <v>10</v>
    <v>Coca-Cola Embonor S.A. (XSGO:EMBONOR-B)</v>
    <v>3</v>
    <v>11</v>
    <v>Finance</v>
    <v>5</v>
    <v>XSGO</v>
    <v>510853200</v>
    <v>1969</v>
    <v>1550</v>
    <v>0.4819</v>
    <v>-70</v>
    <v>-4.3749999999999997E-2</v>
    <v>781605396000</v>
    <v>1600</v>
    <v>Coca-Cola Embonor S.A. es una empresa con sede en Chile dedicada al sector de bebidas. La Compañía se enfoca en la producción y distribución de refrescos carbonatados en Chile y Bolivia, bajo la licencia de The Coca-Cola Company. Su gama de productos también incluye agua embotellada, bebidas energéticas y jugos de frutas. La cartera de marcas de la Compañía incluye Coca-Cola, Fanta, Sprite, Nordic Mist, Powerade, Quatro, Acuario, Fuze Tea, Andina y Kapo, entre otros. Sus clientes incluyen Walmart Chile Comercial Ltda., Super 10 SA, Rendic Hermanos SA y Supermercados Fidalga, entre otros. La Compañía opera a través de una serie de subsidiarias, tales como Embonor SA, Embonor Inversiones SA, Embotelladoras Bolivianas Unidas SA, así como Embonor Empaques SA.</v>
    <v>5776</v>
    <v>XSGO</v>
    <v>46106</v>
    <v>Santiago Stock Exchange</v>
    <v>83</v>
    <v>1600</v>
    <v>1650</v>
    <v>1524.6</v>
    <v>1200.9059999999999</v>
    <v>CLP</v>
    <v>Coca-Cola Embonor S.A.</v>
    <v>Coca-Cola Embonor S.A.</v>
    <v>1530</v>
    <v>Beverages</v>
    <v>Av. El Golf 40 piso 4, SANTIAGO, SANTIAGO CL</v>
    <v>EMBONOR-B</v>
    <v>Acciones</v>
    <v>Coca-Cola Embonor S.A. (XSGO:EMBONOR-B)</v>
    <v>144733</v>
    <v>177630</v>
  </rv>
  <rv s="2">
    <v>84</v>
  </rv>
  <rv s="0">
    <v>https://www.bing.com/financeapi/forcetrigger?t=aczpar&amp;q=XSGO%3aENELAM&amp;form=skydnc</v>
    <v>Learn more on Bing</v>
  </rv>
  <rv s="4">
    <v>es-ES</v>
    <v>aczpar</v>
    <v>268435456</v>
    <v>1</v>
    <v>Con tecnología de Refinitiv</v>
    <v>9</v>
    <v>10</v>
    <v>Enel Américas S.A. (XSGO:ENELAM)</v>
    <v>3</v>
    <v>11</v>
    <v>Finance</v>
    <v>5</v>
    <v>XSGO</v>
    <v>107281700000</v>
    <v>1981</v>
    <v>78</v>
    <v>0.54579999999999995</v>
    <v>-0.5</v>
    <v>-6.4099999999999999E-3</v>
    <v>8314331750000</v>
    <v>78</v>
    <v>Enel Américas S.A., anteriormente Enersis Américas S.A., se dedica a los negocios de generación, transmisión y distribución de electricidad en Chile, Brasil, Colombia, Perú y Argentina a través de sus subsidiarias y entidades controladas de manera conjunta. La Empresa opera a través de dos segmentos: Generación y transmisión, y Distribución. El segmento de Generación y transmisión opera a través de Central Comercializadora de Energia S.A. (Cemsa), Central Dock Sud S.A. (Dock Sud), Central Costanera S.A. (Costanera) e Hidroelectrica El Chocon S.A. (El Chocon). El segmento de Distribución de la Empresa opera a través de Empresa Distribuidora Sur S.A. (Edesur), Ampla Energia e Servicos S.A. (Ampla) y Companhia Energetica do Ceara S.A. (Coelce). La Empresa se dedica a negocios distintos a la electricidad mediante su subsidiaria Servicios Informáticos e Inmobiliarios Ltda. (SIEI).</v>
    <v>17033</v>
    <v>XSGO</v>
    <v>46106</v>
    <v>Santiago Stock Exchange</v>
    <v>86</v>
    <v>79.39</v>
    <v>100.907</v>
    <v>77.5</v>
    <v>73.95</v>
    <v>CLP</v>
    <v>Enel Américas S.A.</v>
    <v>Enel Américas S.A.</v>
    <v>77.5</v>
    <v>Electrical Utilities &amp; IPPs</v>
    <v>Santa Rosa 76 Piso 17, SANTIAGO, SANTIAGO CL</v>
    <v>ENELAM</v>
    <v>Acciones</v>
    <v>Enel Américas S.A. (XSGO:ENELAM)</v>
    <v>44080951</v>
    <v>121080020</v>
  </rv>
  <rv s="2">
    <v>87</v>
  </rv>
  <rv s="0">
    <v>https://www.bing.com/financeapi/forcetrigger?t=aczpdm&amp;q=XSGO%3aENELCHILE&amp;form=skydnc</v>
    <v>Learn more on Bing</v>
  </rv>
  <rv s="4">
    <v>es-ES</v>
    <v>aczpdm</v>
    <v>268435456</v>
    <v>1</v>
    <v>Con tecnología de Refinitiv</v>
    <v>9</v>
    <v>10</v>
    <v>Enel Chile S.A. (XSGO:ENELCHILE)</v>
    <v>3</v>
    <v>11</v>
    <v>Finance</v>
    <v>5</v>
    <v>XSGO</v>
    <v>69166550000</v>
    <v>2016</v>
    <v>72.400000000000006</v>
    <v>0.5887</v>
    <v>-1.45</v>
    <v>-2.0097E-2</v>
    <v>4890075085000</v>
    <v>72.150000000000006</v>
    <v>Enel Chile SA, anteriormente Enersis Chile SA, es una empresa de servicios públicos de electricidad con sede en Chile. La Compañía, a través de sus entidades combinadas y afiliadas, se dedica a la generación, transmisión y distribución de negocios de electricidad. Los segmentos de la Compañía incluyen generación, distribución y otros negocios y ajustes de transacciones entre compañías. Adicionalmente en sus segmentos, la Compañía cuenta con Enel X Chile, un proyecto que busca abrir la energía a nuevos usos, tecnologías, asociaciones y servicios. Se consideran los negocios que se agrupan en 4 áreas: E-City, e-Home, e-Industries y e-Mobility. Posee y opera unidades de generación y distribución de electricidad en Chile a través de sus filiales.</v>
    <v>1792</v>
    <v>XSGO</v>
    <v>46106</v>
    <v>Santiago Stock Exchange</v>
    <v>89</v>
    <v>72.989999999999995</v>
    <v>77.694000000000003</v>
    <v>70.7</v>
    <v>53.33</v>
    <v>CLP</v>
    <v>Enel Chile S.A.</v>
    <v>Enel Chile S.A.</v>
    <v>70.7</v>
    <v>Electrical Utilities &amp; IPPs</v>
    <v>Piso 15 Santa Rosa 76, SANTIAGO, 8330099 CL</v>
    <v>ENELCHILE</v>
    <v>Acciones</v>
    <v>Enel Chile S.A. (XSGO:ENELCHILE)</v>
    <v>58124359</v>
    <v>83198880</v>
  </rv>
  <rv s="2">
    <v>90</v>
  </rv>
  <rv s="0">
    <v>https://www.bing.com/financeapi/forcetrigger?t=aczpp2&amp;q=XSGO%3aENLASA&amp;form=skydnc</v>
    <v>Learn more on Bing</v>
  </rv>
  <rv s="13">
    <v>es-ES</v>
    <v>aczpp2</v>
    <v>268435456</v>
    <v>1</v>
    <v>Con tecnología de Refinitiv</v>
    <v>32</v>
    <v>33</v>
    <v>Enlasa (XSGO:ENLASA)</v>
    <v>3</v>
    <v>34</v>
    <v>Finance</v>
    <v>5</v>
    <v>XSGO</v>
    <v>43762310</v>
    <v>2005</v>
    <v>945</v>
    <v>0</v>
    <v>0</v>
    <v>41355382950</v>
    <v>945</v>
    <v xml:space="preserve">Energia Latina SA is a Chile-based company which is engaged in the generation and distribution of electric power. The Company operates through 4 plants, located in Teno, Trapen, El Penon and San Lorenzo. It has a nominal capacity of 305 mega watt (MW). </v>
    <v>75</v>
    <v>XSGO</v>
    <v>46049</v>
    <v>Santiago Stock Exchange</v>
    <v>92</v>
    <v>945</v>
    <v>980</v>
    <v>945</v>
    <v>879.72500000000002</v>
    <v>CLP</v>
    <v>Enlasa</v>
    <v>Enlasa</v>
    <v>945</v>
    <v>Electrical Utilities &amp; IPPs</v>
    <v>Francisco De Aguirre 3720 Piso 6 Of 63, VITACURA, SANTIAGO CL</v>
    <v>ENLASA</v>
    <v>Acciones</v>
    <v>Enlasa (XSGO:ENLASA)</v>
    <v>424</v>
    <v>10</v>
  </rv>
  <rv s="2">
    <v>93</v>
  </rv>
  <rv s="0">
    <v>https://www.bing.com/financeapi/forcetrigger?t=aczpjc&amp;q=XSGO%3aENELGXCH&amp;form=skydnc</v>
    <v>Learn more on Bing</v>
  </rv>
  <rv s="4">
    <v>es-ES</v>
    <v>aczpjc</v>
    <v>268435456</v>
    <v>1</v>
    <v>Con tecnología de Refinitiv</v>
    <v>9</v>
    <v>10</v>
    <v>Enel Generación Chile S.A. (XSGO:ENELGXCH)</v>
    <v>3</v>
    <v>11</v>
    <v>Finance</v>
    <v>5</v>
    <v>XSGO</v>
    <v>8201755000</v>
    <v>1944</v>
    <v>515</v>
    <v>0.37359999999999999</v>
    <v>3.88</v>
    <v>7.5319999999999996E-3</v>
    <v>4256710845000</v>
    <v>515.12</v>
    <v>ENEL GENERACIÓN CHILE S.A., antes Empresa Nacional De Electricidad SA, es una empresa con sede en Chile que participa en el negocio de la generación de electricidad. La compañía opera en Chile. La empresa posee y opera un total de aproximadamente 111 unidades de generación en Chile tanto directamente como a través de sus filiales, Pehuenche, Celta y GasAtacama. De estas unidades de generación, aproximadamente 38 son hidroeléctricas, con una capacidad total instalada de más de 3.470 megavatios. Existen aproximadamente 22 unidades de generación térmica que operan con gas, carbón o petróleo con una capacidad total instalada de más de 2.808 megavatios. Hay más de 51 unidades de generación de energía eólica con una capacidad instalada total de aproximadamente 78 megavatios. Las filiales incluyen Compania Electrica San Isidro S.A. (San Isidro), Compania Electrica Tarapaca S.A. (Celta), Empresa Electrica Pehuenche S.A. (Pehuenche) y GasAtacama S.A (GasAtacama). Es controlada por Enel Chile SA.</v>
    <v>528</v>
    <v>XSGO</v>
    <v>46106</v>
    <v>Santiago Stock Exchange</v>
    <v>95</v>
    <v>520</v>
    <v>525</v>
    <v>515</v>
    <v>367.48500000000001</v>
    <v>CLP</v>
    <v>Enel Generación Chile S.A.</v>
    <v>Enel Generación Chile S.A.</v>
    <v>519</v>
    <v>Electrical Utilities &amp; IPPs</v>
    <v>Roger De Flor 2725, Torre 2, Piso 16, Oficina 1601, Metropolitana, SANTIAGO, SANTIAGO CL</v>
    <v>ENELGXCH</v>
    <v>Acciones</v>
    <v>Enel Generación Chile S.A. (XSGO:ENELGXCH)</v>
    <v>114654</v>
    <v>154980</v>
  </rv>
  <rv s="2">
    <v>96</v>
  </rv>
  <rv s="0">
    <v>https://www.bing.com/financeapi/forcetrigger?t=aczprw&amp;q=XSGO%3aENTEL&amp;form=skydnc</v>
    <v>Learn more on Bing</v>
  </rv>
  <rv s="4">
    <v>es-ES</v>
    <v>aczprw</v>
    <v>268435456</v>
    <v>1</v>
    <v>Con tecnología de Refinitiv</v>
    <v>9</v>
    <v>10</v>
    <v>Empresa Nacional de Telecomunicaciones S.A. (XSGO:ENTEL)</v>
    <v>3</v>
    <v>11</v>
    <v>Finance</v>
    <v>5</v>
    <v>XSGO</v>
    <v>302017100</v>
    <v>1965</v>
    <v>3664.6</v>
    <v>0.9496</v>
    <v>40.799999999999997</v>
    <v>1.0982E-2</v>
    <v>1134376227600</v>
    <v>3715.2</v>
    <v>Empresa Nacional de Telecomunicaciones S.A. es una empresa con sede en Chile dedicada principalmente a la industria de las telecomunicaciones. La Compañía se centra en proporcionar servicios móviles, de Internet, datos, tecnología de la información (TI), así como telefonía local y de larga distancia a clientes consumidores y empresariales en Chile, con operaciones móviles adicionales en Perú.</v>
    <v>11508</v>
    <v>XSGO</v>
    <v>46106</v>
    <v>Santiago Stock Exchange</v>
    <v>98</v>
    <v>3756</v>
    <v>5197.5</v>
    <v>3664.6</v>
    <v>2483.0529999999999</v>
    <v>CLP</v>
    <v>Empresa Nacional de Telecomunicaciones S.A.</v>
    <v>Empresa Nacional de Telecomunicaciones S.A.</v>
    <v>3756</v>
    <v>Telecommunications Services</v>
    <v>Av. Costanera Sur Rio Mapocho 2760 Piso 22 Torre C, LAS CONDES, SANTIAGO CL</v>
    <v>ENTEL</v>
    <v>Acciones</v>
    <v>Empresa Nacional de Telecomunicaciones S.A. (XSGO:ENTEL)</v>
    <v>201891</v>
    <v>264020</v>
  </rv>
  <rv s="2">
    <v>99</v>
  </rv>
  <rv s="0">
    <v>https://www.bing.com/financeapi/forcetrigger?t=aczrz2&amp;q=XSGO%3aFORUS&amp;form=skydnc</v>
    <v>Learn more on Bing</v>
  </rv>
  <rv s="4">
    <v>es-ES</v>
    <v>aczrz2</v>
    <v>268435456</v>
    <v>1</v>
    <v>Con tecnología de Refinitiv</v>
    <v>9</v>
    <v>10</v>
    <v>Forus (XSGO:FORUS)</v>
    <v>3</v>
    <v>11</v>
    <v>Finance</v>
    <v>5</v>
    <v>XSGO</v>
    <v>258469000</v>
    <v>1980</v>
    <v>2260</v>
    <v>0.82640000000000002</v>
    <v>10</v>
    <v>4.3669999999999994E-3</v>
    <v>594478700000</v>
    <v>2290</v>
    <v>Forus SA is a Chile-based company primarily engaged in the footwear and apparel retail. The Company focuses on the design, production and distribution of footwear, apparel and accessories for men, women and children. The Company's activities are divided into two business segments: Retail, which sells goods through retail and online stores, and Wholesale, which distributes goods through department stores, owned by Cencosud Retail SA, Falabella Retail SA and Ripley Corp SA, among others. The Company offers products under a range of brand names, including Hush Puppies, Cat, Merrell, Columbia, Mountain Hardwear, Azaleia, Sebago, Nine West, Brooks, Calpany, Skullcandy and Norseg, among others. Its distribution network includes point of sales located in Chile, Uruguay, Peru and Colombia. The Company operates through a number of subsidiaries, such as as Uruforus SA, Peru Forus SA and Forus Colombia SAS. The Company is controlled by Inversiones Costanera Ltda.</v>
    <v>3431</v>
    <v>XSGO</v>
    <v>46106</v>
    <v>Santiago Stock Exchange</v>
    <v>101</v>
    <v>2300</v>
    <v>2510</v>
    <v>2260</v>
    <v>1972.77</v>
    <v>CLP</v>
    <v>Forus</v>
    <v>Forus</v>
    <v>2300</v>
    <v>Specialty Retailers</v>
    <v>Av. Departamental 01053, SANTIAGO CL</v>
    <v>FORUS</v>
    <v>Acciones</v>
    <v>Forus (XSGO:FORUS)</v>
    <v>47685</v>
    <v>19730</v>
  </rv>
  <rv s="2">
    <v>102</v>
  </rv>
  <rv s="0">
    <v>https://www.bing.com/financeapi/forcetrigger?t=aczs2w&amp;q=XSGO%3aFOSFOROS&amp;form=skydnc</v>
    <v>Learn more on Bing</v>
  </rv>
  <rv s="3">
    <v>es-ES</v>
    <v>aczs2w</v>
    <v>268435456</v>
    <v>1</v>
    <v>Con tecnología de Refinitiv</v>
    <v>6</v>
    <v>7</v>
    <v>Fosforos (XSGO:FOSFOROS)</v>
    <v>3</v>
    <v>8</v>
    <v>Finance</v>
    <v>5</v>
    <v>XSGO</v>
    <v>61500000</v>
    <v>1913</v>
    <v>360</v>
    <v>-0.24679999999999999</v>
    <v>-19.989999999999998</v>
    <v>-5.2607000000000001E-2</v>
    <v>22140000000</v>
    <v>379.99</v>
    <v>Compania Chilena de Fosforos SA is a Chile-based company primarily engaged in the production, distribution and marketing of safety matches under the Los Andes, Copihue, Monarca and Penley brands. The Company and its subsidiaries export match splints, matches, ice cream sticks, chopsticks, paint paddles and other wooden microproducts. In addition, the Company is also active in the forestry sector with the ownership and exploitation of poplar plantations, as well as in the sale of advertising spaces for customized printing services in matchstick boxes and lighters. As of December 31, 2012, the Company owned such subsidiaries as Terciados y Elaboracion de Maderas SA, Compania Agricola y Forestal El Alamo Ltda and Southern Sun Group SA. In addition, Inversiones Cell Chile Ltda is the Company's majority shareholder with 57.64% of interest.</v>
    <v>856</v>
    <v>XSGO</v>
    <v>46062</v>
    <v>Santiago Stock Exchange</v>
    <v>104</v>
    <v>360</v>
    <v>422.17899999999997</v>
    <v>360</v>
    <v>315</v>
    <v>CLP</v>
    <v>Fosforos</v>
    <v>Fosforos</v>
    <v>360</v>
    <v>Paper &amp; Forest Products</v>
    <v>Av. Los Conquistadores 1700 Piso 15, SANTIAGO CL</v>
    <v>FOSFOROS</v>
    <v>Acciones</v>
    <v>Fosforos (XSGO:FOSFOROS)</v>
    <v>11</v>
  </rv>
  <rv s="2">
    <v>105</v>
  </rv>
  <rv s="0">
    <v>https://www.bing.com/financeapi/forcetrigger?t=aczs8m&amp;q=XSGO%3aGASCO&amp;form=skydnc</v>
    <v>Learn more on Bing</v>
  </rv>
  <rv s="4">
    <v>es-ES</v>
    <v>aczs8m</v>
    <v>268435456</v>
    <v>1</v>
    <v>Con tecnología de Refinitiv</v>
    <v>9</v>
    <v>10</v>
    <v>Empresas Gasco (XSGO:GASCO)</v>
    <v>3</v>
    <v>11</v>
    <v>Finance</v>
    <v>5</v>
    <v>XSGO</v>
    <v>168000000</v>
    <v>1869</v>
    <v>1500</v>
    <v>0.26939999999999997</v>
    <v>-15</v>
    <v>-9.9010000000000001E-3</v>
    <v>252000000000</v>
    <v>1515</v>
    <v>Empresas Gasco SA, formerly Gasco SA, is a Chile-based company primarily engaged in the gas utilities sector. The Company's activities include the transportation and distribution of liquefied petroleum gas (LPG) and natural gas for the domestic, commercial and industrial uses. Through its subsidiaries, the Company has operations established in the Metropolitan, Bio Bio, Magallanes and O’Higgins Chilean regions; as well as in Argentina and Colombia. The Company ownes such subsidiaries as Metrogas SA, Gasmar SA, Gas Sur SA, Gasco GLP SA, Inversiones Atlantico SA, Automotive Gas Systems SA, Transportes e Inversiones Magallanes SA and Autogasco SA, among others. The main shareholder of the Company is Gas Natural Fenosa Chile SA.</v>
    <v>1997</v>
    <v>XSGO</v>
    <v>46099</v>
    <v>Santiago Stock Exchange</v>
    <v>107</v>
    <v>1500</v>
    <v>1804.0440000000001</v>
    <v>1500</v>
    <v>1226.2239999999999</v>
    <v>CLP</v>
    <v>Empresas Gasco</v>
    <v>Empresas Gasco</v>
    <v>1500</v>
    <v>Natural Gas Utilities</v>
    <v>Santo Domingo 1061, SANTIAGO, SANTIAGO CL</v>
    <v>GASCO</v>
    <v>Acciones</v>
    <v>Empresas Gasco (XSGO:GASCO)</v>
    <v>20</v>
    <v>980</v>
  </rv>
  <rv s="2">
    <v>108</v>
  </rv>
  <rv s="0">
    <v>https://www.bing.com/financeapi/forcetrigger?t=aczsyc&amp;q=XSGO%3aHABITAT&amp;form=skydnc</v>
    <v>Learn more on Bing</v>
  </rv>
  <rv s="4">
    <v>es-ES</v>
    <v>aczsyc</v>
    <v>268435456</v>
    <v>1</v>
    <v>Con tecnología de Refinitiv</v>
    <v>9</v>
    <v>10</v>
    <v>Administradora de Fondos de Pensiones Habitat SA. (XSGO:HABITAT)</v>
    <v>3</v>
    <v>11</v>
    <v>Finance</v>
    <v>5</v>
    <v>XSGO</v>
    <v>1000000000</v>
    <v>1982</v>
    <v>1421.3</v>
    <v>0.46039999999999998</v>
    <v>-9.1999999999999993</v>
    <v>-6.4729999999999996E-3</v>
    <v>1412000000000</v>
    <v>1421.2</v>
    <v>ADMINISTRADORA DE FONDOS DE PENSIONES HABITAT S A es una empresa radicada en Chile que se dedica a la gestión de fondos privados de pensiones. Las actividades de la empresa incluyen la inversión y cobro de las contribuciones de sus clientes, gestión de cuentas de capitalización individuales y provisión de beneficios de vida y por incapacidad, pagos de gastos funerarios y pensiones de jubilación para adultos mayores. Opera una red de sucursales y centros de servicio ubicados en todo el país. A partir del 31 de diciembre de 2012, Inversiones Previsionales Dos SA se convirtió en accionista mayoritaria de la compañía con el 40,23% de su interés.</v>
    <v>1468</v>
    <v>XSGO</v>
    <v>46106</v>
    <v>Santiago Stock Exchange</v>
    <v>110</v>
    <v>1440</v>
    <v>1590</v>
    <v>1408</v>
    <v>932.07600000000002</v>
    <v>CLP</v>
    <v>Administradora de Fondos de Pensiones Habitat SA.</v>
    <v>Administradora de Fondos de Pensiones Habitat SA.</v>
    <v>1412</v>
    <v>Investment Banking &amp; Investment Services</v>
    <v>Providencia 1909, PROVIDENCIA, SANTIAGO CL</v>
    <v>HABITAT</v>
    <v>Acciones</v>
    <v>Administradora de Fondos de Pensiones Habitat SA. (XSGO:HABITAT)</v>
    <v>25665</v>
    <v>86040</v>
  </rv>
  <rv s="2">
    <v>111</v>
  </rv>
  <rv s="0">
    <v>https://www.bing.com/financeapi/forcetrigger?t=acztxm&amp;q=XSGO%3aIAM&amp;form=skydnc</v>
    <v>Learn more on Bing</v>
  </rv>
  <rv s="4">
    <v>es-ES</v>
    <v>acztxm</v>
    <v>268435456</v>
    <v>1</v>
    <v>Con tecnología de Refinitiv</v>
    <v>9</v>
    <v>10</v>
    <v>INVERSIONES AGUAS METROPOLITANAS S.A. (XSGO:IAM)</v>
    <v>3</v>
    <v>11</v>
    <v>Finance</v>
    <v>5</v>
    <v>XSGO</v>
    <v>1000000000</v>
    <v>1999</v>
    <v>989.37</v>
    <v>1.1873</v>
    <v>-4.38</v>
    <v>-4.4269999999999995E-3</v>
    <v>985000000000</v>
    <v>989.38</v>
    <v>Inversiones Aguas Metropolitanas S.A. posee intereses en Aguas Andinas S.A., una compañía de servicios sanitarios en América Latina. La Compañía, a través de sus filiales reguladas, ofrece los servicios de captación de agua cruda; producción, transporte y distribución de agua potable, y recolección, tratamiento y disposición de aguas residuales en aproximadamente ocho millones de personas en las regiones Metropolitana, Los Lagos y Los Ríos. Los segmentos de la Compañía incluyen Agua y No Agua. El segmento de Agua consiste solamente en los servicios sanitarios que permiten la prestación de productos y servicios de producción, distribución de agua y recolección y tratamiento de aguas residuales. El segmento de No Agua comprende los servicios relacionados con el análisis del medioambiente, tratamiento de aguas residuales y servicios de ingeniería, así como la venta de productos relacionados con los servicios sanitarios y proyectos de energía. Las áreas de concesión de la Compañía cubren un área aproximada de 70.000 hectáreas en la cuenca de Santiago, en la depresión intermedia de Chile central.</v>
    <v>2270</v>
    <v>XSGO</v>
    <v>46106</v>
    <v>Santiago Stock Exchange</v>
    <v>113</v>
    <v>989.37</v>
    <v>1150</v>
    <v>970</v>
    <v>775.35799999999995</v>
    <v>CLP</v>
    <v>INVERSIONES AGUAS METROPOLITANAS S.A.</v>
    <v>INVERSIONES AGUAS METROPOLITANAS S.A.</v>
    <v>985</v>
    <v>Water Utilities</v>
    <v>Apoquindo 4800 Piso 20 Torre Ii Of 2001 B, LAS CONDES, SANTIAGO CL</v>
    <v>IAM</v>
    <v>Acciones</v>
    <v>INVERSIONES AGUAS METROPOLITANAS S.A. (XSGO:IAM)</v>
    <v>333386</v>
    <v>678200</v>
  </rv>
  <rv s="2">
    <v>114</v>
  </rv>
  <rv s="0">
    <v>https://www.bing.com/financeapi/forcetrigger?t=aczucw&amp;q=XSGO%3aILC&amp;form=skydnc</v>
    <v>Learn more on Bing</v>
  </rv>
  <rv s="14">
    <v>es-ES</v>
    <v>aczucw</v>
    <v>268435456</v>
    <v>1</v>
    <v>Con tecnología de Refinitiv</v>
    <v>35</v>
    <v>36</v>
    <v>ILC Inversiones (XSGO:ILC)</v>
    <v>3</v>
    <v>37</v>
    <v>Finance</v>
    <v>5</v>
    <v>XSGO</v>
    <v>98524180</v>
    <v>20450</v>
    <v>0.85409999999999997</v>
    <v>-251</v>
    <v>-1.2395E-2</v>
    <v>1970385075820</v>
    <v>20250</v>
    <v>Inversiones la Construccion SA (ILC) is a Chile-based company primarily engaged in the life insurance sector. The Company's activities are divided into six segments: Fund management (AFP), which administrates pension funds through AFP Habitat; Private health insurance (Isapre), which administrates health insurance contributions through Isapre Consalud; Insurance, which offers individual and collective life insurance policies through Confuturo and Corpseguros, among others; Healthcare, which manages a network of private hospitals and clinics through Red Salud; Bank, which provides financial services for retail and commercial consumers through Banco Internacional, and Other, which includes operation of private schools, as well as provision of information technology (IT) outsourcing services, among others. The Company is a subsidiary of Camara Chilena de la Construccion Asociacion Gremial.</v>
    <v>XSGO</v>
    <v>46106</v>
    <v>Santiago Stock Exchange</v>
    <v>116</v>
    <v>20450</v>
    <v>22600</v>
    <v>19798</v>
    <v>9519.23</v>
    <v>CLP</v>
    <v>ILC Inversiones</v>
    <v>ILC Inversiones</v>
    <v>19999</v>
    <v>Insurance</v>
    <v>Avenida Apoquindo 6750, Piso 20, LAS CONDES, SANTIAGO CL</v>
    <v>ILC</v>
    <v>Acciones</v>
    <v>ILC Inversiones (XSGO:ILC)</v>
    <v>78047</v>
    <v>54130</v>
  </rv>
  <rv s="2">
    <v>117</v>
  </rv>
  <rv s="0">
    <v>https://www.bing.com/financeapi/forcetrigger?t=aczvtc&amp;q=XSGO%3aITAUCORP&amp;form=skydnc</v>
    <v>Learn more on Bing</v>
  </rv>
  <rv s="4">
    <v>es-ES</v>
    <v>aczvtc</v>
    <v>268435456</v>
    <v>1</v>
    <v>Con tecnología de Refinitiv</v>
    <v>9</v>
    <v>10</v>
    <v>Banco Itaú Chile (XSGO:ITAUCL)</v>
    <v>3</v>
    <v>11</v>
    <v>Finance</v>
    <v>5</v>
    <v>XSGO</v>
    <v>216340700</v>
    <v>1871</v>
    <v>19001</v>
    <v>1.2350000000000001</v>
    <v>212</v>
    <v>1.1276999999999999E-2</v>
    <v>4113069388400</v>
    <v>18800</v>
    <v>ITAÚ CORPBANCA es una institución financiera que se dedica al sector bancario. El Banco opera a través de siete segmentos: Grandes Empresas, Corporativa e Inmobiliaria incluye compañías que pertenecen a grandes grupos económicos y sectores específicos; Compañías incluye arrendamiento, factoraje y otros servicios financieros para clientes empresariales; Banca Tradicional y Privada ofrece cuentas de cheques, préstamos de consumo, tarjetas de crédito y préstamos hipotecarios; Banca Minorista para Menores Ingresos corresponde a las operaciones del Banco Condell, que ofrece créditos de consumo, tarjetas de crédito y préstamos hipotecarios; Tesorería e Internacional comprende las actividades de tesorería, tales como gestión financiera, financiación y liquidez; Servicios Financieros No Bancarios proporciona los servicios prestados por sus filiales, que incluyen corretaje de seguros, servicio de asesoría financiera y corretaje de valores, y Colombia incluye servicios de banca comercial y minorista, provistos por CorpBanca Colombia y Helm Bank.</v>
    <v>5118</v>
    <v>XSGO</v>
    <v>46106</v>
    <v>Santiago Stock Exchange</v>
    <v>119</v>
    <v>19374</v>
    <v>25887</v>
    <v>19000</v>
    <v>11256.216</v>
    <v>CLP</v>
    <v>Banco Itaú Chile</v>
    <v>Banco Itaú Chile</v>
    <v>19012</v>
    <v>Banking Services</v>
    <v>Av. Presidente Riesco 5537, LAS CONDES, SANTIAGO CL</v>
    <v>ITAUCL</v>
    <v>Acciones</v>
    <v>Banco Itaú Chile (XSGO:ITAUCL)</v>
    <v>128487</v>
    <v>183610</v>
  </rv>
  <rv s="2">
    <v>120</v>
  </rv>
  <rv s="0">
    <v>https://www.bing.com/financeapi/forcetrigger?t=aczxar&amp;q=XSGO%3aLIPIGAS&amp;form=skydnc</v>
    <v>Learn more on Bing</v>
  </rv>
  <rv s="4">
    <v>es-ES</v>
    <v>aczxar</v>
    <v>268435456</v>
    <v>1</v>
    <v>Con tecnología de Refinitiv</v>
    <v>9</v>
    <v>10</v>
    <v>Lipigas (XSGO:LIPIGAS)</v>
    <v>3</v>
    <v>11</v>
    <v>Finance</v>
    <v>5</v>
    <v>XSGO</v>
    <v>113574500</v>
    <v>2000</v>
    <v>8228.2000000000007</v>
    <v>0.16800000000000001</v>
    <v>-82.3</v>
    <v>-1.0002E-2</v>
    <v>925166519550</v>
    <v>8228.2000000000007</v>
    <v>Empresas Lipigas SA is a Chile-based company primarily engaged in the wholesale of petroleum products. The Company focuses on distribution and marketing of liquefied petroleum gas (LPG) for residential, industrial, commercial and automotive use. Furthermore, It is involved in the distribution of natural gas (NG) for household purposes, as well as liquefied natural gas (LNG) within industrial sectors. The Company's products serve for various applications, such as heating, cooking, warming household water, as well as supplying power to furnaces, turbines, engines and other industrial and commercial machines. The Company is present in a number of Latin American countries, including Chile, Peru and Colombia. It operates through Norgas SA, Lima Gas SA, NEOgas Peru SA and Chilco Distribuidora de Gas y Energia SAS ESP, among others.</v>
    <v>2270</v>
    <v>XSGO</v>
    <v>46106</v>
    <v>Santiago Stock Exchange</v>
    <v>122</v>
    <v>8228.2000000000007</v>
    <v>9327.9169999999995</v>
    <v>8145</v>
    <v>3916.4270000000001</v>
    <v>CLP</v>
    <v>Lipigas</v>
    <v>Lipigas</v>
    <v>8145.9</v>
    <v>Oil &amp; Gas</v>
    <v>Av. Apoquindo 5400 Piso 15, LAS CONDES, SANTIAGO CL</v>
    <v>LIPIGAS</v>
    <v>Acciones</v>
    <v>Lipigas (XSGO:LIPIGAS)</v>
    <v>4109</v>
    <v>2710</v>
  </rv>
  <rv s="2">
    <v>123</v>
  </rv>
  <rv s="0">
    <v>https://www.bing.com/financeapi/forcetrigger?t=ayuwhw&amp;q=XSGO%3aMANQUEHUE&amp;form=skydnc</v>
    <v>Learn more on Bing</v>
  </rv>
  <rv s="4">
    <v>es-ES</v>
    <v>ayuwhw</v>
    <v>268435456</v>
    <v>1</v>
    <v>Con tecnología de Refinitiv</v>
    <v>9</v>
    <v>10</v>
    <v>Inmob Manquehue (XSGO:MANQUEHUE)</v>
    <v>3</v>
    <v>11</v>
    <v>Finance</v>
    <v>5</v>
    <v>XSGO</v>
    <v>591556000</v>
    <v>1982</v>
    <v>118.3</v>
    <v>0.96840000000000004</v>
    <v>-2.36</v>
    <v>-1.9559E-2</v>
    <v>69981074800</v>
    <v>120.66</v>
    <v>Inmobiliaria Manquehue SA is a Chile-based company primarily engaged in the real estate sector. The Company's activities are divided into two segments: Real Estate Development and Macrolotes businesses. The Real Estate Development division focuses on the construction, development, promotion and sale of residential properties located in the Metropolitan Region, with a focus on the Machali area. It includes a portfolio of 22 projects in Manquehue with different stage of development and execution. The Macrolotes business develops a commercial residential project on a surface of 1060 hectares encompassing the years 2001-2021.</v>
    <v>539</v>
    <v>XSGO</v>
    <v>46100</v>
    <v>Santiago Stock Exchange</v>
    <v>125</v>
    <v>118.3</v>
    <v>155</v>
    <v>118.3</v>
    <v>81.290000000000006</v>
    <v>CLP</v>
    <v>Inmob Manquehue</v>
    <v>Inmob Manquehue</v>
    <v>118.3</v>
    <v>Real Estate Operations</v>
    <v>Av. Santa Maria 6350, Piso 4, VITACURA, SANTIAGO CL</v>
    <v>MANQUEHUE</v>
    <v>Acciones</v>
    <v>Inmob Manquehue (XSGO:MANQUEHUE)</v>
    <v>380</v>
    <v>100540</v>
  </rv>
  <rv s="2">
    <v>126</v>
  </rv>
  <rv s="0">
    <v>https://www.bing.com/financeapi/forcetrigger?t=aczy4c&amp;q=XSGO%3aMINERA&amp;form=skydnc</v>
    <v>Learn more on Bing</v>
  </rv>
  <rv s="4">
    <v>es-ES</v>
    <v>aczy4c</v>
    <v>268435456</v>
    <v>1</v>
    <v>Con tecnología de Refinitiv</v>
    <v>9</v>
    <v>10</v>
    <v>MInera Valparais (XSGO:MINERA)</v>
    <v>3</v>
    <v>11</v>
    <v>Finance</v>
    <v>5</v>
    <v>XSGO</v>
    <v>125000000</v>
    <v>1906</v>
    <v>12200</v>
    <v>-5.2499999999999998E-2</v>
    <v>217</v>
    <v>1.7573999999999999E-2</v>
    <v>1570625000000</v>
    <v>12348</v>
    <v xml:space="preserve">Minera Valparaiso SA is a Chile-based holding company engaged, through its subsidiaries and affiliates, in the generation, distribution and sale of electric energy, as well as in the forestry, mining, port services and real estate sectors. The Company owns such subsidiaries as Cominco SA, a mining company; Forestal Cominco SA, an entity active in the forestry sector; Puerto de Lirquen SA a multipurpose port terminal operator; and Forestal y Pesquera Callaqui SA, which is involved in the paper and forestry industries; among others. </v>
    <v>1337</v>
    <v>XSGO</v>
    <v>46106</v>
    <v>Santiago Stock Exchange</v>
    <v>128</v>
    <v>12565</v>
    <v>15271.870999999999</v>
    <v>12200</v>
    <v>12200</v>
    <v>CLP</v>
    <v>MInera Valparais</v>
    <v>MInera Valparais</v>
    <v>12565</v>
    <v>Electrical Utilities &amp; IPPs</v>
    <v>Teatinos 220, piso 7, SANTIAGO, SANTIAGO CL</v>
    <v>MINERA</v>
    <v>Acciones</v>
    <v>MInera Valparais (XSGO:MINERA)</v>
    <v>1772</v>
    <v>800</v>
  </rv>
  <rv s="2">
    <v>129</v>
  </rv>
  <rv s="0">
    <v>https://www.bing.com/financeapi/forcetrigger?t=aczyfr&amp;q=XSGO%3aMOLYMET&amp;form=skydnc</v>
    <v>Learn more on Bing</v>
  </rv>
  <rv s="4">
    <v>es-ES</v>
    <v>aczyfr</v>
    <v>268435456</v>
    <v>1</v>
    <v>Con tecnología de Refinitiv</v>
    <v>9</v>
    <v>10</v>
    <v>Molymet (XSGO:MOLYMET)</v>
    <v>3</v>
    <v>11</v>
    <v>Finance</v>
    <v>5</v>
    <v>XSGO</v>
    <v>132999300</v>
    <v>1975</v>
    <v>10499</v>
    <v>0.48349999999999999</v>
    <v>-1</v>
    <v>-9.5239999999999989E-5</v>
    <v>1396359650700</v>
    <v>10500</v>
    <v>Molibdenos y Metales SA is a Chile-based holding company engaged in the treatment and processing of molybdenum and related products, which are used in a range of industrial activities. The Company offers Molybdenum- and Rhenium-based products to different industries, such as the iron and steel industry, the chemical industry, the metal/superalloy industry and others. The company has five industrial plants: MolymetNos (Santiago de Chile) and Molynor (Mejillones in northern Chile); Molymex (Sonora State in Mexico); CM Chemiemetall (Bitterfeld in Germany) and Sadaci (in the Port of Ghent, in Belgium). It also has business offices in London, Baltimore and Beijing. The Company’s products include Technical Molybdic Oxide-Powder, Technical Molybdic Oxide-Briquettes and Ferromolybdenum, among others. The Company’s subsidiaries include Molymet, Molymex SA de CV, Sadaci NV, CM Chemiemetall GmbH, Complejo Industrial Molynor SA and Luoyang High Tech Molybdenum &amp; Tungsten Co Ltd.</v>
    <v>1108</v>
    <v>XSGO</v>
    <v>46106</v>
    <v>Santiago Stock Exchange</v>
    <v>131</v>
    <v>10499</v>
    <v>11000</v>
    <v>10499</v>
    <v>3749.7559999999999</v>
    <v>CLP</v>
    <v>Molymet</v>
    <v>Molymet</v>
    <v>10499</v>
    <v>Metals &amp; Mining</v>
    <v>Camino Nos a Los Morros No 66, SAN BERNARDO, SANTIAGO CL</v>
    <v>MOLYMET</v>
    <v>Acciones</v>
    <v>Molymet (XSGO:MOLYMET)</v>
    <v>216</v>
    <v>2020</v>
  </rv>
  <rv s="2">
    <v>132</v>
  </rv>
  <rv s="0">
    <v>https://www.bing.com/financeapi/forcetrigger?t=aczl7w&amp;q=XSGO%3aCGEGAS&amp;form=skydnc</v>
    <v>Learn more on Bing</v>
  </rv>
  <rv s="4">
    <v>es-ES</v>
    <v>aczl7w</v>
    <v>268435456</v>
    <v>1</v>
    <v>Con tecnología de Refinitiv</v>
    <v>9</v>
    <v>10</v>
    <v>Naturgy Chile Ga (XSGO:NTGCLGAS)</v>
    <v>3</v>
    <v>11</v>
    <v>Finance</v>
    <v>5</v>
    <v>XSGO</v>
    <v>2101151000</v>
    <v>2016</v>
    <v>622.98</v>
    <v>0.18279999999999999</v>
    <v>8.98</v>
    <v>1.4624999999999999E-2</v>
    <v>1308975049980</v>
    <v>614</v>
    <v>Naturgy Chile Gas Natural SA is a Chile-based supplier of natural gas. The Company is engaged in the distribution, commercialization and transportation of natural gas across Chile and in four provinces in Argentina. It operates through a single segment, namely the sale of natural gas. The Company, through subsidiaries, joint ventures and affiliates, supplies residential, commercial and industrial customers, such as power plants, as well as other gas distributors. It serves, through Metrogas SA, Gas Sur SA and Innergy Holding SA, more than 700 thousand customers in Chile and, through Gasnor SA and Gasmarket SA, more than 500 thousand customers in northwestern Argentina. Its natural gas transportation business is conducted by Gasoducto del Pacifico SA.</v>
    <v>549</v>
    <v>XSGO</v>
    <v>46106</v>
    <v>Santiago Stock Exchange</v>
    <v>134</v>
    <v>622.98</v>
    <v>670</v>
    <v>622.98</v>
    <v>332.71</v>
    <v>CLP</v>
    <v>Naturgy Chile Ga</v>
    <v>Naturgy Chile Ga</v>
    <v>622.98</v>
    <v>Natural Gas Utilities</v>
    <v>Av. El Regidor N 66, Piso 8, LAS CONDES, SANTIAGO CL</v>
    <v>NTGCLGAS</v>
    <v>Acciones</v>
    <v>Naturgy Chile Ga (XSGO:NTGCLGAS)</v>
    <v>5606</v>
    <v>37470</v>
  </rv>
  <rv s="2">
    <v>135</v>
  </rv>
  <rv s="15">
    <v>es-ES</v>
    <v>cbilf2</v>
    <v>268435456</v>
    <v>1</v>
    <v>Con tecnología de Refinitiv</v>
    <v>38</v>
    <v>39</v>
    <v>Holding Bursatil (XSGO:NUAM)</v>
    <v>40</v>
    <v>41</v>
    <v>Finance</v>
    <v>5</v>
    <v>XSGO</v>
    <v>88375970</v>
    <v>2022</v>
    <v>5044.5</v>
    <v>-4.5999999999999996</v>
    <v>-9.1319999999999997E-4</v>
    <v>444743231427</v>
    <v>5037</v>
    <v>Holding Bursatil Regional SA is a Chile-based company involved in the banking and investment services sector. The Company is engaged in the investment in Chile and abroad in intangible personal property, such as shares, bonds, debentures, shares of investment funds, shares, or rights in partnerships or of any other nature, and in all types of titles or securities furniture as well. In addition, the Company is engaged in investing in all types of personal and immovable property and it also manages the same investments, for which purpose, the Company carries out all the activities that are necessary or conducive to ensure that its subsidiaries act under the same direction and management purpose.</v>
    <v>XSGO</v>
    <v>46106</v>
    <v>Santiago Stock Exchange</v>
    <v>5050</v>
    <v>5126.1000000000004</v>
    <v>4989.3</v>
    <v>3647.69</v>
    <v>CLP</v>
    <v>Holding Bursatil</v>
    <v>Holding Bursatil</v>
    <v>5032.3999999999996</v>
    <v>Investment Banking &amp; Investment Services</v>
    <v>Calle La Bolsa N 64, SANTIAGO, SANTIAGO CL</v>
    <v>NUAM</v>
    <v>Acciones</v>
    <v>Holding Bursatil (XSGO:NUAM)</v>
    <v>86231</v>
    <v>35360</v>
  </rv>
  <rv s="2">
    <v>137</v>
  </rv>
  <rv s="0">
    <v>https://www.bing.com/financeapi/forcetrigger?t=b1v2im&amp;q=XSGO%3aMALLPLAZA&amp;form=skydnc</v>
    <v>Learn more on Bing</v>
  </rv>
  <rv s="4">
    <v>es-ES</v>
    <v>b1v2im</v>
    <v>268435456</v>
    <v>1</v>
    <v>Con tecnología de Refinitiv</v>
    <v>9</v>
    <v>10</v>
    <v>Plaza (XSGO:MALLPLAZA)</v>
    <v>3</v>
    <v>11</v>
    <v>Finance</v>
    <v>5</v>
    <v>XSGO</v>
    <v>2190000000</v>
    <v>2008</v>
    <v>3720</v>
    <v>0.99319999999999997</v>
    <v>64.900000000000006</v>
    <v>1.7587999999999999E-2</v>
    <v>8223450000000</v>
    <v>3690.1</v>
    <v>Plaza SA is a Chile-based company active in the department store industry. The Company is dedicated to the management, development and promotion of a chain of shopping centers in South America. The Company operates shopping mall in Chile, Peru and Colombia with more than 20 operational malls. The Company has a Gross Leasable Area (GLA) of more than 1.500.000 square meters. The Company offers all kinds of services and products for consumers, such as restaurants and bars, beauty salons, gyms and spas, clothing and footwear stores, movie theaters, leisure areas, supermarkets and hypermarkets, exhibition halls and concert areas, public libraries, parking areas, offices and medical centers, among others.</v>
    <v>758</v>
    <v>XSGO</v>
    <v>46106</v>
    <v>Santiago Stock Exchange</v>
    <v>139</v>
    <v>3890</v>
    <v>4370</v>
    <v>3717.9</v>
    <v>1869.4639999999999</v>
    <v>CLP</v>
    <v>Plaza</v>
    <v>Plaza</v>
    <v>3755</v>
    <v>Real Estate Operations</v>
    <v>Av. Americo Vespucio 1737, piso 9, comuna de, Huechuraba, HUECHURABA, SANTIAGO CL</v>
    <v>MALLPLAZA</v>
    <v>Acciones</v>
    <v>Plaza (XSGO:MALLPLAZA)</v>
    <v>1068249</v>
    <v>1656420</v>
  </rv>
  <rv s="2">
    <v>140</v>
  </rv>
  <rv s="0">
    <v>https://www.bing.com/financeapi/forcetrigger?t=ad115r&amp;q=XSGO%3aPEHUENCHE&amp;form=skydnc</v>
    <v>Learn more on Bing</v>
  </rv>
  <rv s="4">
    <v>es-ES</v>
    <v>ad115r</v>
    <v>268435456</v>
    <v>1</v>
    <v>Con tecnología de Refinitiv</v>
    <v>9</v>
    <v>10</v>
    <v>Pehuenche (XSGO:PEHUENCHE)</v>
    <v>3</v>
    <v>11</v>
    <v>Finance</v>
    <v>5</v>
    <v>XSGO</v>
    <v>612625600</v>
    <v>1986</v>
    <v>2741.5</v>
    <v>-0.45979999999999999</v>
    <v>-21.6</v>
    <v>-7.8790000000000006E-3</v>
    <v>1666280369440</v>
    <v>2741.5</v>
    <v>Empresa Electrica Pehuenche SA is a Chile-based company principally engaged in the electrical utilities sector. The Company is involved in the generation, transmission, distribution and supply of electricity. Empresa Electrica Pehuenche SA is active in the development, maintenance and operation of three hydroelectric power plants: Pehuenche, with an installed power capacity of 570 megawatts (MW); Curillinque, with an installed power capacity of 89 MW, and Loma Alta, with an installed power capacity of 40 MW. The Company’s power plants are located in the basin of the Maule River, the Seventh Region of Chile. As of December 31, 2012, the Company was a subsidiary of Empresa Nacional de Electricidad SA (ENDESA), which in turn is a subsidiary of Enersis SA.</v>
    <v>2</v>
    <v>XSGO</v>
    <v>46106</v>
    <v>Santiago Stock Exchange</v>
    <v>142</v>
    <v>2741.5</v>
    <v>2967.9</v>
    <v>2700</v>
    <v>2480.2269999999999</v>
    <v>CLP</v>
    <v>Pehuenche</v>
    <v>Pehuenche</v>
    <v>2719.9</v>
    <v>Electrical Utilities &amp; IPPs</v>
    <v>Santa Rosa 76 Piso 10, SANTIAGO CL</v>
    <v>PEHUENCHE</v>
    <v>Acciones</v>
    <v>Pehuenche (XSGO:PEHUENCHE)</v>
    <v>3109</v>
    <v>4200</v>
  </rv>
  <rv s="2">
    <v>143</v>
  </rv>
  <rv s="0">
    <v>https://www.bing.com/financeapi/forcetrigger?t=aczztc&amp;q=XSGO%3aPARAUCO&amp;form=skydnc</v>
    <v>Learn more on Bing</v>
  </rv>
  <rv s="4">
    <v>es-ES</v>
    <v>aczztc</v>
    <v>268435456</v>
    <v>1</v>
    <v>Con tecnología de Refinitiv</v>
    <v>9</v>
    <v>10</v>
    <v>Parque Arauco (XSGO:PARAUCO)</v>
    <v>3</v>
    <v>11</v>
    <v>Finance</v>
    <v>5</v>
    <v>XSGO</v>
    <v>905715900</v>
    <v>1981</v>
    <v>3711</v>
    <v>0.90449999999999997</v>
    <v>-0.9</v>
    <v>-2.432E-4</v>
    <v>3350243114100</v>
    <v>3699.9</v>
    <v>Parque Arauco SA is a Chile-based company engaged in the real estate industry. The Company focuses on the acquisition, development and management of multi-format real estate assets, mainly for commercial use. The Company owns and operates various formats of shopping centers, such as regional, neighborhood, outlet malls and strip centers. It rents commercial space to department stores, home improvement stores, supermarkets, restaurants, cinemas, as well as health centers, among others. Its projects portfolio comprises Parque Arauco Kennedy, Arauco Chillan, Arauco San Antonio, Larcomar, Parque Lambramani and Parque Caracoli, among others. The Company is present in a number of Latin American countries, including Chile, Peru and Colombia.</v>
    <v>537</v>
    <v>XSGO</v>
    <v>46106</v>
    <v>Santiago Stock Exchange</v>
    <v>145</v>
    <v>3743.9</v>
    <v>4150</v>
    <v>3554.9</v>
    <v>1758.5550000000001</v>
    <v>CLP</v>
    <v>Parque Arauco</v>
    <v>Parque Arauco</v>
    <v>3699</v>
    <v>Real Estate Operations</v>
    <v>Cerro Colorado 5240, Torres del Parque 1, piso 15, Las Condes, SANTIAGO, SANTIAGO CL</v>
    <v>PARAUCO</v>
    <v>Acciones</v>
    <v>Parque Arauco (XSGO:PARAUCO)</v>
    <v>897964</v>
    <v>1872790</v>
  </rv>
  <rv s="2">
    <v>146</v>
  </rv>
  <rv s="0">
    <v>https://www.bing.com/financeapi/forcetrigger?t=ay2zww&amp;q=XSGO%3aPLANVITAL&amp;form=skydnc</v>
    <v>Learn more on Bing</v>
  </rv>
  <rv s="8">
    <v>es-ES</v>
    <v>ay2zww</v>
    <v>268435456</v>
    <v>1</v>
    <v>Con tecnología de Refinitiv</v>
    <v>19</v>
    <v>20</v>
    <v>Planvital (XSGO:PLANVITAL)</v>
    <v>3</v>
    <v>21</v>
    <v>Finance</v>
    <v>5</v>
    <v>XSGO</v>
    <v>2036691000</v>
    <v>282</v>
    <v>0.93640000000000001</v>
    <v>4.92</v>
    <v>1.7757000000000002E-2</v>
    <v>574346862000</v>
    <v>277.08</v>
    <v xml:space="preserve">AFP Planvital SA is a Chile-based company engaged in the management of private pension funds. The Company’s activities include the investment and collection of its clients’ contributions, the management of individual capitalization accounts and the provision of life and disability benefits, payments of funeral expenses and senior retirement pensions. The Company operates a network of offices and branches located nationwide. As of December 31, 2011, the Company owned fully consolidated subsidiary Magister Internacional SA. </v>
    <v>900</v>
    <v>XSGO</v>
    <v>46106</v>
    <v>Santiago Stock Exchange</v>
    <v>148</v>
    <v>282</v>
    <v>310</v>
    <v>282</v>
    <v>187.36</v>
    <v>CLP</v>
    <v>Planvital</v>
    <v>Planvital</v>
    <v>282</v>
    <v>Investment Banking &amp; Investment Services</v>
    <v>Tenderini 127, SANTIAGO, SANTIAGO CL</v>
    <v>PLANVITAL</v>
    <v>Acciones</v>
    <v>Planvital (XSGO:PLANVITAL)</v>
    <v>4867</v>
    <v>16380</v>
  </rv>
  <rv s="2">
    <v>149</v>
  </rv>
  <rv s="0">
    <v>https://www.bing.com/financeapi/forcetrigger?t=ad11pr&amp;q=XSGO%3aPROVIDA&amp;form=skydnc</v>
    <v>Learn more on Bing</v>
  </rv>
  <rv s="4">
    <v>es-ES</v>
    <v>ad11pr</v>
    <v>268435456</v>
    <v>1</v>
    <v>Con tecnología de Refinitiv</v>
    <v>9</v>
    <v>10</v>
    <v>Administradora de Fondos de Pensiones ProVida S.A. (XSGO:PROVIDA)</v>
    <v>3</v>
    <v>11</v>
    <v>Finance</v>
    <v>5</v>
    <v>XSGO</v>
    <v>328015700</v>
    <v>1981</v>
    <v>5000</v>
    <v>0.84309999999999996</v>
    <v>-91.2</v>
    <v>-1.7912999999999998E-2</v>
    <v>1640078500000</v>
    <v>5091.2</v>
    <v>ADMINISTRADORA DE FONDOS DE PENSIONES PROVIDA S.A. es un fondo privado de pensiones. Entre los servicios de la empresa se incluyen la recaudación y administración de los aportes de los participantes; la realización de inversiones de las aportaciones de los participantes en fondos de pensiones gestionados; proporcionar prestaciones de seguros de vida o por discapacidad a los participantes y ofrecer una pensión de jubilación a los participantes. La empresa participa en sistemas de fondos privados de pensiones en otros países de América Latina como Perú, Ecuador y México a través de Provida Internacional, su subsidiaria en propiedad absoluta. La empresa también establece corporaciones relacionadas locales, las cuales complementan su línea de negocio o invierten en administradoras de fondos de pensiones o entidades ubicadas en otros países cuya actividad se relaciona con asuntos de pensiones.</v>
    <v>1351</v>
    <v>XSGO</v>
    <v>46106</v>
    <v>Santiago Stock Exchange</v>
    <v>151</v>
    <v>5000</v>
    <v>6174.91</v>
    <v>5000</v>
    <v>3606.84</v>
    <v>CLP</v>
    <v>Administradora de Fondos de Pensiones ProVida S.A.</v>
    <v>Administradora de Fondos de Pensiones ProVida S.A.</v>
    <v>5000</v>
    <v>Investment Banking &amp; Investment Services</v>
    <v>Avenida Apoquindo 2730, piso 13, LAS CONDES, SANTIAGO CL</v>
    <v>PROVIDA</v>
    <v>Acciones</v>
    <v>Administradora de Fondos de Pensiones ProVida S.A. (XSGO:PROVIDA)</v>
    <v>2120</v>
    <v>1520</v>
  </rv>
  <rv s="2">
    <v>152</v>
  </rv>
  <rv s="0">
    <v>https://www.bing.com/financeapi/forcetrigger?t=ad12m7&amp;q=XSGO%3aSALFACORP&amp;form=skydnc</v>
    <v>Learn more on Bing</v>
  </rv>
  <rv s="4">
    <v>es-ES</v>
    <v>ad12m7</v>
    <v>268435456</v>
    <v>1</v>
    <v>Con tecnología de Refinitiv</v>
    <v>9</v>
    <v>10</v>
    <v>SalfaCorp S.A. (XSGO:SALFACORP)</v>
    <v>3</v>
    <v>11</v>
    <v>Finance</v>
    <v>5</v>
    <v>XSGO</v>
    <v>549900800</v>
    <v>1999</v>
    <v>1300</v>
    <v>1.3217000000000001</v>
    <v>0</v>
    <v>0</v>
    <v>714871040000</v>
    <v>1300</v>
    <v>SalfaCorp S.A. es una compañía con sede en Chile dedicada principalmente al sector de construcción. Las actividades de la Compañía se dividen en cuatro segmentos de negocio: Ingeniería y Construcción, que proporciona obras civiles, montaje de equipo industrial, así como servicios de minería, tales como movimiento de tierras, perforación y voladura; Desarrollo de Bienes Raíces Residenciales, que ofrece diseño y construcción de viviendas unifamiliares y multifamiliares; Desarrollo de Bienes Raíces, que se centra en la adquisición, subdivisión y gestión de tierras; y Construcción de viviendas, que es responsable del desarrollo de proyectos de viviendas. La Compañía opera en varios países, como Chile, Colombia, Perú, Panamá y China. La Compañía posee un número de filiales, incluyendo Salfa Ingenieria y Construccion S.A., Inmobiliaria Aconcagua S.A., Geovita S.A. y Novatec S.A., entre otros.</v>
    <v>16311</v>
    <v>XSGO</v>
    <v>46106</v>
    <v>Santiago Stock Exchange</v>
    <v>154</v>
    <v>1300</v>
    <v>1499.9</v>
    <v>1255</v>
    <v>579.63</v>
    <v>CLP</v>
    <v>SalfaCorp S.A.</v>
    <v>SalfaCorp S.A.</v>
    <v>1300</v>
    <v>Construction &amp; Engineering</v>
    <v>Av. Presidente Riesco 5335 Piso 11, LAS CONDES, SANTIAGO CL</v>
    <v>SALFACORP</v>
    <v>Acciones</v>
    <v>SalfaCorp S.A. (XSGO:SALFACORP)</v>
    <v>429031</v>
    <v>350330</v>
  </rv>
  <rv s="2">
    <v>155</v>
  </rv>
  <rv s="0">
    <v>http://en.wikipedia.org/wiki/Banco_Santander_Chile</v>
    <v>Wikipedia</v>
  </rv>
  <rv s="9">
    <v>52</v>
    <v>157</v>
  </rv>
  <rv s="10">
    <v>27</v>
    <v>https://www.bing.com/th?id=AMMS_e9bd359a34230065992cf9d9d217596e&amp;qlt=95</v>
    <v>158</v>
    <v>0</v>
    <v>https://www.bing.com/images/search?form=xlimg&amp;q=banco+santander-chile</v>
    <v>Image of Banco Santander-Chile</v>
  </rv>
  <rv s="0">
    <v>https://www.bing.com/financeapi/forcetrigger?t=acyxww&amp;q=XSGO%3aBSANTANDER&amp;form=skydnc</v>
    <v>Learn more on Bing</v>
  </rv>
  <rv s="11">
    <v>es-ES</v>
    <v>acyxww</v>
    <v>268435456</v>
    <v>1</v>
    <v>Con tecnología de Refinitiv</v>
    <v>22</v>
    <v>23</v>
    <v>Banco Santander-Chile (XSGO:BSANTANDER)</v>
    <v>25</v>
    <v>26</v>
    <v>Finance</v>
    <v>5</v>
    <v>XSGO</v>
    <v>188446100000</v>
    <v>1997</v>
    <v>73.47</v>
    <v>0.80720000000000003</v>
    <v>1.4</v>
    <v>1.9074000000000001E-2</v>
    <v>14095768280000</v>
    <v>73.400000000000006</v>
    <v>BANCO SANTANDER-CHILE, anteriormente Banco Santander Chile, es un banco chileno. Los segmentos del Banco incluyen banca minorista, mercado medio, banca corporativa global y actividades empresariales (otros). El segmento de banca minorista consta de individuos y entidades pequeñas y medianas (PYMES). El segmento de mercado medio atiende empresas y grandes corporaciones. El segmento de banca corporativa global se compone de empresas multinacionales extranjeras y nacionales. El segmento de actividades empresariales incluye su división de gestión financiera, que desarrolla funciones de gestión global. Ofrece una gama de servicios de banca comercial y minorista a sus clientes, que incluyen préstamos denominados en pesos chilenos y moneda extranjera para financiar una amplia gama de transacciones comerciales, comercio, contratos a futuro en moneda extranjera y líneas de crédito y una gama de servicios de banca minorista, que incluyen financiación de hipotecas. Además de sus operaciones de banca tradicional, el banco ofrece una gama de servicios financieros.</v>
    <v>9389</v>
    <v>XSGO</v>
    <v>46106</v>
    <v>159</v>
    <v>Santiago Stock Exchange</v>
    <v>160</v>
    <v>75.25</v>
    <v>80.64</v>
    <v>73.430000000000007</v>
    <v>48.726999999999997</v>
    <v>CLP</v>
    <v>Banco Santander-Chile</v>
    <v>Banco Santander-Chile</v>
    <v>74.8</v>
    <v>Banking Services</v>
    <v>Bandera 140, SANTIAGO, SANTIAGO, 8340455 CL</v>
    <v>BSANTANDER</v>
    <v>Acciones</v>
    <v>Banco Santander-Chile (XSGO:BSANTANDER)</v>
    <v>192924291</v>
    <v>153205710</v>
  </rv>
  <rv s="2">
    <v>161</v>
  </rv>
  <rv s="0">
    <v>https://www.bing.com/financeapi/forcetrigger?t=ad134c&amp;q=XSGO%3aSECURITY&amp;form=skydnc</v>
    <v>Learn more on Bing</v>
  </rv>
  <rv s="16">
    <v>es-ES</v>
    <v>ad134c</v>
    <v>268435456</v>
    <v>1</v>
    <v>1</v>
    <v>Con tecnología de Refinitiv</v>
    <v>42</v>
    <v>43</v>
    <v>Grupo Security (XSGO)</v>
    <v>3</v>
    <v>11</v>
    <v>Finance</v>
    <v>5</v>
    <v>XSGO</v>
    <v>3995343000</v>
    <v>1991</v>
    <v>334</v>
    <v>0.80730000000000002</v>
    <v>0</v>
    <v>0</v>
    <v>1298486000000</v>
    <v>328.45</v>
    <v>Grupo Security SA is a Chile-based company primarily engaged in the banking sector. The Company’s activities are divided into five segments: Financing, Investments, Insurance, Services and Corporate. The Financing division provides banking services and products to individual and business customers through Banco Security, as well as factoring services through Factoring Security. The Investment division focuses on the asset management, securities brokerage and financial advisory through Valores Security Corredores de Bolsa, Asesorias Security and Administradora General de Fondos Security, among others. The Insurance division offers life and non-life insurance policies, as well as reinsurance products through Vida Security, among others. The Services division comprises Inmobiliaria Security, active in the real estate sector, and Travel Security, a travel agency. The Corporate division includes additional support services to the management of the conglomerate.</v>
    <v>3574</v>
    <v>XSGO</v>
    <v>45953</v>
    <v>Santiago Stock Exchange</v>
    <v>163</v>
    <v>334</v>
    <v>340</v>
    <v>310</v>
    <v>225.62700000000001</v>
    <v>CLP</v>
    <v>Grupo Security</v>
    <v>Grupo Security</v>
    <v>334</v>
    <v>Banking Services</v>
    <v>Av. Apoquindo 3150 Piso 14, LAS CONDES, SANTIAGO CL</v>
    <v>Acciones</v>
    <v>Grupo Security (XSGO)</v>
    <v>764</v>
    <v>82290</v>
  </rv>
  <rv s="2">
    <v>164</v>
  </rv>
  <rv s="0">
    <v>https://www.bing.com/financeapi/forcetrigger?t=ad14c7&amp;q=XSGO%3aSONDA&amp;form=skydnc</v>
    <v>Learn more on Bing</v>
  </rv>
  <rv s="4">
    <v>es-ES</v>
    <v>ad14c7</v>
    <v>268435456</v>
    <v>1</v>
    <v>Con tecnología de Refinitiv</v>
    <v>9</v>
    <v>10</v>
    <v>SONDA S.A. (XSGO:SONDA)</v>
    <v>3</v>
    <v>11</v>
    <v>Finance</v>
    <v>5</v>
    <v>XSGO</v>
    <v>871057200</v>
    <v>1991</v>
    <v>294</v>
    <v>0.90759999999999996</v>
    <v>-4.79</v>
    <v>-1.6249E-2</v>
    <v>252606588000</v>
    <v>294.79000000000002</v>
    <v>SONDA S.A. es una compañía con sede en Chile dedicada principalmente al sector de tecnologías de la información. La Compañía se centra en brindar soluciones informáticas corporativas, incluyendo soluciones tecnológicas para grandes y medianas empresas y organizaciones. Sus actividades se dividen en tres segmentos de negocio: Servicios de TI, que ofrece tercerización de infraestructura de TI, integración de sistemas, asesoramiento, servicios de tercerización de procesos de negocio, así como centro de datos y computación en la nube; Aplicaciones, que proporciona soluciones orientadas al desarrollo de gestión de negocio, incluyendo sistema de planificación de recursos empresariales, y Plataformas, que suministra hardware, software asociado básico y equipo de comunicación para integración de la infraestructura de TI. La Compañía opera en un número de países latinoamericanos, como Chile, Argentina, Brasil, Perú, Colombia y México. Opera a través de Compufacil SA.</v>
    <v>13940</v>
    <v>XSGO</v>
    <v>46106</v>
    <v>Santiago Stock Exchange</v>
    <v>166</v>
    <v>300</v>
    <v>400.77600000000001</v>
    <v>290</v>
    <v>285.02</v>
    <v>CLP</v>
    <v>SONDA S.A.</v>
    <v>SONDA S.A.</v>
    <v>290</v>
    <v>Software &amp; IT Services</v>
    <v>Teatinos 500, SANTIAGO CL</v>
    <v>SONDA</v>
    <v>Acciones</v>
    <v>SONDA S.A. (XSGO:SONDA)</v>
    <v>4000193</v>
    <v>333450</v>
  </rv>
  <rv s="2">
    <v>167</v>
  </rv>
  <rv s="17">
    <v>es-ES</v>
    <v>avym4c</v>
    <v>268435456</v>
    <v>1</v>
    <v>Con tecnología de Refinitiv</v>
    <v>44</v>
    <v>45</v>
    <v>USD/CLP</v>
    <v>46</v>
    <v>47</v>
    <v>Finance</v>
    <v>15</v>
    <v>916</v>
    <v>-0.3</v>
    <v>-3.2749999999999999E-4</v>
    <v>916</v>
    <v>USD</v>
    <v>46106.81795138889</v>
    <v>918.41</v>
    <v>1007.18</v>
    <v>908.6</v>
    <v>850.29</v>
    <v>CLP</v>
    <v>US Dollar/Chilean Peso FX Spot Rate</v>
    <v>915.7</v>
    <v>USDCLP</v>
    <v>Par de divisa</v>
    <v>USD/CLP</v>
  </rv>
  <rv s="2">
    <v>169</v>
  </rv>
  <rv s="17">
    <v>es-ES</v>
    <v>av8u2w</v>
    <v>268435456</v>
    <v>1</v>
    <v>Con tecnología de Refinitiv</v>
    <v>44</v>
    <v>45</v>
    <v>EUR/CLP</v>
    <v>46</v>
    <v>47</v>
    <v>Finance</v>
    <v>15</v>
    <v>1063.1099999999999</v>
    <v>-4.38</v>
    <v>-4.1199999999999995E-3</v>
    <v>1063.2</v>
    <v>EUR</v>
    <v>46106.82335648148</v>
    <v>1065.31</v>
    <v>1142.57</v>
    <v>1054.07</v>
    <v>987.41</v>
    <v>CLP</v>
    <v>Euro/Chilean Peso FX Cross Rate</v>
    <v>1058.82</v>
    <v>EURCLP</v>
    <v>Par de divisa</v>
    <v>EUR/CLP</v>
  </rv>
  <rv s="2">
    <v>171</v>
  </rv>
  <rv s="0">
    <v>https://www.bing.com/financeapi/forcetrigger?t=ad127w&amp;q=XSGO%3aQUINENCO&amp;form=skydnc</v>
    <v>Learn more on Bing</v>
  </rv>
  <rv s="4">
    <v>es-ES</v>
    <v>ad127w</v>
    <v>268435456</v>
    <v>1</v>
    <v>Con tecnología de Refinitiv</v>
    <v>9</v>
    <v>10</v>
    <v>Quiñenco S.A. (XSGO:QUINENCO)</v>
    <v>3</v>
    <v>11</v>
    <v>Finance</v>
    <v>5</v>
    <v>XSGO</v>
    <v>1662760000</v>
    <v>1957</v>
    <v>4201</v>
    <v>0.9163</v>
    <v>90</v>
    <v>2.1429E-2</v>
    <v>7133240400000</v>
    <v>4200</v>
    <v>Quiñenco S.A. se dedica a los sectores de servicios financieros e industrial. La Empresa proporciona servicios bancarios y financieros a través de su subsidiaria Banco de Chile (el Banco). Fabrica empaques y cables a través de las subsidiarias Tech Pack S.A. (Tech Pack) e Invexans S.A. (Invexans). Participa en la distribución y venta de productos y servicios en las áreas de combustibles y lubricantes, a través de la subsidiaria Enex S.A. (Enex). La Empresa opera a través de cinco segmentos: Manufactura, Financiero, Energía, Transporte y Otros. El segmento de Manufactura incluye Tech Pack, Invexans y sus subsidiarias. El segmento Financiero incluye LQ Inversiones Financieras S.A. (LQIF) y sus subsidiarias. El segmento de Energía incluye Enex y sus subsidiarias. El segmento de Transporte incluye Compañía Sud Americana de Vapores S.A. (CSAV) y sus subsidiarias. El segmento Otros incluye Quiñenco Corporativo, Compañía Cervecerías Unidas S.A., SM SAAM S.A., otros y eliminaciones.</v>
    <v>20499</v>
    <v>XSGO</v>
    <v>46106</v>
    <v>Santiago Stock Exchange</v>
    <v>173</v>
    <v>4378.8999999999996</v>
    <v>4699.2</v>
    <v>4135.6000000000004</v>
    <v>3164.1729999999998</v>
    <v>CLP</v>
    <v>Quiñenco S.A.</v>
    <v>Quiñenco S.A.</v>
    <v>4290</v>
    <v>Consumer Goods Conglomerates</v>
    <v>Enrique Foster Sur 20, Piso 15, LAS CONDES, SANTIAGO CL</v>
    <v>QUINENCO</v>
    <v>Acciones</v>
    <v>Quiñenco S.A. (XSGO:QUINENCO)</v>
    <v>443520</v>
    <v>248560</v>
  </rv>
  <rv s="2">
    <v>174</v>
  </rv>
  <rv s="0">
    <v>https://www.bing.com/financeapi/forcetrigger?t=ad13zr&amp;q=XSGO%3aSMSAAM&amp;form=skydnc</v>
    <v>Learn more on Bing</v>
  </rv>
  <rv s="4">
    <v>es-ES</v>
    <v>ad13zr</v>
    <v>268435456</v>
    <v>1</v>
    <v>Con tecnología de Refinitiv</v>
    <v>9</v>
    <v>10</v>
    <v>SM SAAM (XSGO:SMSAAM)</v>
    <v>3</v>
    <v>11</v>
    <v>Finance</v>
    <v>5</v>
    <v>XSGO</v>
    <v>9736342000</v>
    <v>2011</v>
    <v>153</v>
    <v>0.68830000000000002</v>
    <v>0</v>
    <v>0</v>
    <v>1489660326000</v>
    <v>153</v>
    <v>Sociedad Matriz SAAM SA is a Chile-based company engaged in the marine freight and logistics sector. The Company’s activities are divided into three business segments: Tugboats, Ports, as well as Logistics and others. The Tugboats division focuses on docking, undocking, tugboats, as well as rescue and offshore support services in ports located in Chile, Peru, Mexico, Colombia, Brazil, Costa Rica, Canada and Panama, among others. The Ports division is responsible for the port management in Chile, the United States, Ecuador and Colombia. The Logistics and others division includes services related to cargo operations in managed ports, such as stowage, unstowage, documentation, storage, deposits, logistics and transport.</v>
    <v>4879</v>
    <v>XSGO</v>
    <v>46106</v>
    <v>Santiago Stock Exchange</v>
    <v>176</v>
    <v>153</v>
    <v>159.94999999999999</v>
    <v>153</v>
    <v>105.11499999999999</v>
    <v>CLP</v>
    <v>SM SAAM</v>
    <v>SM SAAM</v>
    <v>153</v>
    <v>Transport Infrastructure</v>
    <v>Av. Apoquindo 4800, Torre II, piso 18, LAS CONDES, SANTIAGO CL</v>
    <v>SMSAAM</v>
    <v>Acciones</v>
    <v>SM SAAM (XSGO:SMSAAM)</v>
    <v>31968</v>
    <v>154280</v>
  </rv>
  <rv s="2">
    <v>177</v>
  </rv>
  <rv s="0">
    <v>https://www.bing.com/financeapi/forcetrigger?t=ad1652&amp;q=XSGO%3aVAPORES&amp;form=skydnc</v>
    <v>Learn more on Bing</v>
  </rv>
  <rv s="4">
    <v>es-ES</v>
    <v>ad1652</v>
    <v>268435456</v>
    <v>1</v>
    <v>Con tecnología de Refinitiv</v>
    <v>9</v>
    <v>10</v>
    <v>COMPAÑIA SUD AMERICANA DE VAPORES S.A. (XSGO:VAPORES)</v>
    <v>3</v>
    <v>11</v>
    <v>Finance</v>
    <v>5</v>
    <v>XSGO</v>
    <v>51319880000</v>
    <v>1872</v>
    <v>51.02</v>
    <v>0.44640000000000002</v>
    <v>-0.7</v>
    <v>-1.3672E-2</v>
    <v>2591653940000</v>
    <v>51.2</v>
    <v>Compañía Sud Americana de Vapores S.A. es una compañía con sede en Chile que participa en el sector de transporte marítimo de carga. Las actividades de la Compañía están estructuradas en dos segmentos de negocio: Transporte de contenedores y Otros servicios de transporte. La división de Transporte de contenedores proporciona servicios de transporte marítimo de carga a través de se afiliado indirecto Hapag-Lloyd AG. La división de Otros servicios de transporte ofrece transporte de productos a granel y vehículos, así como servicios logísticos de apoyo, como carga y descarga de bienes, concesiones de terminales, remolcador, almacenamiento y dique de contenedores. La Compañía opera a través un número de filiales, incluyendo Corvina Shipping Co SA, CSAV Austral SpA y Compania Naviera Rio Blanco SA, entre otros.</v>
    <v>16</v>
    <v>XSGO</v>
    <v>46106</v>
    <v>Santiago Stock Exchange</v>
    <v>179</v>
    <v>52</v>
    <v>54.71</v>
    <v>50.1</v>
    <v>33.965000000000003</v>
    <v>CLP</v>
    <v>COMPAÑIA SUD AMERICANA DE VAPORES S.A.</v>
    <v>COMPAÑIA SUD AMERICANA DE VAPORES S.A.</v>
    <v>50.5</v>
    <v>Freight &amp; Logistics Services</v>
    <v>Apoquindo 2827, piso 14, LAS CONDES, SANTIAGO, 7550268 CL</v>
    <v>VAPORES</v>
    <v>Acciones</v>
    <v>COMPAÑIA SUD AMERICANA DE VAPORES S.A. (XSGO:VAPORES)</v>
    <v>36187165</v>
    <v>81816500</v>
  </rv>
  <rv s="2">
    <v>180</v>
  </rv>
  <rv s="0">
    <v>https://www.bing.com/financeapi/forcetrigger?t=ae9omw&amp;q=XPAR%3aNEX&amp;form=skydnc</v>
    <v>Learn more on Bing</v>
  </rv>
  <rv s="12">
    <v>es-ES</v>
    <v>ae9omw</v>
    <v>268435456</v>
    <v>1</v>
    <v>Con tecnología de Refinitiv</v>
    <v>28</v>
    <v>29</v>
    <v>Nexans SA (XPAR:NEX)</v>
    <v>3</v>
    <v>48</v>
    <v>Finance</v>
    <v>49</v>
    <v>XPAR</v>
    <v>43744780</v>
    <v>1994</v>
    <v>117</v>
    <v>0.77739999999999998</v>
    <v>3.7</v>
    <v>3.2007000000000001E-2</v>
    <v>5419978000</v>
    <v>115.6</v>
    <v>Nexans SA es una empresa con sede en Francia dedicada a la industria del cable. Proporciona cables de cobre y fibra óptica y sistemas de cableado a los mercados de infraestructura energética, telecomunicaciones y datos, edificios y redes de área local (LAN). La compañía va más allá de los cables para ofrecer a sus clientes un servicio integral que aprovecha la tecnología digital para maximizar el rendimiento y la eficiencia de sus activos críticos. Diseña soluciones y servicios a lo largo de la cadena de valor en tres áreas principales de actividad, como la construcción y los territorios (incluidos los servicios públicos y la movilidad eléctrica), los proyectos de alta tensión (que abarcan parques eólicos marinos, interconexiones submarinas, alta tensión terrestre) e Industria y soluciones (incluidas las energías renovables, el transporte, el petróleo y el gas, la automatización, y otros).</v>
    <v>12669</v>
    <v>XPAR</v>
    <v>46106.708333333336</v>
    <v>Euronext Paris</v>
    <v>182</v>
    <v>119.3</v>
    <v>145.30000000000001</v>
    <v>117</v>
    <v>74.400000000000006</v>
    <v>EUR</v>
    <v>Nexans SA</v>
    <v>Nexans SA</v>
    <v>14.7439</v>
    <v>119.3</v>
    <v>Machinery, Equipment &amp; Components</v>
    <v>4 allee de L Arche, COURBEVOIE, ILE-DE-FRANCE, 92400 FR</v>
    <v>NEX</v>
    <v>Acciones</v>
    <v>Nexans SA (XPAR:NEX)</v>
    <v>93169</v>
    <v>140440</v>
  </rv>
  <rv s="2">
    <v>183</v>
  </rv>
  <rv s="0">
    <v>https://www.bing.com/financeapi/forcetrigger?t=ad143m&amp;q=XSGO%3aSMU&amp;form=skydnc</v>
    <v>Learn more on Bing</v>
  </rv>
  <rv s="4">
    <v>es-ES</v>
    <v>ad143m</v>
    <v>268435456</v>
    <v>1</v>
    <v>Con tecnología de Refinitiv</v>
    <v>9</v>
    <v>10</v>
    <v>Smu Chile (XSGO:SMU)</v>
    <v>3</v>
    <v>11</v>
    <v>Finance</v>
    <v>5</v>
    <v>XSGO</v>
    <v>5772577000</v>
    <v>2008</v>
    <v>130</v>
    <v>1.1303000000000001</v>
    <v>1.51</v>
    <v>1.1675999999999999E-2</v>
    <v>755226248910</v>
    <v>129.32</v>
    <v>SMU SA is a Chile-based company primarily engaged in the food retail. The Company's activities are divided into two business segments: Supermarkets and Construction supplies. The Supermarkets division focuses on the sale and distribution of grocery and other non-food products through various supermarket chains in Chile and Peru, such as Unimarc, Mayorista 10, Alvi, Mayorsa and Maxi Ahorro. It also operates convenience stores under the OK Market brand name, as well as offers Internet and telephone shopping under the Telemercados brand name. The Construction supplies division is responsible for the retail of building materials in Chile through the Construmart and Ferrexperto stores. The Company owns a number of subsidiaries, including Inversiones SMU SpA, Omicron SpA and Corp Fidelidad SA, among others.</v>
    <v>23008</v>
    <v>XSGO</v>
    <v>46106</v>
    <v>Santiago Stock Exchange</v>
    <v>185</v>
    <v>131.49</v>
    <v>182.03200000000001</v>
    <v>128.11000000000001</v>
    <v>128.11000000000001</v>
    <v>CLP</v>
    <v>Smu Chile</v>
    <v>Smu Chile</v>
    <v>130.83000000000001</v>
    <v>Food &amp; Drug Retailing</v>
    <v>Cerro El Plomo 5680 Piso 10, LAS CONDES, SANTIAGO CL</v>
    <v>SMU</v>
    <v>Acciones</v>
    <v>Smu Chile (XSGO:SMU)</v>
    <v>28031258</v>
    <v>8855030</v>
  </rv>
  <rv s="2">
    <v>186</v>
  </rv>
  <rv s="0">
    <v>https://www.bing.com/financeapi/forcetrigger?t=ad14hw&amp;q=XSGO%3aSOQUICOM&amp;form=skydnc</v>
    <v>Learn more on Bing</v>
  </rv>
  <rv s="4">
    <v>es-ES</v>
    <v>ad14hw</v>
    <v>268435456</v>
    <v>1</v>
    <v>Con tecnología de Refinitiv</v>
    <v>9</v>
    <v>10</v>
    <v>SQMC (XSGO:SOQUICOM)</v>
    <v>3</v>
    <v>11</v>
    <v>Finance</v>
    <v>5</v>
    <v>XSGO</v>
    <v>272116700</v>
    <v>1987</v>
    <v>378.31</v>
    <v>0.24779999999999999</v>
    <v>0.73</v>
    <v>1.9300000000000001E-3</v>
    <v>103132229300</v>
    <v>378.27</v>
    <v>Soquimich Comercial SA is a Chile-based company engaged in the production, commercialization, distribution, retail and wholesale of specialty fertilizers, nutrients, agricultural inputs and others products intended for agricultural activity. Its products include specialty fertilizers, iodine and iodine derivatives, lithium and lithium derivatives and industry chemicals which are sold principally under the Ultrasol and Qrop brands. As of December 31, 2011, the Company owned such subsidiaries as Productora de Insumos Agricolas Ltda, Soquimich Comercial Internacional Ltda, Comercial Hydro SA, Agrorama SA and Comercial Agrorama Ltda. In addition, SQM Industrial was the Company’s majority shareholder with 60.64% of its interest.</v>
    <v>87</v>
    <v>XSGO</v>
    <v>46106</v>
    <v>Santiago Stock Exchange</v>
    <v>188</v>
    <v>379.1</v>
    <v>433.54</v>
    <v>378.31</v>
    <v>301.61700000000002</v>
    <v>CLP</v>
    <v>SQMC</v>
    <v>SQMC</v>
    <v>379</v>
    <v>Chemicals</v>
    <v>Los Militares 4290 Piso 3 Las Condes, SANTIAGO CL</v>
    <v>SOQUICOM</v>
    <v>Acciones</v>
    <v>SQMC (XSGO:SOQUICOM)</v>
    <v>16311</v>
    <v>31150</v>
  </rv>
  <rv s="2">
    <v>189</v>
  </rv>
  <rv s="0">
    <v>https://www.bing.com/financeapi/forcetrigger?t=ad15ec&amp;q=XSGO%3aTRICAHUE&amp;form=skydnc</v>
    <v>Learn more on Bing</v>
  </rv>
  <rv s="4">
    <v>es-ES</v>
    <v>ad15ec</v>
    <v>268435456</v>
    <v>1</v>
    <v>Con tecnología de Refinitiv</v>
    <v>9</v>
    <v>10</v>
    <v>Inver Tricahue (XSGO:TRICAHUE)</v>
    <v>3</v>
    <v>11</v>
    <v>Finance</v>
    <v>5</v>
    <v>XSGO</v>
    <v>33392180</v>
    <v>1988</v>
    <v>1480</v>
    <v>0.15429999999999999</v>
    <v>0</v>
    <v>0</v>
    <v>49420426400</v>
    <v>1480</v>
    <v>Inversiones Tricahue SA is a Chile-based investment company principally engaged in the acquisition and sale of shares of Empresa Electrica Pehuenche SA, a company engaged in the generation and transmission of electric energy. Empresa Electrica Pehuenche operates the Pehuenche, Curilinque and Loma Alta hydroelectric power plants, which are located in the Maule Region. As of December 31, 2011, the Company held a 2.91% stake in that entity. In addition, Asesorias e Inversiones Ilihue Ltda was the Company’s major shareholder with 10.82% of its interest.</v>
    <v>1</v>
    <v>XSGO</v>
    <v>46104</v>
    <v>Santiago Stock Exchange</v>
    <v>191</v>
    <v>1480</v>
    <v>1529.3140000000001</v>
    <v>1480</v>
    <v>1294.7860000000001</v>
    <v>CLP</v>
    <v>Inver Tricahue</v>
    <v>Inver Tricahue</v>
    <v>1480</v>
    <v>Holding Companies</v>
    <v>San Antonio 486 Piso 7 Of 72, SANTIAGO, SANTIAGO CL</v>
    <v>TRICAHUE</v>
    <v>Acciones</v>
    <v>Inver Tricahue (XSGO:TRICAHUE)</v>
    <v>277</v>
    <v>490</v>
  </rv>
  <rv s="2">
    <v>192</v>
  </rv>
  <rv s="0">
    <v>https://www.bing.com/financeapi/forcetrigger?t=ad16jc&amp;q=XSGO%3aVOLCAN&amp;form=skydnc</v>
    <v>Learn more on Bing</v>
  </rv>
  <rv s="13">
    <v>es-ES</v>
    <v>ad16jc</v>
    <v>268435456</v>
    <v>1</v>
    <v>Con tecnología de Refinitiv</v>
    <v>32</v>
    <v>33</v>
    <v>Industr Volcan (XSGO:VOLCAN)</v>
    <v>3</v>
    <v>34</v>
    <v>Finance</v>
    <v>5</v>
    <v>XSGO</v>
    <v>75000000</v>
    <v>1917</v>
    <v>3076.5</v>
    <v>-31.1</v>
    <v>-1.0008E-2</v>
    <v>230737500000</v>
    <v>3107.6</v>
    <v>Compania Industrial el Volcan SA is a Chile-based company engaged in the manufacture, distribution and sale of raw materials and supplies used for industrial processes and in the construction and agricultural sectors. The Company's product portfolio includes plaster boards and plaster for construction, joint compounds, thermal and acoustic insulation materials for homes and industrial facilities, transparent glass and polyvinyl chloride panels, asphalt tiles, accessories and adhesives, among others. The Company also produces gypsum in different forms, which are distributed under the Fertiyeso, Volcanita, Super, Express and Casoprano. As of December 31, 2012, the Company owned such subsidiaries as Transportes Yeso Ltda, Aislantes Volcan SA, Minera Lo Valdes Ltda, Inversiones Volcan SA, Fibrocementos Volcan Ltda and Soluciones Constructivas Volcan SAC. Forestal Peumo SA is the Company’s major shareholder with 34.80% of its interest.</v>
    <v>601</v>
    <v>XSGO</v>
    <v>46094</v>
    <v>Santiago Stock Exchange</v>
    <v>194</v>
    <v>3076.5</v>
    <v>3308.6689999999999</v>
    <v>3076.5</v>
    <v>2617.9380000000001</v>
    <v>CLP</v>
    <v>Industr Volcan</v>
    <v>Industr Volcan</v>
    <v>3076.5</v>
    <v>Homebuilding &amp; Construction Supplies</v>
    <v>calle Agustinas 1357, Piso 10, SANTIAGO, SANTIAGO CL</v>
    <v>VOLCAN</v>
    <v>Acciones</v>
    <v>Industr Volcan (XSGO:VOLCAN)</v>
    <v>1383</v>
    <v>140</v>
  </rv>
  <rv s="2">
    <v>195</v>
  </rv>
  <rv s="0">
    <v>https://www.bing.com/financeapi/forcetrigger?t=ad1777&amp;q=XSGO%3aZOFRI&amp;form=skydnc</v>
    <v>Learn more on Bing</v>
  </rv>
  <rv s="4">
    <v>es-ES</v>
    <v>ad1777</v>
    <v>268435456</v>
    <v>1</v>
    <v>Con tecnología de Refinitiv</v>
    <v>9</v>
    <v>10</v>
    <v>Zofri (XSGO:ZOFRI)</v>
    <v>3</v>
    <v>11</v>
    <v>Finance</v>
    <v>5</v>
    <v>XSGO</v>
    <v>220569200</v>
    <v>1990</v>
    <v>1000</v>
    <v>0.61080000000000001</v>
    <v>0</v>
    <v>0</v>
    <v>221517647560</v>
    <v>1004.3</v>
    <v>Zona Franca de Iquique SA (Zofri) is a Chile-based company engaged in the real estate sector. The Company focuses on the management of the Iquique Free Trade Zone, a business center located in the commune of Iquique, Chile. The Company's activities are divided into four business segments: Shopping Center, which provides leasing of retail and wholesale premises; Property Management, which is responsible for leasing of industrial and storage properties; Logistics Center, which provides indoor and outdoor storage services, and Chacalluta Park, which includes leasing of industrial real estate. In addition, it offers access to call center, wireless Internet connection, food court, cafeterias, security guard and money exchange offices, among others The Company is a subsidiary of Corporacion de Fomento de la Produccion.</v>
    <v>300</v>
    <v>XSGO</v>
    <v>46106</v>
    <v>Santiago Stock Exchange</v>
    <v>197</v>
    <v>1004.3</v>
    <v>1200</v>
    <v>1000</v>
    <v>832.774</v>
    <v>CLP</v>
    <v>Zofri</v>
    <v>Zofri</v>
    <v>1004.3</v>
    <v>Real Estate Operations</v>
    <v>Recinto Amurallado Edificio Gerencia S/N, IQUIQUE CL</v>
    <v>ZOFRI</v>
    <v>Acciones</v>
    <v>Zofri (XSGO:ZOFRI)</v>
    <v>17195</v>
    <v>15340</v>
  </rv>
  <rv s="2">
    <v>198</v>
  </rv>
</rvData>
</file>

<file path=xl/richData/rdrichvaluestructure.xml><?xml version="1.0" encoding="utf-8"?>
<rvStructures xmlns="http://schemas.microsoft.com/office/spreadsheetml/2017/richdata" count="18">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xchangeID" t="s"/>
    <k n="Hora de la última operación"/>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k n="Volumen promedio"/>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k n="Volumen promedio"/>
  </s>
  <s t="_error">
    <k n="errorType" t="i"/>
    <k n="field" t="s"/>
    <k n="subType" t="i"/>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Beta"/>
    <k n="Cierre anterior"/>
    <k n="Descripción" t="s"/>
    <k n="Empleados"/>
    <k n="ExchangeID" t="s"/>
    <k n="Hora de la última operación"/>
    <k n="Intercambio" t="s"/>
    <k n="LearnMoreOnLink" t="r"/>
    <k n="Máximo en 52 semanas"/>
    <k n="Mínimo en 52 semanas"/>
    <k n="Moneda" t="s"/>
    <k n="Nombre" t="s"/>
    <k n="Nombre oficial" t="s"/>
    <k n="Sector" t="s"/>
    <k n="Sede central" t="s"/>
    <k n="Símbolo bursátil" t="s"/>
    <k n="Tipo de instrumento" t="s"/>
    <k n="UniqueName" t="s"/>
    <k n="Volumen promedio"/>
  </s>
  <s t="_linkedentitycore">
    <k n="%EntityCulture" t="s"/>
    <k n="%EntityId" t="s"/>
    <k n="%EntityServiceId"/>
    <k n="%IsRefreshable" t="b"/>
    <k n="%OutdatedReason" t="i"/>
    <k n="%ProviderInfo" t="s"/>
    <k n="_CanonicalPropertyNames" t="spb"/>
    <k n="_Display" t="spb"/>
    <k n="_DisplayString" t="s"/>
    <k n="_Flags" t="spb"/>
    <k n="_Format" t="spb"/>
    <k n="_Icon" t="s"/>
    <k n="_SubLabel" t="spb"/>
    <k n="Abreviatura de intercambio" t="s"/>
    <k n="Acciones en circulación"/>
    <k n="Año de constitución"/>
    <k n="Apertur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k n="Volumen promedio"/>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magen" t="r"/>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pertura"/>
    <k n="Beta"/>
    <k n="Cambio"/>
    <k n="Cambio (%)"/>
    <k n="Capitalización de mercado"/>
    <k n="Cierre anterior"/>
    <k n="Descripción" t="s"/>
    <k n="ExchangeID" t="s"/>
    <k n="Hora de la última operación"/>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Cambio"/>
    <k n="Cambio (%)"/>
    <k n="Capitalización de mercado"/>
    <k n="Cierre anterior"/>
    <k n="Descripción" t="s"/>
    <k n="ExchangeID" t="s"/>
    <k n="Hora de la última operación"/>
    <k n="Intercambio" t="s"/>
    <k n="Máximo"/>
    <k n="Máximo en 52 semanas"/>
    <k n="Mínimo"/>
    <k n="Mínimo en 52 semanas"/>
    <k n="Moneda" t="s"/>
    <k n="Nombre" t="s"/>
    <k n="Nombre oficial" t="s"/>
    <k n="Precio"/>
    <k n="Sector" t="s"/>
    <k n="Sede central" t="s"/>
    <k n="Símbolo bursátil" t="s"/>
    <k n="Tipo de instrumento" t="s"/>
    <k n="UniqueName" t="s"/>
    <k n="Volumen"/>
    <k n="Volumen promedio"/>
  </s>
  <s t="_linkedentitycore">
    <k n="%EntityCulture" t="s"/>
    <k n="%EntityId" t="s"/>
    <k n="%EntityServiceId"/>
    <k n="%IsRefreshable" t="b"/>
    <k n="%OutdatedReason" t="i"/>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recio"/>
    <k n="Sector" t="s"/>
    <k n="Sede centra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pertura"/>
    <k n="Cambio"/>
    <k n="Cambio (%)"/>
    <k n="Cierre anterior"/>
    <k n="De la moneda" t="s"/>
    <k n="Hora de la última operación"/>
    <k n="Máximo"/>
    <k n="Máximo en 52 semanas"/>
    <k n="Mínimo"/>
    <k n="Mínimo en 52 semanas"/>
    <k n="Moneda" t="s"/>
    <k n="Nombre" t="s"/>
    <k n="Precio"/>
    <k n="Símbolo bursátil" t="s"/>
    <k n="Tipo de instrumento" t="s"/>
    <k n="UniqueName" t="s"/>
  </s>
</rvStructures>
</file>

<file path=xl/richData/rdsupportingpropertybag.xml><?xml version="1.0" encoding="utf-8"?>
<supportingPropertyBags xmlns="http://schemas.microsoft.com/office/spreadsheetml/2017/richdata2">
  <spbArrays count="13">
    <a count="41">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Acciones en circulación</v>
      <v t="s">Descripción</v>
      <v t="s">Sede central</v>
      <v t="s">Sector</v>
      <v t="s">Tipo de instrumento</v>
      <v t="s">Año de constitución</v>
      <v t="s">_Flags</v>
      <v t="s">UniqueName</v>
      <v t="s">_DisplayString</v>
      <v t="s">LearnMoreOnLink</v>
      <v t="s">ExchangeID</v>
      <v t="s">%ProviderInfo</v>
    </a>
    <a count="41">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Capitalización de mercado</v>
      <v t="s">Beta</v>
      <v t="s">Acciones en circulación</v>
      <v t="s">Descripción</v>
      <v t="s">Empleados</v>
      <v t="s">Sede central</v>
      <v t="s">Sector</v>
      <v t="s">Tipo de instrumento</v>
      <v t="s">Año de constitución</v>
      <v t="s">_Flags</v>
      <v t="s">UniqueName</v>
      <v t="s">_DisplayString</v>
      <v t="s">LearnMoreOnLink</v>
      <v t="s">ExchangeID</v>
      <v t="s">%ProviderInfo</v>
    </a>
    <a count="42">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Acciones en circulación</v>
      <v t="s">Descripción</v>
      <v t="s">Empleados</v>
      <v t="s">Sede central</v>
      <v t="s">Sector</v>
      <v t="s">Tipo de instrumento</v>
      <v t="s">Año de constitución</v>
      <v t="s">_Flags</v>
      <v t="s">UniqueName</v>
      <v t="s">_DisplayString</v>
      <v t="s">LearnMoreOnLink</v>
      <v t="s">ExchangeID</v>
      <v t="s">%ProviderInfo</v>
    </a>
    <a count="34">
      <v t="s">%EntityServiceId</v>
      <v t="s">_Format</v>
      <v t="s">%IsRefreshable</v>
      <v t="s">_CanonicalPropertyNames</v>
      <v t="s">%EntityCulture</v>
      <v t="s">%EntityId</v>
      <v t="s">_Icon</v>
      <v t="s">_Display</v>
      <v t="s">Nombre</v>
      <v t="s">Intercambio</v>
      <v t="s">Nombre oficial</v>
      <v t="s">_SubLabel</v>
      <v t="s">Hora de la última operación</v>
      <v t="s">Símbolo bursátil</v>
      <v t="s">Abreviatura de intercambio</v>
      <v t="s">Moneda</v>
      <v t="s">Cierre anterior</v>
      <v t="s">Máximo en 52 semanas</v>
      <v t="s">Mínimo en 52 semanas</v>
      <v t="s">Volumen promedio</v>
      <v t="s">Beta</v>
      <v t="s">Acciones en circulación</v>
      <v t="s">Descripción</v>
      <v t="s">Empleados</v>
      <v t="s">Sede central</v>
      <v t="s">Sector</v>
      <v t="s">Tipo de instrumento</v>
      <v t="s">Año de constitución</v>
      <v t="s">_Flags</v>
      <v t="s">UniqueName</v>
      <v t="s">_DisplayString</v>
      <v t="s">LearnMoreOnLink</v>
      <v t="s">ExchangeID</v>
      <v t="s">%ProviderInfo</v>
    </a>
    <a count="41">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Capitalización de mercado</v>
      <v t="s">Acciones en circulación</v>
      <v t="s">Descripción</v>
      <v t="s">Empleados</v>
      <v t="s">Sede central</v>
      <v t="s">Sector</v>
      <v t="s">Tipo de instrumento</v>
      <v t="s">Año de constitución</v>
      <v t="s">_Flags</v>
      <v t="s">UniqueName</v>
      <v t="s">_DisplayString</v>
      <v t="s">LearnMoreOnLink</v>
      <v t="s">ExchangeID</v>
      <v t="s">%ProviderInfo</v>
      <v t="s">%OutdatedReason</v>
    </a>
    <a count="41">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Acciones en circulación</v>
      <v t="s">Descripción</v>
      <v t="s">Empleados</v>
      <v t="s">Sede central</v>
      <v t="s">Sector</v>
      <v t="s">Tipo de instrumento</v>
      <v t="s">_Flags</v>
      <v t="s">UniqueName</v>
      <v t="s">_DisplayString</v>
      <v t="s">LearnMoreOnLink</v>
      <v t="s">ExchangeID</v>
      <v t="s">%ProviderInfo</v>
    </a>
    <a count="43">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Acciones en circulación</v>
      <v t="s">Descripción</v>
      <v t="s">Empleados</v>
      <v t="s">Sede central</v>
      <v t="s">Sector</v>
      <v t="s">Tipo de instrumento</v>
      <v t="s">Año de constitución</v>
      <v t="s">_Flags</v>
      <v t="s">UniqueName</v>
      <v t="s">_DisplayString</v>
      <v t="s">LearnMoreOnLink</v>
      <v t="s">Imagen</v>
      <v t="s">ExchangeID</v>
      <v t="s">%ProviderInfo</v>
    </a>
    <a count="43">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ExchangeID</v>
      <v t="s">%ProviderInfo</v>
    </a>
    <a count="41">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Acciones en circulación</v>
      <v t="s">Descripción</v>
      <v t="s">Empleados</v>
      <v t="s">Sede central</v>
      <v t="s">Sector</v>
      <v t="s">Tipo de instrumento</v>
      <v t="s">Año de constitución</v>
      <v t="s">_Flags</v>
      <v t="s">UniqueName</v>
      <v t="s">_DisplayString</v>
      <v t="s">LearnMoreOnLink</v>
      <v t="s">ExchangeID</v>
      <v t="s">%ProviderInfo</v>
    </a>
    <a count="40">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Acciones en circulación</v>
      <v t="s">Descripción</v>
      <v t="s">Sede central</v>
      <v t="s">Sector</v>
      <v t="s">Tipo de instrumento</v>
      <v t="s">_Flags</v>
      <v t="s">UniqueName</v>
      <v t="s">_DisplayString</v>
      <v t="s">LearnMoreOnLink</v>
      <v t="s">ExchangeID</v>
      <v t="s">%ProviderInfo</v>
    </a>
    <a count="39">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Acciones en circulación</v>
      <v t="s">Descripción</v>
      <v t="s">Sede central</v>
      <v t="s">Sector</v>
      <v t="s">Tipo de instrumento</v>
      <v t="s">Año de constitución</v>
      <v t="s">_Flags</v>
      <v t="s">UniqueName</v>
      <v t="s">_DisplayString</v>
      <v t="s">ExchangeID</v>
      <v t="s">%ProviderInfo</v>
    </a>
    <a count="42">
      <v t="s">%EntityServiceId</v>
      <v t="s">_Format</v>
      <v t="s">%IsRefreshable</v>
      <v t="s">_CanonicalPropertyNames</v>
      <v t="s">%EntityCulture</v>
      <v t="s">%EntityId</v>
      <v t="s">_Icon</v>
      <v t="s">_Display</v>
      <v t="s">Nombre</v>
      <v t="s">_SubLabel</v>
      <v t="s">Precio</v>
      <v t="s">Intercambio</v>
      <v t="s">Nombre oficial</v>
      <v t="s">Hora de la última operación</v>
      <v t="s">Abreviatura de intercambio</v>
      <v t="s">Cambio</v>
      <v t="s">Cambio (%)</v>
      <v t="s">Moneda</v>
      <v t="s">Cierre anterior</v>
      <v t="s">Apertura</v>
      <v t="s">Máximo</v>
      <v t="s">Mínimo</v>
      <v t="s">Máximo en 52 semanas</v>
      <v t="s">Mínimo en 52 semanas</v>
      <v t="s">Volumen</v>
      <v t="s">Volumen promedio</v>
      <v t="s">Capitalización de mercado</v>
      <v t="s">Beta</v>
      <v t="s">Acciones en circulación</v>
      <v t="s">Descripción</v>
      <v t="s">Empleados</v>
      <v t="s">Sede central</v>
      <v t="s">Sector</v>
      <v t="s">Tipo de instrumento</v>
      <v t="s">Año de constitución</v>
      <v t="s">_Flags</v>
      <v t="s">UniqueName</v>
      <v t="s">_DisplayString</v>
      <v t="s">LearnMoreOnLink</v>
      <v t="s">ExchangeID</v>
      <v t="s">%ProviderInfo</v>
      <v t="s">%OutdatedReason</v>
    </a>
    <a count="28">
      <v t="s">%EntityServiceId</v>
      <v t="s">_Format</v>
      <v t="s">%IsRefreshable</v>
      <v t="s">_CanonicalPropertyNames</v>
      <v t="s">%EntityCulture</v>
      <v t="s">%EntityId</v>
      <v t="s">_Icon</v>
      <v t="s">_Display</v>
      <v t="s">Nombre</v>
      <v t="s">Precio</v>
      <v t="s">_SubLabel</v>
      <v t="s">Hora de la última operación</v>
      <v t="s">Símbolo bursátil</v>
      <v t="s">Cambio</v>
      <v t="s">Cambio (%)</v>
      <v t="s">Moneda</v>
      <v t="s">De la moneda</v>
      <v t="s">Cierre anterior</v>
      <v t="s">Apertura</v>
      <v t="s">Máximo</v>
      <v t="s">Mínimo</v>
      <v t="s">Máximo en 52 semanas</v>
      <v t="s">Mínimo en 52 semanas</v>
      <v t="s">Tipo de instrumento</v>
      <v t="s">_Flags</v>
      <v t="s">UniqueName</v>
      <v t="s">_DisplayString</v>
      <v t="s">%ProviderInfo</v>
    </a>
  </spbArrays>
  <spbData count="50">
    <spb s="0">
      <v>Beta</v>
      <v>Change</v>
      <v>Currency</v>
      <v>High</v>
      <v>Low</v>
      <v>Name</v>
      <v>Price</v>
      <v>Industry</v>
      <v>Volume</v>
      <v>Open</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0</v>
      <v>Name</v>
      <v>LearnMoreOnLink</v>
    </spb>
    <spb s="2">
      <v>0</v>
      <v>0</v>
      <v>0</v>
    </spb>
    <spb s="3">
      <v>2</v>
      <v>2</v>
      <v>2</v>
      <v>2</v>
    </spb>
    <spb s="4">
      <v>1</v>
      <v>2</v>
      <v>2</v>
      <v>2</v>
      <v>3</v>
      <v>2</v>
      <v>4</v>
      <v>2</v>
      <v>5</v>
      <v>2</v>
      <v>4</v>
      <v>6</v>
      <v>7</v>
      <v>2</v>
      <v>2</v>
      <v>4</v>
      <v>8</v>
      <v>9</v>
    </spb>
    <spb s="5">
      <v xml:space="preserve">desde el cierre anterior </v>
      <v>Retrasado 20 minutos</v>
      <v xml:space="preserve">desde el cierre anterior </v>
      <v>GMT</v>
    </spb>
    <spb s="6">
      <v>Beta</v>
      <v>Change</v>
      <v>Currency</v>
      <v>High</v>
      <v>Low</v>
      <v>Name</v>
      <v>Price</v>
      <v>Industry</v>
      <v>Volume</v>
      <v>Open</v>
      <v>Employees</v>
      <v>Change (%)</v>
      <v>ExchangeID</v>
      <v>UniqueName</v>
      <v>Description</v>
      <v>Exchange</v>
      <v>Headquarters</v>
      <v>%ProviderInfo</v>
      <v>Official name</v>
      <v>Previous close</v>
      <v>LearnMoreOnLink</v>
      <v>Ticker symbol</v>
      <v>Year incorporated</v>
      <v>Instrument type</v>
      <v>52 week high</v>
      <v>52 week low</v>
      <v>Shares outstanding</v>
      <v>Market cap</v>
      <v>Exchange abbreviation</v>
      <v>Last trade time</v>
    </spb>
    <spb s="1">
      <v>1</v>
      <v>Name</v>
      <v>LearnMoreOnLink</v>
    </spb>
    <spb s="7">
      <v>1</v>
      <v>2</v>
      <v>2</v>
      <v>2</v>
      <v>3</v>
      <v>2</v>
      <v>4</v>
      <v>2</v>
      <v>4</v>
      <v>5</v>
      <v>2</v>
      <v>6</v>
      <v>7</v>
      <v>2</v>
      <v>2</v>
      <v>4</v>
      <v>8</v>
      <v>9</v>
    </spb>
    <spb s="8">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2</v>
      <v>Name</v>
      <v>LearnMoreOnLink</v>
    </spb>
    <spb s="9">
      <v>1</v>
      <v>2</v>
      <v>2</v>
      <v>2</v>
      <v>3</v>
      <v>2</v>
      <v>4</v>
      <v>2</v>
      <v>4</v>
      <v>5</v>
      <v>2</v>
      <v>4</v>
      <v>6</v>
      <v>7</v>
      <v>2</v>
      <v>2</v>
      <v>4</v>
      <v>8</v>
      <v>9</v>
    </spb>
    <spb s="10">
      <v>Beta</v>
      <v>Currency</v>
      <v>Name</v>
      <v>Industry</v>
      <v>Employees</v>
      <v>ExchangeID</v>
      <v>UniqueName</v>
      <v>Description</v>
      <v>Exchange</v>
      <v>Headquarters</v>
      <v>%ProviderInfo</v>
      <v>Official name</v>
      <v>Previous close</v>
      <v>LearnMoreOnLink</v>
      <v>Ticker symbol</v>
      <v>Volume average</v>
      <v>Year incorporated</v>
      <v>Instrument type</v>
      <v>52 week high</v>
      <v>52 week low</v>
      <v>Shares outstanding</v>
      <v>Exchange abbreviation</v>
      <v>Last trade time</v>
    </spb>
    <spb s="1">
      <v>3</v>
      <v>Name</v>
      <v>LearnMoreOnLink</v>
    </spb>
    <spb s="11">
      <v>1</v>
      <v>3</v>
      <v>4</v>
      <v>2</v>
      <v>4</v>
      <v>6</v>
      <v>7</v>
      <v>2</v>
      <v>2</v>
      <v>4</v>
      <v>9</v>
    </spb>
    <spb s="12">
      <v>GMT</v>
    </spb>
    <spb s="13">
      <v>Change</v>
      <v>Currency</v>
      <v>High</v>
      <v>Low</v>
      <v>Name</v>
      <v>Price</v>
      <v>Industry</v>
      <v>Volume</v>
      <v>Open</v>
      <v>Employees</v>
      <v>Change (%)</v>
      <v>ExchangeID</v>
      <v>UniqueName</v>
      <v>Description</v>
      <v>Exchange</v>
      <v>Headquarters</v>
      <v>%ProviderInfo</v>
      <v>Official name</v>
      <v>Previous close</v>
      <v>LearnMoreOnLink</v>
      <v>Ticker symbol</v>
      <v>Year incorporated</v>
      <v>Instrument type</v>
      <v>52 week high</v>
      <v>52 week low</v>
      <v>Shares outstanding</v>
      <v>Market cap</v>
      <v>Exchange abbreviation</v>
      <v>Last trade time</v>
    </spb>
    <spb s="1">
      <v>4</v>
      <v>Name</v>
      <v>LearnMoreOnLink</v>
    </spb>
    <spb s="14">
      <v>10</v>
      <v>10</v>
      <v>10</v>
      <v>3</v>
      <v>10</v>
      <v>4</v>
      <v>10</v>
      <v>4</v>
      <v>5</v>
      <v>10</v>
      <v>6</v>
      <v>7</v>
      <v>10</v>
      <v>10</v>
      <v>4</v>
      <v>11</v>
      <v>9</v>
    </spb>
    <spb s="15">
      <v>Beta</v>
      <v>Change</v>
      <v>Currency</v>
      <v>High</v>
      <v>Low</v>
      <v>Name</v>
      <v>Price</v>
      <v>Industry</v>
      <v>Volume</v>
      <v>Open</v>
      <v>Employees</v>
      <v>Change (%)</v>
      <v>ExchangeID</v>
      <v>UniqueName</v>
      <v>Description</v>
      <v>Exchange</v>
      <v>Headquarters</v>
      <v>%ProviderInfo</v>
      <v>Official name</v>
      <v>Previous close</v>
      <v>LearnMoreOnLink</v>
      <v>Ticker symbol</v>
      <v>Volume average</v>
      <v>Instrument type</v>
      <v>52 week high</v>
      <v>52 week low</v>
      <v>Shares outstanding</v>
      <v>Market cap</v>
      <v>Exchange abbreviation</v>
      <v>Last trade time</v>
    </spb>
    <spb s="1">
      <v>5</v>
      <v>Name</v>
      <v>LearnMoreOnLink</v>
    </spb>
    <spb s="16">
      <v>1</v>
      <v>2</v>
      <v>2</v>
      <v>2</v>
      <v>3</v>
      <v>2</v>
      <v>4</v>
      <v>2</v>
      <v>4</v>
      <v>5</v>
      <v>2</v>
      <v>4</v>
      <v>6</v>
      <v>2</v>
      <v>2</v>
      <v>4</v>
      <v>8</v>
      <v>9</v>
    </spb>
    <spb s="17">
      <v>Beta</v>
      <v>Change</v>
      <v>Image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6</v>
      <v>Name</v>
      <v>LearnMoreOnLink</v>
    </spb>
    <spb s="18">
      <v>0</v>
      <v>0</v>
    </spb>
    <spb s="19">
      <v>24</v>
      <v>2</v>
      <v>2</v>
      <v>2</v>
      <v>2</v>
    </spb>
    <spb s="20">
      <v>1</v>
      <v>2</v>
      <v>12</v>
      <v>2</v>
      <v>2</v>
      <v>3</v>
      <v>2</v>
      <v>4</v>
      <v>2</v>
      <v>4</v>
      <v>5</v>
      <v>2</v>
      <v>4</v>
      <v>6</v>
      <v>7</v>
      <v>2</v>
      <v>2</v>
      <v>4</v>
      <v>8</v>
      <v>9</v>
    </spb>
    <spb s="21">
      <v>Con tecnología de Refinitiv</v>
    </spb>
    <spb s="22">
      <v>P/E</v>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7</v>
      <v>Name</v>
      <v>LearnMoreOnLink</v>
    </spb>
    <spb s="23">
      <v>1</v>
      <v>1</v>
      <v>13</v>
      <v>13</v>
      <v>13</v>
      <v>3</v>
      <v>13</v>
      <v>4</v>
      <v>13</v>
      <v>4</v>
      <v>5</v>
      <v>13</v>
      <v>4</v>
      <v>6</v>
      <v>7</v>
      <v>13</v>
      <v>13</v>
      <v>4</v>
      <v>14</v>
      <v>15</v>
    </spb>
    <spb s="24">
      <v xml:space="preserve">desde el cierre anterior </v>
      <v>Tiempo real Nasdaq Última venta</v>
      <v xml:space="preserve">desde el cierre anterior </v>
      <v>Origen: Nasdaq Última venta</v>
      <v>GMT</v>
    </spb>
    <spb s="25">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8</v>
      <v>Name</v>
      <v>LearnMoreOnLink</v>
    </spb>
    <spb s="26">
      <v>2</v>
      <v>2</v>
      <v>2</v>
      <v>3</v>
      <v>2</v>
      <v>4</v>
      <v>2</v>
      <v>4</v>
      <v>5</v>
      <v>2</v>
      <v>4</v>
      <v>6</v>
      <v>7</v>
      <v>2</v>
      <v>2</v>
      <v>4</v>
      <v>8</v>
      <v>9</v>
    </spb>
    <spb s="27">
      <v>Beta</v>
      <v>Change</v>
      <v>Currency</v>
      <v>High</v>
      <v>Low</v>
      <v>Name</v>
      <v>Price</v>
      <v>Industry</v>
      <v>Volume</v>
      <v>Open</v>
      <v>Change (%)</v>
      <v>ExchangeID</v>
      <v>UniqueName</v>
      <v>Description</v>
      <v>Exchange</v>
      <v>Headquarters</v>
      <v>%ProviderInfo</v>
      <v>Official name</v>
      <v>Previous close</v>
      <v>LearnMoreOnLink</v>
      <v>Ticker symbol</v>
      <v>Volume average</v>
      <v>Instrument type</v>
      <v>52 week high</v>
      <v>52 week low</v>
      <v>Shares outstanding</v>
      <v>Market cap</v>
      <v>Exchange abbreviation</v>
      <v>Last trade time</v>
    </spb>
    <spb s="1">
      <v>9</v>
      <v>Name</v>
      <v>LearnMoreOnLink</v>
    </spb>
    <spb s="28">
      <v>1</v>
      <v>2</v>
      <v>2</v>
      <v>2</v>
      <v>3</v>
      <v>2</v>
      <v>4</v>
      <v>2</v>
      <v>5</v>
      <v>2</v>
      <v>4</v>
      <v>6</v>
      <v>2</v>
      <v>2</v>
      <v>4</v>
      <v>8</v>
      <v>9</v>
    </spb>
    <spb s="29">
      <v>Change</v>
      <v>Currency</v>
      <v>High</v>
      <v>Low</v>
      <v>Name</v>
      <v>Price</v>
      <v>Industry</v>
      <v>Volume</v>
      <v>Open</v>
      <v>Change (%)</v>
      <v>ExchangeID</v>
      <v>UniqueName</v>
      <v>Description</v>
      <v>Exchange</v>
      <v>Headquarters</v>
      <v>%ProviderInfo</v>
      <v>Official name</v>
      <v>Previous close</v>
      <v>Ticker symbol</v>
      <v>Volume average</v>
      <v>Year incorporated</v>
      <v>Instrument type</v>
      <v>52 week high</v>
      <v>52 week low</v>
      <v>Shares outstanding</v>
      <v>Market cap</v>
      <v>Exchange abbreviation</v>
      <v>Last trade time</v>
    </spb>
    <spb s="30">
      <v>10</v>
      <v>Name</v>
    </spb>
    <spb s="31">
      <v>2</v>
      <v>2</v>
      <v>2</v>
    </spb>
    <spb s="32">
      <v>2</v>
      <v>2</v>
      <v>2</v>
      <v>3</v>
      <v>2</v>
      <v>4</v>
      <v>2</v>
      <v>5</v>
      <v>2</v>
      <v>4</v>
      <v>6</v>
      <v>7</v>
      <v>2</v>
      <v>2</v>
      <v>4</v>
      <v>8</v>
      <v>9</v>
    </spb>
    <spb s="33">
      <v>Beta</v>
      <v>Change</v>
      <v>Currency</v>
      <v>High</v>
      <v>Low</v>
      <v>Name</v>
      <v>Price</v>
      <v>Industry</v>
      <v>Volume</v>
      <v>Open</v>
      <v>Employees</v>
      <v>Change (%)</v>
      <v>ExchangeID</v>
      <v>UniqueName</v>
      <v>Description</v>
      <v>Exchange</v>
      <v>Headquarters</v>
      <v>%ProviderInfo</v>
      <v>Official name</v>
      <v>Previous close</v>
      <v>LearnMoreOnLink</v>
      <v>Volume average</v>
      <v>Year incorporated</v>
      <v>Instrument type</v>
      <v>52 week high</v>
      <v>52 week low</v>
      <v>Shares outstanding</v>
      <v>Market cap</v>
      <v>Exchange abbreviation</v>
      <v>Last trade time</v>
    </spb>
    <spb s="1">
      <v>11</v>
      <v>Name</v>
      <v>LearnMoreOnLink</v>
    </spb>
    <spb s="34">
      <v>Change</v>
      <v>Currency</v>
      <v>High</v>
      <v>Low</v>
      <v>Name</v>
      <v>Price</v>
      <v>Open</v>
      <v>Change (%)</v>
      <v>UniqueName</v>
      <v>From currency</v>
      <v>%ProviderInfo</v>
      <v>Previous close</v>
      <v>Ticker symbol</v>
      <v>Instrument type</v>
      <v>52 week high</v>
      <v>52 week low</v>
      <v>Last trade time</v>
    </spb>
    <spb s="30">
      <v>12</v>
      <v>Name</v>
    </spb>
    <spb s="35">
      <v>2</v>
      <v>2</v>
    </spb>
    <spb s="36">
      <v>2</v>
      <v>2</v>
      <v>2</v>
      <v>3</v>
      <v>2</v>
      <v>2</v>
      <v>5</v>
      <v>2</v>
      <v>6</v>
      <v>2</v>
      <v>2</v>
      <v>15</v>
    </spb>
    <spb s="23">
      <v>1</v>
      <v>1</v>
      <v>16</v>
      <v>16</v>
      <v>16</v>
      <v>3</v>
      <v>16</v>
      <v>4</v>
      <v>16</v>
      <v>4</v>
      <v>5</v>
      <v>16</v>
      <v>4</v>
      <v>6</v>
      <v>7</v>
      <v>16</v>
      <v>16</v>
      <v>4</v>
      <v>17</v>
      <v>15</v>
    </spb>
    <spb s="5">
      <v xml:space="preserve">desde el cierre anterior </v>
      <v>Retrasado 15 minutos</v>
      <v xml:space="preserve">desde el cierre anterior </v>
      <v>GMT</v>
    </spb>
  </spbData>
</supportingPropertyBags>
</file>

<file path=xl/richData/rdsupportingpropertybagstructure.xml><?xml version="1.0" encoding="utf-8"?>
<spbStructures xmlns="http://schemas.microsoft.com/office/spreadsheetml/2017/richdata2" count="37">
  <s>
    <k n="Beta" t="s"/>
    <k n="Cambio" t="s"/>
    <k n="Moneda" t="s"/>
    <k n="Máximo" t="s"/>
    <k n="Mínimo" t="s"/>
    <k n="Nombre" t="s"/>
    <k n="Precio" t="s"/>
    <k n="Sector" t="s"/>
    <k n="Volumen" t="s"/>
    <k n="Apertura"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Order" t="spba"/>
    <k n="TitleProperty" t="s"/>
    <k n="SubTitleProperty" t="s"/>
  </s>
  <s>
    <k n="ShowInCardView" t="b"/>
    <k n="ShowInDotNotation" t="b"/>
    <k n="ShowInAutoComplete" t="b"/>
  </s>
  <s>
    <k n="ExchangeID" t="spb"/>
    <k n="UniqueName" t="spb"/>
    <k n="`%ProviderInfo" t="spb"/>
    <k n="LearnMoreOnLink" t="spb"/>
  </s>
  <s>
    <k n="Beta" t="i"/>
    <k n="Cambio" t="i"/>
    <k n="Máximo" t="i"/>
    <k n="Mínimo" t="i"/>
    <k n="Nombre" t="i"/>
    <k n="Precio" t="i"/>
    <k n="Volumen" t="i"/>
    <k n="Apertura" t="i"/>
    <k n="Cambio (%)" t="i"/>
    <k n="Cierre anterior" t="i"/>
    <k n="Volumen promedio" t="i"/>
    <k n="`%EntityServiceId" t="i"/>
    <k n="Año de constitución" t="i"/>
    <k n="Máximo en 52 semanas" t="i"/>
    <k n="Mínimo en 52 semanas" t="i"/>
    <k n="Acciones en circulación" t="i"/>
    <k n="Capitalización de mercado" t="i"/>
    <k n="Hora de la última operación" t="i"/>
  </s>
  <s>
    <k n="Cambio" t="s"/>
    <k n="Precio" t="s"/>
    <k n="Cambio (%)" t="s"/>
    <k n="Hora de la última operación" t="s"/>
  </s>
  <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Año de constitución" t="s"/>
    <k n="Tipo de instrumento" t="s"/>
    <k n="Máximo en 52 semanas" t="s"/>
    <k n="Mínimo en 52 semanas" t="s"/>
    <k n="Acciones en circulación" t="s"/>
    <k n="Capitalización de mercado" t="s"/>
    <k n="Abreviatura de intercambio" t="s"/>
    <k n="Hora de la última operación" t="s"/>
  </s>
  <s>
    <k n="Beta" t="i"/>
    <k n="Cambio" t="i"/>
    <k n="Máximo" t="i"/>
    <k n="Mínimo" t="i"/>
    <k n="Nombre" t="i"/>
    <k n="Precio" t="i"/>
    <k n="Volumen" t="i"/>
    <k n="Apertura" t="i"/>
    <k n="Empleados" t="i"/>
    <k n="Cambio (%)" t="i"/>
    <k n="Cierre anterior" t="i"/>
    <k n="`%EntityServiceId" t="i"/>
    <k n="Año de constitución" t="i"/>
    <k n="Máximo en 52 semanas" t="i"/>
    <k n="Mínimo en 52 semanas" t="i"/>
    <k n="Acciones en circulación" t="i"/>
    <k n="Capitalización de mercado" t="i"/>
    <k n="Hora de la última operación" t="i"/>
  </s>
  <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Beta" t="s"/>
    <k n="Moneda" t="s"/>
    <k n="Nombre" t="s"/>
    <k n="Sector" t="s"/>
    <k n="Empleados"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Abreviatura de intercambio" t="s"/>
    <k n="Hora de la última operación" t="s"/>
  </s>
  <s>
    <k n="Beta" t="i"/>
    <k n="Nombre" t="i"/>
    <k n="Empleados" t="i"/>
    <k n="Cierre anterior" t="i"/>
    <k n="Volumen promedio" t="i"/>
    <k n="`%EntityServiceId" t="i"/>
    <k n="Año de constitución" t="i"/>
    <k n="Máximo en 52 semanas" t="i"/>
    <k n="Mínimo en 52 semanas" t="i"/>
    <k n="Acciones en circulación" t="i"/>
    <k n="Hora de la última operación" t="i"/>
  </s>
  <s>
    <k n="Hora de la última operación" t="s"/>
  </s>
  <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Año de constitución" t="s"/>
    <k n="Tipo de instrumento" t="s"/>
    <k n="Máximo en 52 semanas" t="s"/>
    <k n="Mínimo en 52 semanas" t="s"/>
    <k n="Acciones en circulación" t="s"/>
    <k n="Capitalización de mercado" t="s"/>
    <k n="Abreviatura de intercambio" t="s"/>
    <k n="Hora de la última operación" t="s"/>
  </s>
  <s>
    <k n="Cambio" t="i"/>
    <k n="Máximo" t="i"/>
    <k n="Mínimo" t="i"/>
    <k n="Nombre" t="i"/>
    <k n="Precio" t="i"/>
    <k n="Volumen" t="i"/>
    <k n="Apertura" t="i"/>
    <k n="Empleados" t="i"/>
    <k n="Cambio (%)" t="i"/>
    <k n="Cierre anterior" t="i"/>
    <k n="`%EntityServiceId" t="i"/>
    <k n="Año de constitución" t="i"/>
    <k n="Máximo en 52 semanas" t="i"/>
    <k n="Mínimo en 52 semanas" t="i"/>
    <k n="Acciones en circulación" t="i"/>
    <k n="Capitalización de mercado" t="i"/>
    <k n="Hora de la última operación" t="i"/>
  </s>
  <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Tipo de instrumento" t="s"/>
    <k n="Máximo en 52 semanas" t="s"/>
    <k n="Mínimo en 52 semanas" t="s"/>
    <k n="Acciones en circulación" t="s"/>
    <k n="Capitalización de mercado" t="s"/>
    <k n="Abreviatura de intercambio" t="s"/>
    <k n="Hora de la última operación" t="s"/>
  </s>
  <s>
    <k n="Beta" t="i"/>
    <k n="Cambio" t="i"/>
    <k n="Máximo" t="i"/>
    <k n="Mínimo" t="i"/>
    <k n="Nombre" t="i"/>
    <k n="Precio" t="i"/>
    <k n="Volumen" t="i"/>
    <k n="Apertura" t="i"/>
    <k n="Empleados" t="i"/>
    <k n="Cambio (%)" t="i"/>
    <k n="Cierre anterior" t="i"/>
    <k n="Volumen promedio" t="i"/>
    <k n="`%EntityServiceId" t="i"/>
    <k n="Máximo en 52 semanas" t="i"/>
    <k n="Mínimo en 52 semanas" t="i"/>
    <k n="Acciones en circulación" t="i"/>
    <k n="Capitalización de mercado" t="i"/>
    <k n="Hora de la última operación" t="i"/>
  </s>
  <s>
    <k n="Beta" t="s"/>
    <k n="Cambio" t="s"/>
    <k n="Imagen"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ShowInDotNotation" t="b"/>
    <k n="ShowInAutoComplete" t="b"/>
  </s>
  <s>
    <k n="Imagen" t="spb"/>
    <k n="ExchangeID" t="spb"/>
    <k n="UniqueName" t="spb"/>
    <k n="`%ProviderInfo" t="spb"/>
    <k n="LearnMoreOnLink" t="spb"/>
  </s>
  <s>
    <k n="Beta" t="i"/>
    <k n="Cambio" t="i"/>
    <k n="Imagen"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name" t="s"/>
  </s>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P/I" t="i"/>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Cambio" t="s"/>
    <k n="Precio" t="s"/>
    <k n="Cambio (%)" t="s"/>
    <k n="ExchangeID" t="s"/>
    <k n="Hora de la última operación" t="s"/>
  </s>
  <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Beta" t="s"/>
    <k n="Cambio" t="s"/>
    <k n="Moneda" t="s"/>
    <k n="Máximo" t="s"/>
    <k n="Mínimo" t="s"/>
    <k n="Nombre" t="s"/>
    <k n="Precio" t="s"/>
    <k n="Sector" t="s"/>
    <k n="Volumen" t="s"/>
    <k n="Apertura" t="s"/>
    <k n="Cambio (%)" t="s"/>
    <k n="ExchangeID" t="s"/>
    <k n="UniqueName" t="s"/>
    <k n="Descripción" t="s"/>
    <k n="Intercambio" t="s"/>
    <k n="Sede central" t="s"/>
    <k n="%ProviderInfo" t="s"/>
    <k n="Nombre oficial" t="s"/>
    <k n="Cierre anterior" t="s"/>
    <k n="LearnMoreOnLink" t="s"/>
    <k n="Símbolo bursátil" t="s"/>
    <k n="Volumen promedio" t="s"/>
    <k n="Tipo de instrumento" t="s"/>
    <k n="Máximo en 52 semanas" t="s"/>
    <k n="Mínimo en 52 semanas" t="s"/>
    <k n="Acciones en circulación" t="s"/>
    <k n="Capitalización de mercado" t="s"/>
    <k n="Abreviatura de intercambio" t="s"/>
    <k n="Hora de la última operación" t="s"/>
  </s>
  <s>
    <k n="Beta" t="i"/>
    <k n="Cambio" t="i"/>
    <k n="Máximo" t="i"/>
    <k n="Mínimo" t="i"/>
    <k n="Nombre" t="i"/>
    <k n="Precio" t="i"/>
    <k n="Volumen" t="i"/>
    <k n="Apertura" t="i"/>
    <k n="Cambio (%)" t="i"/>
    <k n="Cierre anterior" t="i"/>
    <k n="Volumen promedio" t="i"/>
    <k n="`%EntityServiceId" t="i"/>
    <k n="Máximo en 52 semanas" t="i"/>
    <k n="Mínimo en 52 semanas" t="i"/>
    <k n="Acciones en circulación" t="i"/>
    <k n="Capitalización de mercado" t="i"/>
    <k n="Hora de la última operación" t="i"/>
  </s>
  <s>
    <k n="Cambio" t="s"/>
    <k n="Moneda" t="s"/>
    <k n="Máximo" t="s"/>
    <k n="Mínimo" t="s"/>
    <k n="Nombre" t="s"/>
    <k n="Precio" t="s"/>
    <k n="Sector" t="s"/>
    <k n="Volumen" t="s"/>
    <k n="Apertura" t="s"/>
    <k n="Cambio (%)" t="s"/>
    <k n="ExchangeID" t="s"/>
    <k n="UniqueName" t="s"/>
    <k n="Descripción" t="s"/>
    <k n="Intercambio" t="s"/>
    <k n="Sede central" t="s"/>
    <k n="%ProviderInfo" t="s"/>
    <k n="Nombre oficial" t="s"/>
    <k n="Cierre anterior"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Order" t="spba"/>
    <k n="TitleProperty" t="s"/>
  </s>
  <s>
    <k n="ExchangeID" t="spb"/>
    <k n="UniqueName" t="spb"/>
    <k n="`%ProviderInfo" t="spb"/>
  </s>
  <s>
    <k n="Cambio" t="i"/>
    <k n="Máximo" t="i"/>
    <k n="Mínimo" t="i"/>
    <k n="Nombre" t="i"/>
    <k n="Precio" t="i"/>
    <k n="Volumen" t="i"/>
    <k n="Apertura" t="i"/>
    <k n="Cambio (%)" t="i"/>
    <k n="Cierre anterior" t="i"/>
    <k n="Volumen promedio" t="i"/>
    <k n="`%EntityServiceId" t="i"/>
    <k n="Año de constitución" t="i"/>
    <k n="Máximo en 52 semanas" t="i"/>
    <k n="Mínimo en 52 semanas" t="i"/>
    <k n="Acciones en circulación" t="i"/>
    <k n="Capitalización de mercado" t="i"/>
    <k n="Hora de la última operación" t="i"/>
  </s>
  <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Volumen promedio" t="s"/>
    <k n="Año de constitución" t="s"/>
    <k n="Tipo de instrumento" t="s"/>
    <k n="Máximo en 52 semanas" t="s"/>
    <k n="Mínimo en 52 semanas" t="s"/>
    <k n="Acciones en circulación" t="s"/>
    <k n="Capitalización de mercado" t="s"/>
    <k n="Abreviatura de intercambio" t="s"/>
    <k n="Hora de la última operación" t="s"/>
  </s>
  <s>
    <k n="Cambio" t="s"/>
    <k n="Moneda" t="s"/>
    <k n="Máximo" t="s"/>
    <k n="Mínimo" t="s"/>
    <k n="Nombre" t="s"/>
    <k n="Precio" t="s"/>
    <k n="Apertura" t="s"/>
    <k n="Cambio (%)" t="s"/>
    <k n="UniqueName" t="s"/>
    <k n="De la moneda" t="s"/>
    <k n="%ProviderInfo" t="s"/>
    <k n="Cierre anterior" t="s"/>
    <k n="Símbolo bursátil" t="s"/>
    <k n="Tipo de instrumento" t="s"/>
    <k n="Máximo en 52 semanas" t="s"/>
    <k n="Mínimo en 52 semanas" t="s"/>
    <k n="Hora de la última operación" t="s"/>
  </s>
  <s>
    <k n="UniqueName" t="spb"/>
    <k n="`%ProviderInfo" t="spb"/>
  </s>
  <s>
    <k n="Cambio" t="i"/>
    <k n="Máximo" t="i"/>
    <k n="Mínimo" t="i"/>
    <k n="Nombre" t="i"/>
    <k n="Precio" t="i"/>
    <k n="Apertura" t="i"/>
    <k n="Cambio (%)" t="i"/>
    <k n="Cierre anterior" t="i"/>
    <k n="`%EntityServiceId" t="i"/>
    <k n="Máximo en 52 semanas" t="i"/>
    <k n="Mínimo en 52 semanas" t="i"/>
    <k n="Hora de la última operación"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19" formatCode="m/d/yyyy"/>
    </x:dxf>
    <x:dxf>
      <x:numFmt numFmtId="14" formatCode="0.00%"/>
    </x:dxf>
    <x:dxf>
      <x:numFmt numFmtId="3" formatCode="#,##0"/>
    </x:dxf>
    <x:dxf>
      <x:numFmt numFmtId="4" formatCode="#,##0.00"/>
    </x:dxf>
    <x:dxf>
      <x:numFmt numFmtId="1" formatCode="0"/>
    </x:dxf>
    <x:dxf>
      <x:numFmt numFmtId="27" formatCode="m/d/yyyy\ h:mm"/>
    </x:dxf>
  </dxfs>
  <richProperties>
    <rPr n="NumberFormat" t="s"/>
    <rPr n="IsTitleField" t="b"/>
    <rPr n="IsHeroField" t="b"/>
  </richProperties>
  <richStyles>
    <rSty dxfid="5">
      <rpv i="0">#,##0.00</rpv>
    </rSty>
    <rSty dxfid="1">
      <rpv i="0">_-[$$-arn-CL] * #,##0.00_-;-[$$-arn-CL] * #,##0.00_-;_-[$$-arn-CL] * "-"??_-;_-@_-</rpv>
    </rSty>
    <rSty>
      <rpv i="1">1</rpv>
    </rSty>
    <rSty dxfid="4">
      <rpv i="0">#,##0</rpv>
    </rSty>
    <rSty dxfid="3"/>
    <rSty dxfid="0">
      <rpv i="0">0.00</rpv>
    </rSty>
    <rSty dxfid="6">
      <rpv i="0">0</rpv>
    </rSty>
    <rSty dxfid="1">
      <rpv i="0">_-[$$-arn-CL] * #,##0_-;-[$$-arn-CL] * #,##0_-;_-[$$-arn-CL] * "-"_-;_-@_-</rpv>
    </rSty>
    <rSty dxfid="2"/>
    <rSty dxfid="1">
      <rpv i="0" xml:space="preserve">_ [$$-es-CL]* #,##0.00_ ;_ [$$-es-CL]* -#,##0.00_ ;_ [$$-es-CL]* "-"??_ ;_ @_ </rpv>
    </rSty>
    <rSty dxfid="1">
      <rpv i="0" xml:space="preserve">_ [$$-es-CL]* #,##0_ ;_ [$$-es-CL]* -#,##0_ ;_ [$$-es-CL]* "-"_ ;_ @_ </rpv>
    </rSty>
    <rSty>
      <rpv i="2">1</rpv>
    </rSty>
    <rSty dxfid="1">
      <rpv i="0">_([$$-en-US]* #,##0.00_);_([$$-en-US]* (#,##0.00);_([$$-en-US]* "-"??_);_(@_)</rpv>
    </rSty>
    <rSty dxfid="1">
      <rpv i="0">_([$$-en-US]* #,##0_);_([$$-en-US]* (#,##0);_([$$-en-US]* "-"_);_(@_)</rpv>
    </rSty>
    <rSty dxfid="7"/>
    <rSty dxfid="1">
      <rpv i="0">_([$€-x-euro2] * #,##0.00_);_([$€-x-euro2] * (#,##0.00);_([$€-x-euro2] * "-"??_);_(@_)</rpv>
    </rSty>
    <rSty dxfid="1">
      <rpv i="0">_([$€-x-euro2] * #,##0_);_([$€-x-euro2] * (#,##0);_([$€-x-euro2] *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81571B-F4D1-4868-9C67-6846B5E479CC}" name="Empresas" displayName="Empresas" ref="B4:D35" totalsRowShown="0">
  <autoFilter ref="B4:D35" xr:uid="{BD81571B-F4D1-4868-9C67-6846B5E479CC}"/>
  <sortState xmlns:xlrd2="http://schemas.microsoft.com/office/spreadsheetml/2017/richdata2" ref="B5:D35">
    <sortCondition ref="D4:D35"/>
  </sortState>
  <tableColumns count="3">
    <tableColumn id="1" xr3:uid="{E71A3F9A-E3B1-4590-B24B-897789B31542}" name="Empresas"/>
    <tableColumn id="2" xr3:uid="{0AC55C0E-834C-4178-93A7-04E4F6D8A1F1}" name="Industria"/>
    <tableColumn id="5" xr3:uid="{CE314B70-E861-49D5-8AE0-BA9C068C2939}" name="TIPO EMPPRESA" dataDxfId="30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4" dT="2024-08-25T19:03:05.18" personId="{8377039C-155F-42D4-B2FC-2CB908B71205}" id="{8F85A658-7A14-489E-B9EA-F26A411C5024}">
    <text>PROMEDIO ÚLTIMOS 3 AÑOS CERRADOS</text>
  </threadedComment>
  <threadedComment ref="M4" dT="2024-09-17T20:41:43.40" personId="{8377039C-155F-42D4-B2FC-2CB908B71205}" id="{2B4FC029-7101-4C72-88FC-AC1938FF6342}">
    <text>PROMEDIO ÚLTIMOS 3 AÑOS CERRADOS</text>
  </threadedComment>
  <threadedComment ref="O4" dT="2024-09-17T20:41:47.52" personId="{8377039C-155F-42D4-B2FC-2CB908B71205}" id="{2B0375FD-2024-4A50-A30B-452586BDE896}">
    <text>PROMEDIO ÚLTIMOS 3 AÑOS CERRADOS</text>
  </threadedComment>
  <threadedComment ref="H55" dT="2024-02-23T14:02:01.23" personId="{8377039C-155F-42D4-B2FC-2CB908B71205}" id="{7F38B69E-BE4D-406E-8AA8-8E687EFC0451}">
    <text>PROMEDIO ÚLTIMOS 3 AÑOS</text>
  </threadedComment>
</ThreadedComments>
</file>

<file path=xl/threadedComments/threadedComment2.xml><?xml version="1.0" encoding="utf-8"?>
<ThreadedComments xmlns="http://schemas.microsoft.com/office/spreadsheetml/2018/threadedcomments" xmlns:x="http://schemas.openxmlformats.org/spreadsheetml/2006/main">
  <threadedComment ref="B27" dT="2023-02-12T19:37:39.02" personId="{6B1655D5-AB2E-44AB-A4FD-07AC1B03BF7A}" id="{86ECFB03-0CDA-4073-883C-69F62E3CBA62}">
    <text xml:space="preserve">Empresas con ROE superior a 15%, bolsa libro entre 2 y 2,5 veces
Empresas con ROE entre 10 y 15%, bolsa libro entre 1 y 2
Empresas con ROE bajo 10%, Bolsa libro 1 o menor
</text>
  </threadedComment>
  <threadedComment ref="B28" dT="2023-02-12T19:40:01.84" personId="{6B1655D5-AB2E-44AB-A4FD-07AC1B03BF7A}" id="{A397AA3B-6ECB-440D-BF1E-168A77AD4200}">
    <text xml:space="preserve">Empresas con ROE superior a 15%, bolsa libro entre 2 y 2,5 veces
Empresas con ROE entre 10 y 15%, bolsa libro entre 1 y 2
Empresas con ROE bajo 10%, Bolsa libro 1 o menor
</text>
  </threadedComment>
</ThreadedComments>
</file>

<file path=xl/threadedComments/threadedComment3.xml><?xml version="1.0" encoding="utf-8"?>
<ThreadedComments xmlns="http://schemas.microsoft.com/office/spreadsheetml/2018/threadedcomments" xmlns:x="http://schemas.openxmlformats.org/spreadsheetml/2006/main">
  <threadedComment ref="G6" dT="2023-02-05T00:56:10.13" personId="{6B1655D5-AB2E-44AB-A4FD-07AC1B03BF7A}" id="{319F0BF8-3E8C-42CF-87F1-C5693AE4B73D}">
    <text>SPIN-OFF (AAISA)</text>
  </threadedComment>
  <threadedComment ref="B27" dT="2023-02-12T19:37:39.02" personId="{6B1655D5-AB2E-44AB-A4FD-07AC1B03BF7A}" id="{22F595EF-252A-4976-A71C-262CFF14E575}">
    <text xml:space="preserve">Empresas con ROE superior a 15%, bolsa libro entre 2 y 2,5 veces
Empresas con ROE entre 10 y 15%, bolsa libro entre 1 y 2
Empresas con ROE bajo 10%, Bolsa libro 1 o menor
</text>
  </threadedComment>
  <threadedComment ref="B28" dT="2023-02-12T19:40:01.84" personId="{6B1655D5-AB2E-44AB-A4FD-07AC1B03BF7A}" id="{1B188656-3973-414E-8E09-2CAD8B7ED7A0}">
    <text xml:space="preserve">Empresas con ROE superior a 15%, bolsa libro entre 2 y 2,5 veces
Empresas con ROE entre 10 y 15%, bolsa libro entre 1 y 2
Empresas con ROE bajo 10%, Bolsa libro 1 o menor
</text>
  </threadedComment>
  <threadedComment ref="B120" dT="2022-06-19T22:24:44.98" personId="{6B1655D5-AB2E-44AB-A4FD-07AC1B03BF7A}" id="{8855632C-87EB-4425-A157-F27C9D7F81C1}">
    <text>Gastos de personal (menos)</text>
  </threadedComment>
  <threadedComment ref="B123" dT="2022-06-19T22:26:16.50" personId="{6B1655D5-AB2E-44AB-A4FD-07AC1B03BF7A}" id="{AD87F9CF-0E32-44CE-9C80-3C53B4005C81}">
    <text>Otros gastos varios de operación (menos)</text>
  </threadedComment>
  <threadedComment ref="B126" dT="2022-06-19T22:28:47.56" personId="{6B1655D5-AB2E-44AB-A4FD-07AC1B03BF7A}" id="{34D81435-74FE-48A6-AB24-7D937B2A63E0}">
    <text>Ganancia (pérdida) procedente de inversiones</text>
  </threadedComment>
  <threadedComment ref="G138" dT="2022-06-19T21:41:08.62" personId="{6B1655D5-AB2E-44AB-A4FD-07AC1B03BF7A}" id="{786E8C36-1AFA-4E7E-81C5-0B2ACC449CBE}">
    <text>RESULTADOS INDIVIDUALES</text>
  </threadedComment>
  <threadedComment ref="B139" dT="2022-06-19T21:38:34.41" personId="{6B1655D5-AB2E-44AB-A4FD-07AC1B03BF7A}" id="{7A85F932-E158-4E85-9DC8-0067E09CD8B3}">
    <text>Flujos de efectivo neto de (utilizados en) actividades de operación</text>
  </threadedComment>
  <threadedComment ref="B146" dT="2022-06-19T21:20:18.76" personId="{6B1655D5-AB2E-44AB-A4FD-07AC1B03BF7A}" id="{2C69D0A5-B3A3-4B65-AE3D-1D1FA246A97C}">
    <text>Incremento (disminución) neto de efectivo y equivalentes al efectivo</text>
  </threadedComment>
</ThreadedComments>
</file>

<file path=xl/threadedComments/threadedComment4.xml><?xml version="1.0" encoding="utf-8"?>
<ThreadedComments xmlns="http://schemas.microsoft.com/office/spreadsheetml/2018/threadedcomments" xmlns:x="http://schemas.openxmlformats.org/spreadsheetml/2006/main">
  <threadedComment ref="H12" dT="2023-05-03T12:37:17.05" personId="{6B1655D5-AB2E-44AB-A4FD-07AC1B03BF7A}" id="{789C7E30-09F8-4A71-8383-8CA92F6B523B}">
    <text>Provisión dividendos</text>
  </threadedComment>
  <threadedComment ref="B23" dT="2023-02-12T19:37:39.02" personId="{6B1655D5-AB2E-44AB-A4FD-07AC1B03BF7A}" id="{95064439-3F2E-4F99-8F86-C58DFF99A64F}">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731FB698-D8F2-440C-92BA-9E23FF6A6404}">
    <text xml:space="preserve">Empresas con ROE superior a 15%, bolsa libro entre 2 y 2,5 veces
Empresas con ROE entre 10 y 15%, bolsa libro entre 1 y 2
Empresas con ROE bajo 10%, Bolsa libro 1 o menor
</text>
  </threadedComment>
  <threadedComment ref="B138" dT="2022-06-19T21:38:34.41" personId="{6B1655D5-AB2E-44AB-A4FD-07AC1B03BF7A}" id="{4677D1E9-447C-45E7-8A09-07B6BC2204AB}">
    <text>Flujos de efectivo neto de (utilizados en) actividades de operación</text>
  </threadedComment>
  <threadedComment ref="B143" dT="2024-09-17T20:07:26.17" personId="{8377039C-155F-42D4-B2FC-2CB908B71205}" id="{5161B6F7-A497-4755-8A44-257EFBF9A416}">
    <text>Intereses incluidos en el Flujo Operativo</text>
  </threadedComment>
  <threadedComment ref="B144" dT="2022-06-19T21:20:18.76" personId="{6B1655D5-AB2E-44AB-A4FD-07AC1B03BF7A}" id="{6FA7CC9B-1EB5-4E7C-B06D-4DA7661D5F55}">
    <text>Incremento (disminución) neto de efectivo y equivalentes al efectivo</text>
  </threadedComment>
</ThreadedComments>
</file>

<file path=xl/threadedComments/threadedComment5.xml><?xml version="1.0" encoding="utf-8"?>
<ThreadedComments xmlns="http://schemas.microsoft.com/office/spreadsheetml/2018/threadedcomments" xmlns:x="http://schemas.openxmlformats.org/spreadsheetml/2006/main">
  <threadedComment ref="B6" dT="2024-02-04T02:15:25.59" personId="{8377039C-155F-42D4-B2FC-2CB908B71205}" id="{88E43DA9-9F53-4697-9354-A63EC0B81339}">
    <text>5% de las acciones totales</text>
  </threadedComment>
  <threadedComment ref="H12" dT="2023-05-03T12:37:17.05" personId="{6B1655D5-AB2E-44AB-A4FD-07AC1B03BF7A}" id="{FC0ECDE7-384B-451A-9D84-B5545B12DC62}">
    <text>Provisión dividendos</text>
  </threadedComment>
  <threadedComment ref="B23" dT="2023-02-12T19:37:39.02" personId="{6B1655D5-AB2E-44AB-A4FD-07AC1B03BF7A}" id="{82CD76F5-1501-437C-B132-F546CD8EBA99}">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AD8CD248-8A94-4986-8DE4-2B22FF063857}">
    <text xml:space="preserve">Empresas con ROE superior a 15%, bolsa libro entre 2 y 2,5 veces
Empresas con ROE entre 10 y 15%, bolsa libro entre 1 y 2
Empresas con ROE bajo 10%, Bolsa libro 1 o menor
</text>
  </threadedComment>
  <threadedComment ref="B138" dT="2022-06-19T21:38:34.41" personId="{6B1655D5-AB2E-44AB-A4FD-07AC1B03BF7A}" id="{14C5DC60-6C34-493A-AE51-A973A8FAFC5E}">
    <text>Flujos de efectivo neto de (utilizados en) actividades de operación</text>
  </threadedComment>
  <threadedComment ref="B143" dT="2024-09-17T20:07:46.09" personId="{8377039C-155F-42D4-B2FC-2CB908B71205}" id="{D4458D37-192C-43FB-BD9E-84D7CB0C4E7F}">
    <text>Intereses incluidos en el Flujo Operativo</text>
  </threadedComment>
  <threadedComment ref="B144" dT="2022-06-19T21:20:18.76" personId="{6B1655D5-AB2E-44AB-A4FD-07AC1B03BF7A}" id="{D1C52CCC-8E48-478F-985E-90EE2A23A276}">
    <text>Incremento (disminución) neto de efectivo y equivalentes al efectivo</text>
  </threadedComment>
</ThreadedComments>
</file>

<file path=xl/threadedComments/threadedComment6.xml><?xml version="1.0" encoding="utf-8"?>
<ThreadedComments xmlns="http://schemas.microsoft.com/office/spreadsheetml/2018/threadedcomments" xmlns:x="http://schemas.openxmlformats.org/spreadsheetml/2006/main">
  <threadedComment ref="B22" dT="2023-02-12T19:37:39.02" personId="{6B1655D5-AB2E-44AB-A4FD-07AC1B03BF7A}" id="{9DCB7F6D-9ADF-4B69-AA45-7CD0BFA99552}">
    <text xml:space="preserve">Empresas con ROE superior a 15%, bolsa libro entre 2 y 2,5 veces
Empresas con ROE entre 10 y 15%, bolsa libro entre 1 y 2
Empresas con ROE bajo 10%, Bolsa libro 1 o menor
</text>
  </threadedComment>
  <threadedComment ref="B23" dT="2023-02-12T19:40:01.84" personId="{6B1655D5-AB2E-44AB-A4FD-07AC1B03BF7A}" id="{19B9CA75-F633-4229-A429-611F2F53FE45}">
    <text xml:space="preserve">Empresas con ROE superior a 15%, bolsa libro entre 2 y 2,5 veces
Empresas con ROE entre 10 y 15%, bolsa libro entre 1 y 2
Empresas con ROE bajo 10%, Bolsa libro 1 o menor
</text>
  </threadedComment>
  <threadedComment ref="B109" dT="2022-06-19T22:24:44.98" personId="{6B1655D5-AB2E-44AB-A4FD-07AC1B03BF7A}" id="{8D4E17C6-0302-40C2-BE6B-9C8A3E63F9F7}">
    <text>Gastos de personal (menos)</text>
  </threadedComment>
  <threadedComment ref="G130" dT="2022-06-19T21:41:08.62" personId="{6B1655D5-AB2E-44AB-A4FD-07AC1B03BF7A}" id="{2DC4AE82-1F14-46C3-B50C-076529BEADF6}">
    <text>RESULTADOS INDIVIDUALES</text>
  </threadedComment>
  <threadedComment ref="B131" dT="2022-06-19T21:38:34.41" personId="{6B1655D5-AB2E-44AB-A4FD-07AC1B03BF7A}" id="{F0529C76-1A61-4AC0-835A-1622FC612622}">
    <text>Flujos de efectivo neto de (utilizados en) actividades de operación</text>
  </threadedComment>
  <threadedComment ref="B136" dT="2022-06-19T21:20:18.76" personId="{6B1655D5-AB2E-44AB-A4FD-07AC1B03BF7A}" id="{1D5C6206-6051-4500-8FF8-7C2C2548CBB2}">
    <text>Incremento (disminución) neto de efectivo y equivalentes al efectivo</text>
  </threadedComment>
</ThreadedComments>
</file>

<file path=xl/threadedComments/threadedComment7.xml><?xml version="1.0" encoding="utf-8"?>
<ThreadedComments xmlns="http://schemas.microsoft.com/office/spreadsheetml/2018/threadedcomments" xmlns:x="http://schemas.openxmlformats.org/spreadsheetml/2006/main">
  <threadedComment ref="H12" dT="2023-05-03T12:37:17.05" personId="{6B1655D5-AB2E-44AB-A4FD-07AC1B03BF7A}" id="{8184710F-1026-4B56-852D-761CFE3F5045}">
    <text>Provisión dividendos</text>
  </threadedComment>
  <threadedComment ref="B23" dT="2023-02-12T19:37:39.02" personId="{6B1655D5-AB2E-44AB-A4FD-07AC1B03BF7A}" id="{E9067A45-8085-44FC-82A6-14384FEEB82B}">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56CAE43D-0B56-4043-8A12-B5A684DAAF9A}">
    <text xml:space="preserve">Empresas con ROE superior a 15%, bolsa libro entre 2 y 2,5 veces
Empresas con ROE entre 10 y 15%, bolsa libro entre 1 y 2
Empresas con ROE bajo 10%, Bolsa libro 1 o menor
</text>
  </threadedComment>
  <threadedComment ref="B122" dT="2022-06-19T22:24:44.98" personId="{6B1655D5-AB2E-44AB-A4FD-07AC1B03BF7A}" id="{468CB9E1-04B4-45D1-898E-AEF017C2B4F9}">
    <text>Gastos de personal (menos)</text>
  </threadedComment>
  <threadedComment ref="B143" dT="2022-06-19T21:38:34.41" personId="{6B1655D5-AB2E-44AB-A4FD-07AC1B03BF7A}" id="{8569C931-3855-4BA2-9845-70C5A918E916}">
    <text>Flujos de efectivo neto de (utilizados en) actividades de operación</text>
  </threadedComment>
  <threadedComment ref="B148" dT="2024-09-17T19:59:51.81" personId="{8377039C-155F-42D4-B2FC-2CB908B71205}" id="{8F39F788-DBD3-4A72-8123-1D6F6AFEC389}">
    <text>Intereses se encuentran en el Flujo Operativo</text>
  </threadedComment>
</ThreadedComments>
</file>

<file path=xl/threadedComments/threadedComment8.xml><?xml version="1.0" encoding="utf-8"?>
<ThreadedComments xmlns="http://schemas.microsoft.com/office/spreadsheetml/2018/threadedcomments" xmlns:x="http://schemas.openxmlformats.org/spreadsheetml/2006/main">
  <threadedComment ref="H12" dT="2023-05-03T12:37:17.05" personId="{6B1655D5-AB2E-44AB-A4FD-07AC1B03BF7A}" id="{D935048F-2101-41E5-BD8D-9F902A537A59}">
    <text>Provisión dividendos</text>
  </threadedComment>
  <threadedComment ref="B23" dT="2023-02-12T19:37:39.02" personId="{6B1655D5-AB2E-44AB-A4FD-07AC1B03BF7A}" id="{5938D963-8DF9-47CB-9377-5BCC49DB451D}">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D52D2C83-8743-4C39-8FFA-FD02459317AA}">
    <text xml:space="preserve">Empresas con ROE superior a 15%, bolsa libro entre 2 y 2,5 veces
Empresas con ROE entre 10 y 15%, bolsa libro entre 1 y 2
Empresas con ROE bajo 10%, Bolsa libro 1 o menor
</text>
  </threadedComment>
  <threadedComment ref="B122" dT="2022-06-19T22:24:44.98" personId="{6B1655D5-AB2E-44AB-A4FD-07AC1B03BF7A}" id="{BA748C10-1DFD-498E-AF5F-A1C74C57F810}">
    <text>Gastos de personal (menos)</text>
  </threadedComment>
  <threadedComment ref="G142" dT="2022-06-19T21:41:08.62" personId="{6B1655D5-AB2E-44AB-A4FD-07AC1B03BF7A}" id="{BCEA5210-8BA9-418D-B638-B4D55E7A30CF}">
    <text>RESULTADOS INDIVIDUALES</text>
  </threadedComment>
  <threadedComment ref="B143" dT="2022-06-19T21:38:34.41" personId="{6B1655D5-AB2E-44AB-A4FD-07AC1B03BF7A}" id="{BE9B8CB7-0628-4576-AA45-EB65D294C5C3}">
    <text>Flujos de efectivo neto de (utilizados en) actividades de operación</text>
  </threadedComment>
  <threadedComment ref="B148" dT="2024-09-17T19:59:26.04" personId="{8377039C-155F-42D4-B2FC-2CB908B71205}" id="{28C25BB4-E740-4C2E-AABF-5D12D6231FB0}">
    <text>Intereses se encuentran en el Flujo Operativo</text>
  </threadedComment>
  <threadedComment ref="B149" dT="2022-06-19T21:20:18.76" personId="{6B1655D5-AB2E-44AB-A4FD-07AC1B03BF7A}" id="{625CA629-8B46-44F1-ADBE-5098493192C6}">
    <text>Incremento (disminución) neto de efectivo y equivalentes al efectivo</text>
  </threadedComment>
</ThreadedComments>
</file>

<file path=xl/threadedComments/threadedComment9.xml><?xml version="1.0" encoding="utf-8"?>
<ThreadedComments xmlns="http://schemas.microsoft.com/office/spreadsheetml/2018/threadedcomments" xmlns:x="http://schemas.openxmlformats.org/spreadsheetml/2006/main">
  <threadedComment ref="B21" dT="2023-02-12T19:37:39.02" personId="{6B1655D5-AB2E-44AB-A4FD-07AC1B03BF7A}" id="{819B1368-96CF-4DBC-A33F-3443911ADED7}">
    <text xml:space="preserve">Empresas con ROE superior a 15%, bolsa libro entre 2 y 2,5 veces
Empresas con ROE entre 10 y 15%, bolsa libro entre 1 y 2
Empresas con ROE bajo 10%, Bolsa libro 1 o menor
</text>
  </threadedComment>
  <threadedComment ref="B22" dT="2023-02-12T19:40:01.84" personId="{6B1655D5-AB2E-44AB-A4FD-07AC1B03BF7A}" id="{5376FC1D-D917-4682-9A6D-9224182D4180}">
    <text xml:space="preserve">Empresas con ROE superior a 15%, bolsa libro entre 2 y 2,5 veces
Empresas con ROE entre 10 y 15%, bolsa libro entre 1 y 2
Empresas con ROE bajo 10%, Bolsa libro 1 o menor
</text>
  </threadedComment>
  <threadedComment ref="B83" dT="2022-06-19T22:24:44.98" personId="{6B1655D5-AB2E-44AB-A4FD-07AC1B03BF7A}" id="{1FAAA016-4D1C-4D5E-91F4-7DEAA809911B}">
    <text>Gastos de personal (menos)</text>
  </threadedComment>
  <threadedComment ref="G99" dT="2022-06-19T21:41:08.62" personId="{6B1655D5-AB2E-44AB-A4FD-07AC1B03BF7A}" id="{D7200531-8820-4972-B8FA-9C5729D2B1E3}">
    <text>RESULTADOS INDIVIDUALES</text>
  </threadedComment>
  <threadedComment ref="B100" dT="2022-06-19T21:38:34.41" personId="{6B1655D5-AB2E-44AB-A4FD-07AC1B03BF7A}" id="{C7228F1A-AB62-42B6-967A-D49422156A75}">
    <text>Flujos de efectivo neto de (utilizados en) actividades de operación</text>
  </threadedComment>
</ThreadedComments>
</file>

<file path=xl/threadedComments/threadedComment10.xml><?xml version="1.0" encoding="utf-8"?>
<ThreadedComments xmlns="http://schemas.microsoft.com/office/spreadsheetml/2018/threadedcomments" xmlns:x="http://schemas.openxmlformats.org/spreadsheetml/2006/main">
  <threadedComment ref="H12" dT="2023-05-03T12:37:17.05" personId="{6B1655D5-AB2E-44AB-A4FD-07AC1B03BF7A}" id="{D0FC91E1-762A-4B6A-9A79-2879721B4B5E}">
    <text>Provisión dividendos</text>
  </threadedComment>
  <threadedComment ref="B23" dT="2023-02-12T19:37:39.02" personId="{6B1655D5-AB2E-44AB-A4FD-07AC1B03BF7A}" id="{6C950638-2A17-4DC1-A08F-AF7E8CB061AC}">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EE7E954B-5AB3-4026-BD30-D5E89B71D7B3}">
    <text xml:space="preserve">Empresas con ROE superior a 15%, bolsa libro entre 2 y 2,5 veces
Empresas con ROE entre 10 y 15%, bolsa libro entre 1 y 2
Empresas con ROE bajo 10%, Bolsa libro 1 o menor
</text>
  </threadedComment>
  <threadedComment ref="B114" dT="2022-06-19T22:24:44.98" personId="{6B1655D5-AB2E-44AB-A4FD-07AC1B03BF7A}" id="{E1E5821A-DC1C-41BA-BC12-E0B990E98444}">
    <text>Gastos de personal (menos)</text>
  </threadedComment>
  <threadedComment ref="B135" dT="2022-06-19T21:38:34.41" personId="{6B1655D5-AB2E-44AB-A4FD-07AC1B03BF7A}" id="{6A31F6BB-9DC8-4BF2-B995-5CA098750331}">
    <text>Flujos de efectivo neto de (utilizados en) actividades de operación</text>
  </threadedComment>
  <threadedComment ref="B141" dT="2022-06-19T21:20:18.76" personId="{6B1655D5-AB2E-44AB-A4FD-07AC1B03BF7A}" id="{EA877390-0467-485D-B069-48B63DCC5DD2}">
    <text>Incremento (disminución) neto de efectivo y equivalentes al efectivo</text>
  </threadedComment>
</ThreadedComments>
</file>

<file path=xl/threadedComments/threadedComment11.xml><?xml version="1.0" encoding="utf-8"?>
<ThreadedComments xmlns="http://schemas.microsoft.com/office/spreadsheetml/2018/threadedcomments" xmlns:x="http://schemas.openxmlformats.org/spreadsheetml/2006/main">
  <threadedComment ref="B24" dT="2023-02-12T19:37:39.02" personId="{6B1655D5-AB2E-44AB-A4FD-07AC1B03BF7A}" id="{BDFD8CDA-6770-41C9-9B4C-C11D838A1ACE}">
    <text xml:space="preserve">Empresas con ROE superior a 15%, bolsa libro entre 2 y 2,5 veces
Empresas con ROE entre 10 y 15%, bolsa libro entre 1 y 2
Empresas con ROE bajo 10%, Bolsa libro 1 o menor
</text>
  </threadedComment>
  <threadedComment ref="B25" dT="2023-02-12T19:40:01.84" personId="{6B1655D5-AB2E-44AB-A4FD-07AC1B03BF7A}" id="{DE70EDF5-1165-4AE4-A467-D7875D3D8D0F}">
    <text xml:space="preserve">Empresas con ROE superior a 15%, bolsa libro entre 2 y 2,5 veces
Empresas con ROE entre 10 y 15%, bolsa libro entre 1 y 2
Empresas con ROE bajo 10%, Bolsa libro 1 o menor
</text>
  </threadedComment>
  <threadedComment ref="B127" dT="2022-06-19T22:24:44.98" personId="{6B1655D5-AB2E-44AB-A4FD-07AC1B03BF7A}" id="{D38A6F03-1E26-4FF7-B305-B493B74EF246}">
    <text>Gastos de personal (menos)</text>
  </threadedComment>
  <threadedComment ref="B149" dT="2022-06-19T21:38:34.41" personId="{6B1655D5-AB2E-44AB-A4FD-07AC1B03BF7A}" id="{FCB5DD82-C4E7-400E-BD7E-A45FC0C62B71}">
    <text>Flujos de efectivo neto de (utilizados en) actividades de operación</text>
  </threadedComment>
  <threadedComment ref="B155" dT="2022-06-19T21:20:18.76" personId="{6B1655D5-AB2E-44AB-A4FD-07AC1B03BF7A}" id="{F9C60DCA-9B9C-4D6D-B6AD-97D21406E6FE}">
    <text>Incremento (disminución) neto de efectivo y equivalentes al efectivo</text>
  </threadedComment>
</ThreadedComments>
</file>

<file path=xl/threadedComments/threadedComment12.xml><?xml version="1.0" encoding="utf-8"?>
<ThreadedComments xmlns="http://schemas.microsoft.com/office/spreadsheetml/2018/threadedcomments" xmlns:x="http://schemas.openxmlformats.org/spreadsheetml/2006/main">
  <threadedComment ref="H12" dT="2023-05-03T12:37:17.05" personId="{6B1655D5-AB2E-44AB-A4FD-07AC1B03BF7A}" id="{C19F657E-E3DD-4B37-84A8-41111A5705C0}">
    <text>Provisión dividendos</text>
  </threadedComment>
  <threadedComment ref="B23" dT="2023-02-12T19:37:39.02" personId="{6B1655D5-AB2E-44AB-A4FD-07AC1B03BF7A}" id="{852185BE-3673-49D8-806C-3C356AD0A907}">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5A965A33-624A-48D1-BC9E-ED2E8C0D0231}">
    <text xml:space="preserve">Empresas con ROE superior a 15%, bolsa libro entre 2 y 2,5 veces
Empresas con ROE entre 10 y 15%, bolsa libro entre 1 y 2
Empresas con ROE bajo 10%, Bolsa libro 1 o menor
</text>
  </threadedComment>
  <threadedComment ref="B107" dT="2022-06-19T22:24:44.98" personId="{6B1655D5-AB2E-44AB-A4FD-07AC1B03BF7A}" id="{68DF7749-E2A4-4E49-ADE4-39D623626215}">
    <text>Gastos de personal (menos)</text>
  </threadedComment>
  <threadedComment ref="G126" dT="2022-06-19T21:41:08.62" personId="{6B1655D5-AB2E-44AB-A4FD-07AC1B03BF7A}" id="{70F15796-CE3E-499C-BE36-CD21E7915716}">
    <text>RESULTADOS INDIVIDUALES</text>
  </threadedComment>
  <threadedComment ref="B127" dT="2022-06-19T21:38:34.41" personId="{6B1655D5-AB2E-44AB-A4FD-07AC1B03BF7A}" id="{BEA37F6E-DD44-4B2B-AB59-4488C220F949}">
    <text>Flujos de efectivo neto de (utilizados en) actividades de operación</text>
  </threadedComment>
  <threadedComment ref="B133" dT="2022-06-19T21:20:18.76" personId="{6B1655D5-AB2E-44AB-A4FD-07AC1B03BF7A}" id="{7A629007-DEEB-41B2-A5FB-FB48EFC807E6}">
    <text>Incremento (disminución) neto de efectivo y equivalentes al efectivo</text>
  </threadedComment>
</ThreadedComments>
</file>

<file path=xl/threadedComments/threadedComment13.xml><?xml version="1.0" encoding="utf-8"?>
<ThreadedComments xmlns="http://schemas.microsoft.com/office/spreadsheetml/2018/threadedcomments" xmlns:x="http://schemas.openxmlformats.org/spreadsheetml/2006/main">
  <threadedComment ref="H12" dT="2023-05-03T12:37:17.05" personId="{6B1655D5-AB2E-44AB-A4FD-07AC1B03BF7A}" id="{117FAC4B-99C0-4E01-934A-64547E982C2B}">
    <text>Provisión dividendos</text>
  </threadedComment>
  <threadedComment ref="B24" dT="2023-02-12T19:37:39.02" personId="{6B1655D5-AB2E-44AB-A4FD-07AC1B03BF7A}" id="{FAED0193-9A87-4378-960E-884C917718EE}">
    <text xml:space="preserve">Empresas con ROE superior a 15%, bolsa libro entre 2 y 2,5 veces
Empresas con ROE entre 10 y 15%, bolsa libro entre 1 y 2
Empresas con ROE bajo 10%, Bolsa libro 1 o menor
</text>
  </threadedComment>
  <threadedComment ref="B25" dT="2023-02-12T19:40:01.84" personId="{6B1655D5-AB2E-44AB-A4FD-07AC1B03BF7A}" id="{0AF6AE72-423B-4A58-8B60-C173058C2FF0}">
    <text xml:space="preserve">Empresas con ROE superior a 15%, bolsa libro entre 2 y 2,5 veces
Empresas con ROE entre 10 y 15%, bolsa libro entre 1 y 2
Empresas con ROE bajo 10%, Bolsa libro 1 o menor
</text>
  </threadedComment>
  <threadedComment ref="B117" dT="2022-06-19T22:24:44.98" personId="{6B1655D5-AB2E-44AB-A4FD-07AC1B03BF7A}" id="{1DCE216B-A78D-4CB3-94AD-3F856FB5D143}">
    <text>Gastos de personal (menos)</text>
  </threadedComment>
  <threadedComment ref="B138" dT="2022-06-19T21:38:34.41" personId="{6B1655D5-AB2E-44AB-A4FD-07AC1B03BF7A}" id="{2B7365A8-AFEC-4ACF-AFA9-A408A6DC1306}">
    <text>Flujos de efectivo neto de (utilizados en) actividades de operación</text>
  </threadedComment>
  <threadedComment ref="B144" dT="2022-06-19T21:20:18.76" personId="{6B1655D5-AB2E-44AB-A4FD-07AC1B03BF7A}" id="{25E479AC-E354-4ABE-B93B-EAF2D200A8C0}">
    <text>Incremento (disminución) neto de efectivo y equivalentes al efectivo</text>
  </threadedComment>
</ThreadedComments>
</file>

<file path=xl/threadedComments/threadedComment14.xml><?xml version="1.0" encoding="utf-8"?>
<ThreadedComments xmlns="http://schemas.microsoft.com/office/spreadsheetml/2018/threadedcomments" xmlns:x="http://schemas.openxmlformats.org/spreadsheetml/2006/main">
  <threadedComment ref="H12" dT="2023-05-03T12:37:17.05" personId="{6B1655D5-AB2E-44AB-A4FD-07AC1B03BF7A}" id="{FA0CB207-1052-4F5F-A4EC-41D826F0E267}">
    <text>Provisión dividendos</text>
  </threadedComment>
  <threadedComment ref="B23" dT="2023-02-12T19:37:39.02" personId="{6B1655D5-AB2E-44AB-A4FD-07AC1B03BF7A}" id="{8E22EF86-3EED-4D06-9845-B8455B708719}">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DBC05FFF-A4D8-4003-B1EC-FE531BB4E54B}">
    <text xml:space="preserve">Empresas con ROE superior a 15%, bolsa libro entre 2 y 2,5 veces
Empresas con ROE entre 10 y 15%, bolsa libro entre 1 y 2
Empresas con ROE bajo 10%, Bolsa libro 1 o menor
</text>
  </threadedComment>
  <threadedComment ref="B127" dT="2022-06-19T22:24:44.98" personId="{6B1655D5-AB2E-44AB-A4FD-07AC1B03BF7A}" id="{E5C4D606-66C0-44A8-9145-D9800624E4D0}">
    <text>Gastos de personal (menos)</text>
  </threadedComment>
  <threadedComment ref="G148" dT="2022-06-19T21:41:08.62" personId="{6B1655D5-AB2E-44AB-A4FD-07AC1B03BF7A}" id="{8E62FAD9-C049-4398-AFC5-B02FF51FBD41}">
    <text>RESULTADOS INDIVIDUALES</text>
  </threadedComment>
  <threadedComment ref="B149" dT="2022-06-19T21:38:34.41" personId="{6B1655D5-AB2E-44AB-A4FD-07AC1B03BF7A}" id="{523EC0BD-47CB-4F62-8AE1-418EC9D27BFD}">
    <text>Flujos de efectivo neto de (utilizados en) actividades de operación</text>
  </threadedComment>
  <threadedComment ref="B154" dT="2024-09-17T20:20:46.24" personId="{8377039C-155F-42D4-B2FC-2CB908B71205}" id="{9900B3AE-6774-4320-ACCF-E29C6D1D195D}">
    <text>Intereses incluidos en el Flujo Operativo</text>
  </threadedComment>
  <threadedComment ref="B155" dT="2022-06-19T21:20:18.76" personId="{6B1655D5-AB2E-44AB-A4FD-07AC1B03BF7A}" id="{FEB94922-08BC-4242-B29D-0C7A82A0D371}">
    <text>Incremento (disminución) neto de efectivo y equivalentes al efectivo</text>
  </threadedComment>
</ThreadedComments>
</file>

<file path=xl/threadedComments/threadedComment15.xml><?xml version="1.0" encoding="utf-8"?>
<ThreadedComments xmlns="http://schemas.microsoft.com/office/spreadsheetml/2018/threadedcomments" xmlns:x="http://schemas.openxmlformats.org/spreadsheetml/2006/main">
  <threadedComment ref="H12" dT="2023-05-03T12:37:17.05" personId="{6B1655D5-AB2E-44AB-A4FD-07AC1B03BF7A}" id="{EF008577-0262-491B-AC76-01D3B1EBC18A}">
    <text>Provisión dividendos</text>
  </threadedComment>
  <threadedComment ref="B23" dT="2023-02-12T19:37:39.02" personId="{6B1655D5-AB2E-44AB-A4FD-07AC1B03BF7A}" id="{1DDAE741-3475-4229-9A90-650253618369}">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8744E77A-2649-4539-92CD-E7DCEDB49E08}">
    <text xml:space="preserve">Empresas con ROE superior a 15%, bolsa libro entre 2 y 2,5 veces
Empresas con ROE entre 10 y 15%, bolsa libro entre 1 y 2
Empresas con ROE bajo 10%, Bolsa libro 1 o menor
</text>
  </threadedComment>
  <threadedComment ref="B123" dT="2022-06-19T22:24:44.98" personId="{6B1655D5-AB2E-44AB-A4FD-07AC1B03BF7A}" id="{6151D985-258F-4C35-99A2-30C087199ABA}">
    <text>Gastos de personal (menos)</text>
  </threadedComment>
  <threadedComment ref="B144" dT="2022-06-19T21:38:34.41" personId="{6B1655D5-AB2E-44AB-A4FD-07AC1B03BF7A}" id="{51B554DA-5E33-4C79-95B2-9D08E517E6FD}">
    <text>Flujos de efectivo neto de (utilizados en) actividades de operación</text>
  </threadedComment>
  <threadedComment ref="B149" dT="2024-09-17T19:59:51.81" personId="{8377039C-155F-42D4-B2FC-2CB908B71205}" id="{F782F4B4-D573-4FB3-B7DD-865BD096E9FD}">
    <text>Intereses se encuentran en el Flujo Operativo</text>
  </threadedComment>
</ThreadedComments>
</file>

<file path=xl/threadedComments/threadedComment16.xml><?xml version="1.0" encoding="utf-8"?>
<ThreadedComments xmlns="http://schemas.microsoft.com/office/spreadsheetml/2018/threadedcomments" xmlns:x="http://schemas.openxmlformats.org/spreadsheetml/2006/main">
  <threadedComment ref="H12" dT="2023-05-03T12:37:17.05" personId="{6B1655D5-AB2E-44AB-A4FD-07AC1B03BF7A}" id="{D85D2B51-8F4B-414F-B017-04DBC935C114}">
    <text>Provisión dividendos</text>
  </threadedComment>
  <threadedComment ref="B23" dT="2023-02-12T19:37:39.02" personId="{6B1655D5-AB2E-44AB-A4FD-07AC1B03BF7A}" id="{2D037AD7-11D5-4C0F-8DA8-07A977A9C3F0}">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B7BAB1AD-751C-43F2-8E40-71EF9D6C6499}">
    <text xml:space="preserve">Empresas con ROE superior a 15%, bolsa libro entre 2 y 2,5 veces
Empresas con ROE entre 10 y 15%, bolsa libro entre 1 y 2
Empresas con ROE bajo 10%, Bolsa libro 1 o menor
</text>
  </threadedComment>
  <threadedComment ref="B122" dT="2022-06-19T22:24:44.98" personId="{6B1655D5-AB2E-44AB-A4FD-07AC1B03BF7A}" id="{78BD8CC6-7F9A-42D5-B60B-F41297D95598}">
    <text>Gastos de personal (menos)</text>
  </threadedComment>
  <threadedComment ref="G143" dT="2022-06-19T21:41:08.62" personId="{6B1655D5-AB2E-44AB-A4FD-07AC1B03BF7A}" id="{EBA4C179-D57F-4D7F-8044-D19FB76940BA}">
    <text>RESULTADOS INDIVIDUALES</text>
  </threadedComment>
  <threadedComment ref="B144" dT="2022-06-19T21:38:34.41" personId="{6B1655D5-AB2E-44AB-A4FD-07AC1B03BF7A}" id="{07DEFE5A-4B16-45B7-8FD2-3FC9AD795B95}">
    <text>Flujos de efectivo neto de (utilizados en) actividades de operación</text>
  </threadedComment>
  <threadedComment ref="B150" dT="2022-06-19T21:20:18.76" personId="{6B1655D5-AB2E-44AB-A4FD-07AC1B03BF7A}" id="{718B4EC6-12B5-444B-BF86-6DA303BF0FE7}">
    <text>Incremento (disminución) neto de efectivo y equivalentes al efectivo</text>
  </threadedComment>
</ThreadedComments>
</file>

<file path=xl/threadedComments/threadedComment17.xml><?xml version="1.0" encoding="utf-8"?>
<ThreadedComments xmlns="http://schemas.microsoft.com/office/spreadsheetml/2018/threadedcomments" xmlns:x="http://schemas.openxmlformats.org/spreadsheetml/2006/main">
  <threadedComment ref="H12" dT="2023-05-03T12:37:17.05" personId="{6B1655D5-AB2E-44AB-A4FD-07AC1B03BF7A}" id="{B3FE21D2-7012-4ECF-A572-16120363D049}">
    <text>Provisión dividendos</text>
  </threadedComment>
  <threadedComment ref="B23" dT="2023-02-12T19:37:39.02" personId="{6B1655D5-AB2E-44AB-A4FD-07AC1B03BF7A}" id="{B4544686-DFBD-4A4B-B285-3CACBD8C0518}">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507F913C-8AF9-49E8-A548-548E01BF7B5A}">
    <text xml:space="preserve">Empresas con ROE superior a 15%, bolsa libro entre 2 y 2,5 veces
Empresas con ROE entre 10 y 15%, bolsa libro entre 1 y 2
Empresas con ROE bajo 10%, Bolsa libro 1 o menor
</text>
  </threadedComment>
  <threadedComment ref="B113" dT="2022-06-19T22:24:44.98" personId="{6B1655D5-AB2E-44AB-A4FD-07AC1B03BF7A}" id="{5D0EA908-8112-4B47-90D7-3AA01146C22A}">
    <text>Gastos de personal (menos)</text>
  </threadedComment>
  <threadedComment ref="B134" dT="2022-06-19T21:38:34.41" personId="{6B1655D5-AB2E-44AB-A4FD-07AC1B03BF7A}" id="{55D6DA08-D7D4-4FC9-B21B-37F8B4CEF80C}">
    <text>Flujos de efectivo neto de (utilizados en) actividades de operación</text>
  </threadedComment>
  <threadedComment ref="B140" dT="2022-06-19T21:20:18.76" personId="{6B1655D5-AB2E-44AB-A4FD-07AC1B03BF7A}" id="{A1217018-1D6B-40AC-B594-2C0E87788BD0}">
    <text>Incremento (disminución) neto de efectivo y equivalentes al efectivo</text>
  </threadedComment>
</ThreadedComments>
</file>

<file path=xl/threadedComments/threadedComment18.xml><?xml version="1.0" encoding="utf-8"?>
<ThreadedComments xmlns="http://schemas.microsoft.com/office/spreadsheetml/2018/threadedcomments" xmlns:x="http://schemas.openxmlformats.org/spreadsheetml/2006/main">
  <threadedComment ref="H13" dT="2023-05-03T12:37:17.05" personId="{6B1655D5-AB2E-44AB-A4FD-07AC1B03BF7A}" id="{4B6038B6-E778-42EF-B582-23093F88A559}">
    <text>Provisión dividendos</text>
  </threadedComment>
  <threadedComment ref="B25" dT="2023-02-12T19:37:39.02" personId="{6B1655D5-AB2E-44AB-A4FD-07AC1B03BF7A}" id="{09D942B2-453C-4E80-B317-6BBB1C6800B1}">
    <text xml:space="preserve">Empresas con ROE superior a 15%, bolsa libro entre 2 y 2,5 veces
Empresas con ROE entre 10 y 15%, bolsa libro entre 1 y 2
Empresas con ROE bajo 10%, Bolsa libro 1 o menor
</text>
  </threadedComment>
  <threadedComment ref="B26" dT="2023-02-12T19:40:01.84" personId="{6B1655D5-AB2E-44AB-A4FD-07AC1B03BF7A}" id="{7B25C59F-AB27-4838-80C6-ADD868631913}">
    <text xml:space="preserve">Empresas con ROE superior a 15%, bolsa libro entre 2 y 2,5 veces
Empresas con ROE entre 10 y 15%, bolsa libro entre 1 y 2
Empresas con ROE bajo 10%, Bolsa libro 1 o menor
</text>
  </threadedComment>
  <threadedComment ref="B117" dT="2022-06-19T22:24:44.98" personId="{6B1655D5-AB2E-44AB-A4FD-07AC1B03BF7A}" id="{53174278-F604-424F-999E-A6D9CB8D2531}">
    <text>Gastos de personal (menos)</text>
  </threadedComment>
  <threadedComment ref="B138" dT="2022-06-19T21:38:34.41" personId="{6B1655D5-AB2E-44AB-A4FD-07AC1B03BF7A}" id="{9CE800F4-0819-42F1-8B71-36E1FED388F2}">
    <text>Flujos de efectivo neto de (utilizados en) actividades de operación</text>
  </threadedComment>
  <threadedComment ref="B144" dT="2022-06-19T21:20:18.76" personId="{6B1655D5-AB2E-44AB-A4FD-07AC1B03BF7A}" id="{02B7ECE6-8B65-448E-8E18-53F87B1B0070}">
    <text>Incremento (disminución) neto de efectivo y equivalentes al efectivo</text>
  </threadedComment>
</ThreadedComments>
</file>

<file path=xl/threadedComments/threadedComment19.xml><?xml version="1.0" encoding="utf-8"?>
<ThreadedComments xmlns="http://schemas.microsoft.com/office/spreadsheetml/2018/threadedcomments" xmlns:x="http://schemas.openxmlformats.org/spreadsheetml/2006/main">
  <threadedComment ref="B27" dT="2023-02-12T19:37:39.02" personId="{6B1655D5-AB2E-44AB-A4FD-07AC1B03BF7A}" id="{903ABB5B-F961-4B68-A773-7305E5643D72}">
    <text xml:space="preserve">Empresas con ROE superior a 15%, bolsa libro entre 2 y 2,5 veces
Empresas con ROE entre 10 y 15%, bolsa libro entre 1 y 2
Empresas con ROE bajo 10%, Bolsa libro 1 o menor
</text>
  </threadedComment>
  <threadedComment ref="B28" dT="2023-02-12T19:40:01.84" personId="{6B1655D5-AB2E-44AB-A4FD-07AC1B03BF7A}" id="{1ECEF965-DE0E-41FB-BA26-9CD3C2B87FB6}">
    <text xml:space="preserve">Empresas con ROE superior a 15%, bolsa libro entre 2 y 2,5 veces
Empresas con ROE entre 10 y 15%, bolsa libro entre 1 y 2
Empresas con ROE bajo 10%, Bolsa libro 1 o menor
</text>
  </threadedComment>
  <threadedComment ref="B110" dT="2022-06-19T22:24:44.98" personId="{6B1655D5-AB2E-44AB-A4FD-07AC1B03BF7A}" id="{164D3E69-2ED8-4B9D-9B7A-6171B24B212D}">
    <text>Gastos de personal (menos)</text>
  </threadedComment>
  <threadedComment ref="B113" dT="2022-06-19T22:26:16.50" personId="{6B1655D5-AB2E-44AB-A4FD-07AC1B03BF7A}" id="{2E1BC510-932B-4C90-AEA3-64D442C21EFF}">
    <text>Otros gastos varios de operación (menos)</text>
  </threadedComment>
  <threadedComment ref="B116" dT="2022-06-19T22:28:47.56" personId="{6B1655D5-AB2E-44AB-A4FD-07AC1B03BF7A}" id="{7DDA7378-A32E-45F3-96E5-8FA7ED106E9F}">
    <text>Ganancia (pérdida) procedente de inversiones</text>
  </threadedComment>
  <threadedComment ref="B129" dT="2022-06-19T21:38:34.41" personId="{6B1655D5-AB2E-44AB-A4FD-07AC1B03BF7A}" id="{F2D3BECA-2562-4DD8-8EEC-8E148AB7BE24}">
    <text>Flujos de efectivo neto de (utilizados en) actividades de operación</text>
  </threadedComment>
  <threadedComment ref="B135" dT="2022-06-19T21:20:18.76" personId="{6B1655D5-AB2E-44AB-A4FD-07AC1B03BF7A}" id="{DCB18B57-8E83-4C7D-9CC8-46B303692CB6}">
    <text>Incremento (disminución) neto de efectivo y equivalentes al efectivo</text>
  </threadedComment>
</ThreadedComments>
</file>

<file path=xl/threadedComments/threadedComment20.xml><?xml version="1.0" encoding="utf-8"?>
<ThreadedComments xmlns="http://schemas.microsoft.com/office/spreadsheetml/2018/threadedcomments" xmlns:x="http://schemas.openxmlformats.org/spreadsheetml/2006/main">
  <threadedComment ref="H12" dT="2023-05-03T12:37:17.05" personId="{6B1655D5-AB2E-44AB-A4FD-07AC1B03BF7A}" id="{4D105ADC-4D04-4AD5-A7AC-E533BC7B55B2}">
    <text>Provisión dividendos</text>
  </threadedComment>
  <threadedComment ref="B23" dT="2023-02-12T19:37:39.02" personId="{6B1655D5-AB2E-44AB-A4FD-07AC1B03BF7A}" id="{823C3199-C0AC-4F7D-BB0E-959A88370A4A}">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5BD02AD6-119B-49CB-B8D8-06E7AD401128}">
    <text xml:space="preserve">Empresas con ROE superior a 15%, bolsa libro entre 2 y 2,5 veces
Empresas con ROE entre 10 y 15%, bolsa libro entre 1 y 2
Empresas con ROE bajo 10%, Bolsa libro 1 o menor
</text>
  </threadedComment>
  <threadedComment ref="B113" dT="2022-06-19T22:24:44.98" personId="{6B1655D5-AB2E-44AB-A4FD-07AC1B03BF7A}" id="{9E6E6BE6-AADB-45AB-AA5D-AA018D334D5B}">
    <text>Gastos de personal (menos)</text>
  </threadedComment>
  <threadedComment ref="B134" dT="2022-06-19T21:38:34.41" personId="{6B1655D5-AB2E-44AB-A4FD-07AC1B03BF7A}" id="{2F3F6A02-660C-4CB0-BA76-E7D42D260462}">
    <text>Flujos de efectivo neto de (utilizados en) actividades de operación</text>
  </threadedComment>
  <threadedComment ref="B140" dT="2022-06-19T21:20:18.76" personId="{6B1655D5-AB2E-44AB-A4FD-07AC1B03BF7A}" id="{E9FF865C-0CE4-4A88-83DC-2728B51EC800}">
    <text>Incremento (disminución) neto de efectivo y equivalentes al efectivo</text>
  </threadedComment>
</ThreadedComments>
</file>

<file path=xl/threadedComments/threadedComment21.xml><?xml version="1.0" encoding="utf-8"?>
<ThreadedComments xmlns="http://schemas.microsoft.com/office/spreadsheetml/2018/threadedcomments" xmlns:x="http://schemas.openxmlformats.org/spreadsheetml/2006/main">
  <threadedComment ref="H12" dT="2023-05-03T12:37:17.05" personId="{6B1655D5-AB2E-44AB-A4FD-07AC1B03BF7A}" id="{343A14FD-9217-4CB3-9F43-0D85751A1867}">
    <text>Provisión dividendos</text>
  </threadedComment>
  <threadedComment ref="B23" dT="2023-02-12T19:37:39.02" personId="{6B1655D5-AB2E-44AB-A4FD-07AC1B03BF7A}" id="{DBC22C8F-025F-4E5C-A493-487BAE340958}">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34E63234-5EC6-40B0-A769-29F9A991AF3F}">
    <text xml:space="preserve">Empresas con ROE superior a 15%, bolsa libro entre 2 y 2,5 veces
Empresas con ROE entre 10 y 15%, bolsa libro entre 1 y 2
Empresas con ROE bajo 10%, Bolsa libro 1 o menor
</text>
  </threadedComment>
  <threadedComment ref="B118" dT="2022-06-19T22:24:44.98" personId="{6B1655D5-AB2E-44AB-A4FD-07AC1B03BF7A}" id="{6CA285B4-9B39-47C5-B7F1-6C71852ECE21}">
    <text>Gastos de personal (menos)</text>
  </threadedComment>
  <threadedComment ref="B138" dT="2022-06-19T21:38:34.41" personId="{6B1655D5-AB2E-44AB-A4FD-07AC1B03BF7A}" id="{F121C49B-DC54-491F-B33F-F33682864872}">
    <text>Flujos de efectivo neto de (utilizados en) actividades de operación</text>
  </threadedComment>
  <threadedComment ref="B144" dT="2022-06-19T21:20:18.76" personId="{6B1655D5-AB2E-44AB-A4FD-07AC1B03BF7A}" id="{3874D002-E595-4F9F-A288-7552F237F498}">
    <text>Incremento (disminución) neto de efectivo y equivalentes al efectivo</text>
  </threadedComment>
</ThreadedComments>
</file>

<file path=xl/threadedComments/threadedComment22.xml><?xml version="1.0" encoding="utf-8"?>
<ThreadedComments xmlns="http://schemas.microsoft.com/office/spreadsheetml/2018/threadedcomments" xmlns:x="http://schemas.openxmlformats.org/spreadsheetml/2006/main">
  <threadedComment ref="H12" dT="2023-05-03T12:37:17.05" personId="{6B1655D5-AB2E-44AB-A4FD-07AC1B03BF7A}" id="{C1FD1317-A35D-49F1-894D-CAD3B5518260}">
    <text>Provisión dividendos</text>
  </threadedComment>
  <threadedComment ref="B23" dT="2023-02-12T19:37:39.02" personId="{6B1655D5-AB2E-44AB-A4FD-07AC1B03BF7A}" id="{670A00D4-FF24-46DC-8773-8FC06BE5AECE}">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CB5D597E-E63B-4ECA-B3EC-432A171E8D3D}">
    <text xml:space="preserve">Empresas con ROE superior a 15%, bolsa libro entre 2 y 2,5 veces
Empresas con ROE entre 10 y 15%, bolsa libro entre 1 y 2
Empresas con ROE bajo 10%, Bolsa libro 1 o menor
</text>
  </threadedComment>
  <threadedComment ref="B115" dT="2022-06-19T22:24:44.98" personId="{6B1655D5-AB2E-44AB-A4FD-07AC1B03BF7A}" id="{A731E41F-D527-4E01-AB4C-C41F6D6191D2}">
    <text>Gastos de personal (menos)</text>
  </threadedComment>
  <threadedComment ref="B136" dT="2022-06-19T21:38:34.41" personId="{6B1655D5-AB2E-44AB-A4FD-07AC1B03BF7A}" id="{41DDEEFF-54E9-4B5C-A588-73ABEAF6E3C2}">
    <text>Flujos de efectivo neto de (utilizados en) actividades de operación</text>
  </threadedComment>
  <threadedComment ref="B142" dT="2022-06-19T21:20:18.76" personId="{6B1655D5-AB2E-44AB-A4FD-07AC1B03BF7A}" id="{C2925B7C-FD5E-4432-932A-2302DEBA3547}">
    <text>Incremento (disminución) neto de efectivo y equivalentes al efectivo</text>
  </threadedComment>
</ThreadedComments>
</file>

<file path=xl/threadedComments/threadedComment23.xml><?xml version="1.0" encoding="utf-8"?>
<ThreadedComments xmlns="http://schemas.microsoft.com/office/spreadsheetml/2018/threadedcomments" xmlns:x="http://schemas.openxmlformats.org/spreadsheetml/2006/main">
  <threadedComment ref="H12" dT="2023-05-03T12:37:17.05" personId="{6B1655D5-AB2E-44AB-A4FD-07AC1B03BF7A}" id="{4D2D5B57-A46A-49A8-928E-CE820AAA1BCD}">
    <text>Provisión dividendos</text>
  </threadedComment>
  <threadedComment ref="B23" dT="2023-02-12T19:37:39.02" personId="{6B1655D5-AB2E-44AB-A4FD-07AC1B03BF7A}" id="{5964237E-0A04-4C2C-9EC5-80A44CBBE189}">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19E1DE1C-107A-4BFA-ABF5-2CEB8EA3902C}">
    <text xml:space="preserve">Empresas con ROE superior a 15%, bolsa libro entre 2 y 2,5 veces
Empresas con ROE entre 10 y 15%, bolsa libro entre 1 y 2
Empresas con ROE bajo 10%, Bolsa libro 1 o menor
</text>
  </threadedComment>
  <threadedComment ref="B119" dT="2022-06-19T22:24:44.98" personId="{6B1655D5-AB2E-44AB-A4FD-07AC1B03BF7A}" id="{92D31FAD-8DD6-49ED-94D6-318E1DB5A32E}">
    <text>Gastos de personal (menos)</text>
  </threadedComment>
  <threadedComment ref="G138" dT="2022-06-19T21:41:08.62" personId="{6B1655D5-AB2E-44AB-A4FD-07AC1B03BF7A}" id="{B2A10464-A2D9-46EA-A214-5A258456B24B}">
    <text>RESULTADOS INDIVIDUALES</text>
  </threadedComment>
  <threadedComment ref="B139" dT="2022-06-19T21:38:34.41" personId="{6B1655D5-AB2E-44AB-A4FD-07AC1B03BF7A}" id="{FE9F34A6-6713-4430-AE87-47D5994271F5}">
    <text>Flujos de efectivo neto de (utilizados en) actividades de operación</text>
  </threadedComment>
  <threadedComment ref="B145" dT="2022-06-19T21:20:18.76" personId="{6B1655D5-AB2E-44AB-A4FD-07AC1B03BF7A}" id="{B52F0D21-D313-4D26-AC2B-CD84E168583D}">
    <text>Incremento (disminución) neto de efectivo y equivalentes al efectivo</text>
  </threadedComment>
</ThreadedComments>
</file>

<file path=xl/threadedComments/threadedComment24.xml><?xml version="1.0" encoding="utf-8"?>
<ThreadedComments xmlns="http://schemas.microsoft.com/office/spreadsheetml/2018/threadedcomments" xmlns:x="http://schemas.openxmlformats.org/spreadsheetml/2006/main">
  <threadedComment ref="G6" dT="2024-05-03T16:56:02.47" personId="{8377039C-155F-42D4-B2FC-2CB908B71205}" id="{AA1EEF56-A667-4F67-8C2A-6ACF54598E04}">
    <text>FUSIÓN EGP AMERICAS SPA</text>
  </threadedComment>
  <threadedComment ref="H12" dT="2023-05-03T12:37:17.05" personId="{6B1655D5-AB2E-44AB-A4FD-07AC1B03BF7A}" id="{E87B0CA1-CB79-4D9C-BBDB-7110E86EE858}">
    <text>Provisión dividendos</text>
  </threadedComment>
  <threadedComment ref="B24" dT="2023-02-12T19:37:39.02" personId="{6B1655D5-AB2E-44AB-A4FD-07AC1B03BF7A}" id="{BE0CF62F-C54F-476F-81B6-5C2CAD108D8E}">
    <text xml:space="preserve">Empresas con ROE superior a 15%, bolsa libro entre 2 y 2,5 veces
Empresas con ROE entre 10 y 15%, bolsa libro entre 1 y 2
Empresas con ROE bajo 10%, Bolsa libro 1 o menor
</text>
  </threadedComment>
  <threadedComment ref="B25" dT="2023-02-12T19:40:01.84" personId="{6B1655D5-AB2E-44AB-A4FD-07AC1B03BF7A}" id="{1C695384-27BE-4A02-AD88-2B793B863CA0}">
    <text xml:space="preserve">Empresas con ROE superior a 15%, bolsa libro entre 2 y 2,5 veces
Empresas con ROE entre 10 y 15%, bolsa libro entre 1 y 2
Empresas con ROE bajo 10%, Bolsa libro 1 o menor
</text>
  </threadedComment>
  <threadedComment ref="B117" dT="2022-06-19T22:24:44.98" personId="{6B1655D5-AB2E-44AB-A4FD-07AC1B03BF7A}" id="{D438F25C-0B8B-41E5-BB0F-C1AC63477B38}">
    <text>Gastos de personal (menos)</text>
  </threadedComment>
  <threadedComment ref="B139" dT="2022-06-19T21:38:34.41" personId="{6B1655D5-AB2E-44AB-A4FD-07AC1B03BF7A}" id="{04B076D6-4637-45C4-96AE-93A51A020918}">
    <text>Flujos de efectivo neto de (utilizados en) actividades de operación</text>
  </threadedComment>
  <threadedComment ref="B145" dT="2022-06-19T21:20:18.76" personId="{6B1655D5-AB2E-44AB-A4FD-07AC1B03BF7A}" id="{BB418B22-1487-4F84-BB11-E8A9D363D755}">
    <text>Incremento (disminución) neto de efectivo y equivalentes al efectivo</text>
  </threadedComment>
</ThreadedComments>
</file>

<file path=xl/threadedComments/threadedComment25.xml><?xml version="1.0" encoding="utf-8"?>
<ThreadedComments xmlns="http://schemas.microsoft.com/office/spreadsheetml/2018/threadedcomments" xmlns:x="http://schemas.openxmlformats.org/spreadsheetml/2006/main">
  <threadedComment ref="H12" dT="2023-05-03T12:37:17.05" personId="{6B1655D5-AB2E-44AB-A4FD-07AC1B03BF7A}" id="{D4CBD2D0-1792-44B3-92AF-ED714E2F95E1}">
    <text>Provisión dividendos</text>
  </threadedComment>
  <threadedComment ref="B23" dT="2023-02-12T19:37:39.02" personId="{6B1655D5-AB2E-44AB-A4FD-07AC1B03BF7A}" id="{E0BFC7FC-D162-4905-98A8-D9E7F25D3ADC}">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215047B0-04A7-41CE-AD82-2034EF87269A}">
    <text xml:space="preserve">Empresas con ROE superior a 15%, bolsa libro entre 2 y 2,5 veces
Empresas con ROE entre 10 y 15%, bolsa libro entre 1 y 2
Empresas con ROE bajo 10%, Bolsa libro 1 o menor
</text>
  </threadedComment>
  <threadedComment ref="B128" dT="2022-06-19T22:24:44.98" personId="{6B1655D5-AB2E-44AB-A4FD-07AC1B03BF7A}" id="{769DE8BA-7937-49A2-8F79-24CE983B08CD}">
    <text>Gastos de personal (menos)</text>
  </threadedComment>
  <threadedComment ref="B152" dT="2022-06-19T21:38:34.41" personId="{6B1655D5-AB2E-44AB-A4FD-07AC1B03BF7A}" id="{8CC7EED8-BCAE-4956-A722-75E1C7202263}">
    <text>Flujos de efectivo neto de (utilizados en) actividades de operación</text>
  </threadedComment>
  <threadedComment ref="B159" dT="2022-06-19T21:20:18.76" personId="{6B1655D5-AB2E-44AB-A4FD-07AC1B03BF7A}" id="{F0EE3BCE-78D5-4D62-9358-07012962481D}">
    <text>Incremento (disminución) neto de efectivo y equivalentes al efectivo</text>
  </threadedComment>
</ThreadedComments>
</file>

<file path=xl/threadedComments/threadedComment26.xml><?xml version="1.0" encoding="utf-8"?>
<ThreadedComments xmlns="http://schemas.microsoft.com/office/spreadsheetml/2018/threadedcomments" xmlns:x="http://schemas.openxmlformats.org/spreadsheetml/2006/main">
  <threadedComment ref="B25" dT="2023-02-12T19:37:39.02" personId="{6B1655D5-AB2E-44AB-A4FD-07AC1B03BF7A}" id="{14A2434E-431F-45D5-843B-934D2D5D0E33}">
    <text xml:space="preserve">Empresas con ROE superior a 15%, bolsa libro entre 2 y 2,5 veces
Empresas con ROE entre 10 y 15%, bolsa libro entre 1 y 2
Empresas con ROE bajo 10%, Bolsa libro 1 o menor
</text>
  </threadedComment>
  <threadedComment ref="B26" dT="2023-02-12T19:40:01.84" personId="{6B1655D5-AB2E-44AB-A4FD-07AC1B03BF7A}" id="{9F9FCDB2-F3C9-44B6-B944-DE490777704A}">
    <text xml:space="preserve">Empresas con ROE superior a 15%, bolsa libro entre 2 y 2,5 veces
Empresas con ROE entre 10 y 15%, bolsa libro entre 1 y 2
Empresas con ROE bajo 10%, Bolsa libro 1 o menor
</text>
  </threadedComment>
  <threadedComment ref="B117" dT="2022-06-19T22:24:44.98" personId="{6B1655D5-AB2E-44AB-A4FD-07AC1B03BF7A}" id="{7302E6CE-3FAC-42EB-9564-290DD190E681}">
    <text>Gastos de personal (menos)</text>
  </threadedComment>
  <threadedComment ref="B138" dT="2022-06-19T21:38:34.41" personId="{6B1655D5-AB2E-44AB-A4FD-07AC1B03BF7A}" id="{5754AE33-0C76-42D8-B0B4-4D66D6803E88}">
    <text>Flujos de efectivo neto de (utilizados en) actividades de operación</text>
  </threadedComment>
  <threadedComment ref="B144" dT="2022-06-19T21:20:18.76" personId="{6B1655D5-AB2E-44AB-A4FD-07AC1B03BF7A}" id="{DE195255-6BDE-491A-A2B1-BF971120EA0E}">
    <text>Incremento (disminución) neto de efectivo y equivalentes al efectivo</text>
  </threadedComment>
</ThreadedComments>
</file>

<file path=xl/threadedComments/threadedComment27.xml><?xml version="1.0" encoding="utf-8"?>
<ThreadedComments xmlns="http://schemas.microsoft.com/office/spreadsheetml/2018/threadedcomments" xmlns:x="http://schemas.openxmlformats.org/spreadsheetml/2006/main">
  <threadedComment ref="H12" dT="2023-05-03T12:37:17.05" personId="{6B1655D5-AB2E-44AB-A4FD-07AC1B03BF7A}" id="{E23E3857-3979-4566-AB77-554D8ABE477D}">
    <text>Provisión dividendos</text>
  </threadedComment>
  <threadedComment ref="B23" dT="2023-02-12T19:37:39.02" personId="{6B1655D5-AB2E-44AB-A4FD-07AC1B03BF7A}" id="{CED59EE8-CB8D-4177-98E3-A6DF672567D9}">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3EFA24F0-F496-4AC0-A72A-ADBE6085081D}">
    <text xml:space="preserve">Empresas con ROE superior a 15%, bolsa libro entre 2 y 2,5 veces
Empresas con ROE entre 10 y 15%, bolsa libro entre 1 y 2
Empresas con ROE bajo 10%, Bolsa libro 1 o menor
</text>
  </threadedComment>
  <threadedComment ref="B122" dT="2022-06-19T22:24:44.98" personId="{6B1655D5-AB2E-44AB-A4FD-07AC1B03BF7A}" id="{92B66135-0926-470D-A889-30EEA5132E6D}">
    <text>Gastos de personal (menos)</text>
  </threadedComment>
  <threadedComment ref="B146" dT="2022-06-19T21:38:34.41" personId="{6B1655D5-AB2E-44AB-A4FD-07AC1B03BF7A}" id="{39459E67-F7C5-48CE-B72B-79D1590704AD}">
    <text>Flujos de efectivo neto de (utilizados en) actividades de operación</text>
  </threadedComment>
  <threadedComment ref="B152" dT="2022-06-19T21:20:18.76" personId="{6B1655D5-AB2E-44AB-A4FD-07AC1B03BF7A}" id="{30E23DDE-4C54-4074-85A0-AA0CB4900557}">
    <text>Incremento (disminución) neto de efectivo y equivalentes al efectivo</text>
  </threadedComment>
</ThreadedComments>
</file>

<file path=xl/threadedComments/threadedComment28.xml><?xml version="1.0" encoding="utf-8"?>
<ThreadedComments xmlns="http://schemas.microsoft.com/office/spreadsheetml/2018/threadedcomments" xmlns:x="http://schemas.openxmlformats.org/spreadsheetml/2006/main">
  <threadedComment ref="H12" dT="2023-05-03T12:37:17.05" personId="{6B1655D5-AB2E-44AB-A4FD-07AC1B03BF7A}" id="{19560040-D9D8-41A8-815F-87B9B8B2EEDE}">
    <text>Provisión dividendos</text>
  </threadedComment>
  <threadedComment ref="B23" dT="2023-02-12T19:37:39.02" personId="{6B1655D5-AB2E-44AB-A4FD-07AC1B03BF7A}" id="{93028581-374E-41DE-A534-A2357A3EB6E4}">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28440C4D-12BB-4EB1-A70A-CABCE42B0B76}">
    <text xml:space="preserve">Empresas con ROE superior a 15%, bolsa libro entre 2 y 2,5 veces
Empresas con ROE entre 10 y 15%, bolsa libro entre 1 y 2
Empresas con ROE bajo 10%, Bolsa libro 1 o menor
</text>
  </threadedComment>
  <threadedComment ref="B114" dT="2022-06-19T22:24:44.98" personId="{6B1655D5-AB2E-44AB-A4FD-07AC1B03BF7A}" id="{0E34C06F-FE93-4CA3-8BB9-36728C5B4C38}">
    <text>Gastos de personal (menos)</text>
  </threadedComment>
  <threadedComment ref="B134" dT="2022-06-19T21:38:34.41" personId="{6B1655D5-AB2E-44AB-A4FD-07AC1B03BF7A}" id="{E2F9A6A1-6152-460F-8FE4-547D854C1D8D}">
    <text>Flujos de efectivo neto de (utilizados en) actividades de operación</text>
  </threadedComment>
  <threadedComment ref="B140" dT="2022-06-19T21:20:18.76" personId="{6B1655D5-AB2E-44AB-A4FD-07AC1B03BF7A}" id="{A9A96EFB-66F8-421B-B4A8-5BD303D96ADB}">
    <text>Incremento (disminución) neto de efectivo y equivalentes al efectivo</text>
  </threadedComment>
</ThreadedComments>
</file>

<file path=xl/threadedComments/threadedComment29.xml><?xml version="1.0" encoding="utf-8"?>
<ThreadedComments xmlns="http://schemas.microsoft.com/office/spreadsheetml/2018/threadedcomments" xmlns:x="http://schemas.openxmlformats.org/spreadsheetml/2006/main">
  <threadedComment ref="B23" dT="2023-02-12T19:37:39.02" personId="{6B1655D5-AB2E-44AB-A4FD-07AC1B03BF7A}" id="{416F74DB-9831-4401-8568-ADD0E9564C8E}">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808B5C10-331F-4CA7-961A-B5100530C351}">
    <text xml:space="preserve">Empresas con ROE superior a 15%, bolsa libro entre 2 y 2,5 veces
Empresas con ROE entre 10 y 15%, bolsa libro entre 1 y 2
Empresas con ROE bajo 10%, Bolsa libro 1 o menor
</text>
  </threadedComment>
  <threadedComment ref="B114" dT="2022-06-19T22:24:44.98" personId="{6B1655D5-AB2E-44AB-A4FD-07AC1B03BF7A}" id="{FFE9866D-815C-4901-BC2C-62645698C486}">
    <text>Gastos de personal (menos)</text>
  </threadedComment>
  <threadedComment ref="B136" dT="2022-06-19T21:38:34.41" personId="{6B1655D5-AB2E-44AB-A4FD-07AC1B03BF7A}" id="{22A6AC5A-4EDA-4003-B596-F21E734C5927}">
    <text>Flujos de efectivo neto de (utilizados en) actividades de operación</text>
  </threadedComment>
  <threadedComment ref="B142" dT="2022-06-19T21:20:18.76" personId="{6B1655D5-AB2E-44AB-A4FD-07AC1B03BF7A}" id="{4515D5BD-F15F-4B8A-A9E2-8AB97BB06F41}">
    <text>Incremento (disminución) neto de efectivo y equivalentes al efectivo</text>
  </threadedComment>
</ThreadedComments>
</file>

<file path=xl/threadedComments/threadedComment30.xml><?xml version="1.0" encoding="utf-8"?>
<ThreadedComments xmlns="http://schemas.microsoft.com/office/spreadsheetml/2018/threadedcomments" xmlns:x="http://schemas.openxmlformats.org/spreadsheetml/2006/main">
  <threadedComment ref="H12" dT="2023-05-03T12:37:17.05" personId="{6B1655D5-AB2E-44AB-A4FD-07AC1B03BF7A}" id="{C7768F0C-5493-4250-A23B-AD7AF755E7A5}">
    <text>Provisión dividendos</text>
  </threadedComment>
  <threadedComment ref="B23" dT="2023-02-12T19:37:39.02" personId="{6B1655D5-AB2E-44AB-A4FD-07AC1B03BF7A}" id="{6A8EFB23-7695-4698-A8F7-81BC3E8EF6F4}">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63048600-0898-40F1-9270-B0F5BDF81BE1}">
    <text xml:space="preserve">Empresas con ROE superior a 15%, bolsa libro entre 2 y 2,5 veces
Empresas con ROE entre 10 y 15%, bolsa libro entre 1 y 2
Empresas con ROE bajo 10%, Bolsa libro 1 o menor
</text>
  </threadedComment>
  <threadedComment ref="B113" dT="2022-06-19T22:24:44.98" personId="{6B1655D5-AB2E-44AB-A4FD-07AC1B03BF7A}" id="{78D60A72-7718-497C-9E27-60970BB3F877}">
    <text>Gastos de personal (menos)</text>
  </threadedComment>
  <threadedComment ref="B135" dT="2022-06-19T21:38:34.41" personId="{6B1655D5-AB2E-44AB-A4FD-07AC1B03BF7A}" id="{B12AED99-A364-42ED-AFD6-FF24F14CCF7C}">
    <text>Flujos de efectivo neto de (utilizados en) actividades de operación</text>
  </threadedComment>
  <threadedComment ref="B141" dT="2022-06-19T21:20:18.76" personId="{6B1655D5-AB2E-44AB-A4FD-07AC1B03BF7A}" id="{2985BEB9-2E5F-4BF8-971D-1107FF4D7583}">
    <text>Incremento (disminución) neto de efectivo y equivalentes al efectivo</text>
  </threadedComment>
</ThreadedComments>
</file>

<file path=xl/threadedComments/threadedComment31.xml><?xml version="1.0" encoding="utf-8"?>
<ThreadedComments xmlns="http://schemas.microsoft.com/office/spreadsheetml/2018/threadedcomments" xmlns:x="http://schemas.openxmlformats.org/spreadsheetml/2006/main">
  <threadedComment ref="G6" dT="2024-05-08T02:01:15.01" personId="{8377039C-155F-42D4-B2FC-2CB908B71205}" id="{3FDCED88-4129-43E7-883F-29D4DBD6D38C}">
    <text>División sociedad Gasco - Gascoinv</text>
  </threadedComment>
  <threadedComment ref="H12" dT="2023-05-03T12:37:17.05" personId="{6B1655D5-AB2E-44AB-A4FD-07AC1B03BF7A}" id="{F3611697-89A8-4D5C-A36B-FC258AC6F4AA}">
    <text>Provisión dividendos</text>
  </threadedComment>
  <threadedComment ref="B23" dT="2023-02-12T19:37:39.02" personId="{6B1655D5-AB2E-44AB-A4FD-07AC1B03BF7A}" id="{0DEA93FF-8B3A-4648-A640-22F899BC0229}">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1644B17E-3007-4A1F-B26A-4DD07716F52D}">
    <text xml:space="preserve">Empresas con ROE superior a 15%, bolsa libro entre 2 y 2,5 veces
Empresas con ROE entre 10 y 15%, bolsa libro entre 1 y 2
Empresas con ROE bajo 10%, Bolsa libro 1 o menor
</text>
  </threadedComment>
  <threadedComment ref="B120" dT="2022-06-19T22:24:44.98" personId="{6B1655D5-AB2E-44AB-A4FD-07AC1B03BF7A}" id="{224391B3-60E5-493A-B2A5-8F90C4A4D217}">
    <text>Gastos de personal (menos)</text>
  </threadedComment>
  <threadedComment ref="B142" dT="2022-06-19T21:38:34.41" personId="{6B1655D5-AB2E-44AB-A4FD-07AC1B03BF7A}" id="{A10057D0-9BD8-460D-817F-1F5832BF58F1}">
    <text>Flujos de efectivo neto de (utilizados en) actividades de operación</text>
  </threadedComment>
  <threadedComment ref="B148" dT="2022-06-19T21:20:18.76" personId="{6B1655D5-AB2E-44AB-A4FD-07AC1B03BF7A}" id="{9087030E-28BA-4C65-8E80-5BB6DE64623E}">
    <text>Incremento (disminución) neto de efectivo y equivalentes al efectivo</text>
  </threadedComment>
</ThreadedComments>
</file>

<file path=xl/threadedComments/threadedComment32.xml><?xml version="1.0" encoding="utf-8"?>
<ThreadedComments xmlns="http://schemas.microsoft.com/office/spreadsheetml/2018/threadedcomments" xmlns:x="http://schemas.openxmlformats.org/spreadsheetml/2006/main">
  <threadedComment ref="G6" dT="2023-02-05T00:56:10.13" personId="{6B1655D5-AB2E-44AB-A4FD-07AC1B03BF7A}" id="{8A676AB4-5A5A-4716-9E8C-CEC5B0483C5E}">
    <text>SPIN-OFF (AAISA)</text>
  </threadedComment>
  <threadedComment ref="B28" dT="2023-02-12T19:37:39.02" personId="{6B1655D5-AB2E-44AB-A4FD-07AC1B03BF7A}" id="{663121E2-AA88-4D47-94CC-A46C65E12CF0}">
    <text xml:space="preserve">Empresas con ROE superior a 15%, bolsa libro entre 2 y 2,5 veces
Empresas con ROE entre 10 y 15%, bolsa libro entre 1 y 2
Empresas con ROE bajo 10%, Bolsa libro 1 o menor
</text>
  </threadedComment>
  <threadedComment ref="B29" dT="2023-02-12T19:40:01.84" personId="{6B1655D5-AB2E-44AB-A4FD-07AC1B03BF7A}" id="{FA617C79-789E-4C11-87A1-F48A84954CC3}">
    <text xml:space="preserve">Empresas con ROE superior a 15%, bolsa libro entre 2 y 2,5 veces
Empresas con ROE entre 10 y 15%, bolsa libro entre 1 y 2
Empresas con ROE bajo 10%, Bolsa libro 1 o menor
</text>
  </threadedComment>
  <threadedComment ref="B112" dT="2022-06-19T22:24:44.98" personId="{6B1655D5-AB2E-44AB-A4FD-07AC1B03BF7A}" id="{9682E77B-FFF5-4325-A4ED-04629AADA925}">
    <text>Gastos de personal (menos)</text>
  </threadedComment>
  <threadedComment ref="B115" dT="2022-06-19T22:26:16.50" personId="{6B1655D5-AB2E-44AB-A4FD-07AC1B03BF7A}" id="{D8E4CD6C-0634-47A9-9D62-6A0F37C445CB}">
    <text>Otros gastos varios de operación (menos)</text>
  </threadedComment>
  <threadedComment ref="B118" dT="2022-06-19T22:28:47.56" personId="{6B1655D5-AB2E-44AB-A4FD-07AC1B03BF7A}" id="{2AC72F1D-87AA-4F5B-A76C-10C8BFD9A22D}">
    <text>Ganancia (pérdida) procedente de inversiones</text>
  </threadedComment>
  <threadedComment ref="G130" dT="2022-06-19T21:41:08.62" personId="{6B1655D5-AB2E-44AB-A4FD-07AC1B03BF7A}" id="{9247FD25-4CD7-4FE1-BD10-F26D1E843C44}">
    <text>RESULTADOS INDIVIDUALES</text>
  </threadedComment>
  <threadedComment ref="B131" dT="2022-06-19T21:38:34.41" personId="{6B1655D5-AB2E-44AB-A4FD-07AC1B03BF7A}" id="{8EC3CA95-8DFE-4784-A1EE-6CB96E1B67FB}">
    <text>Flujos de efectivo neto de (utilizados en) actividades de operación</text>
  </threadedComment>
  <threadedComment ref="B137" dT="2022-06-19T21:20:18.76" personId="{6B1655D5-AB2E-44AB-A4FD-07AC1B03BF7A}" id="{8AF8052A-D2C9-4C4F-90FC-773637698F07}">
    <text>Incremento (disminución) neto de efectivo y equivalentes al efectivo</text>
  </threadedComment>
</ThreadedComments>
</file>

<file path=xl/threadedComments/threadedComment33.xml><?xml version="1.0" encoding="utf-8"?>
<ThreadedComments xmlns="http://schemas.microsoft.com/office/spreadsheetml/2018/threadedcomments" xmlns:x="http://schemas.openxmlformats.org/spreadsheetml/2006/main">
  <threadedComment ref="B23" dT="2023-02-12T19:37:39.02" personId="{6B1655D5-AB2E-44AB-A4FD-07AC1B03BF7A}" id="{F0F1E65D-A723-457D-8A21-E91F113DA75F}">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1DE31A38-D109-468B-A7C3-F21C297D50D2}">
    <text xml:space="preserve">Empresas con ROE superior a 15%, bolsa libro entre 2 y 2,5 veces
Empresas con ROE entre 10 y 15%, bolsa libro entre 1 y 2
Empresas con ROE bajo 10%, Bolsa libro 1 o menor
</text>
  </threadedComment>
  <threadedComment ref="B114" dT="2022-06-19T22:24:44.98" personId="{6B1655D5-AB2E-44AB-A4FD-07AC1B03BF7A}" id="{C9A6B77F-A72C-4A3A-B19A-58D7B4EB8285}">
    <text>Gastos de personal (menos)</text>
  </threadedComment>
  <threadedComment ref="B136" dT="2022-06-19T21:38:34.41" personId="{6B1655D5-AB2E-44AB-A4FD-07AC1B03BF7A}" id="{0CCEBFEA-0312-43B0-89E9-87E344434BAF}">
    <text>Flujos de efectivo neto de (utilizados en) actividades de operación</text>
  </threadedComment>
  <threadedComment ref="B142" dT="2022-06-19T21:20:18.76" personId="{6B1655D5-AB2E-44AB-A4FD-07AC1B03BF7A}" id="{F2BD8778-206D-4E5B-9408-0346387555A3}">
    <text>Incremento (disminución) neto de efectivo y equivalentes al efectivo</text>
  </threadedComment>
</ThreadedComments>
</file>

<file path=xl/threadedComments/threadedComment34.xml><?xml version="1.0" encoding="utf-8"?>
<ThreadedComments xmlns="http://schemas.microsoft.com/office/spreadsheetml/2018/threadedcomments" xmlns:x="http://schemas.openxmlformats.org/spreadsheetml/2006/main">
  <threadedComment ref="H13" dT="2023-05-03T12:37:17.05" personId="{6B1655D5-AB2E-44AB-A4FD-07AC1B03BF7A}" id="{6E434CF9-8980-42FA-BFB1-EC9B5B36E56D}">
    <text>Provisión dividendos</text>
  </threadedComment>
  <threadedComment ref="B25" dT="2023-02-12T19:37:39.02" personId="{6B1655D5-AB2E-44AB-A4FD-07AC1B03BF7A}" id="{E5FDAD60-E413-4A2B-8AF8-DBA60E8BA3FA}">
    <text xml:space="preserve">Empresas con ROE superior a 15%, bolsa libro entre 2 y 2,5 veces
Empresas con ROE entre 10 y 15%, bolsa libro entre 1 y 2
Empresas con ROE bajo 10%, Bolsa libro 1 o menor
</text>
  </threadedComment>
  <threadedComment ref="B26" dT="2023-02-12T19:40:01.84" personId="{6B1655D5-AB2E-44AB-A4FD-07AC1B03BF7A}" id="{489579A5-48B4-4DF1-BCCF-AA981F109C9E}">
    <text xml:space="preserve">Empresas con ROE superior a 15%, bolsa libro entre 2 y 2,5 veces
Empresas con ROE entre 10 y 15%, bolsa libro entre 1 y 2
Empresas con ROE bajo 10%, Bolsa libro 1 o menor
</text>
  </threadedComment>
  <threadedComment ref="B114" dT="2022-06-19T22:24:44.98" personId="{6B1655D5-AB2E-44AB-A4FD-07AC1B03BF7A}" id="{D620EE5F-E309-4EE7-931F-002225CB4A52}">
    <text>Gastos de personal (menos)</text>
  </threadedComment>
  <threadedComment ref="B135" dT="2022-06-19T21:38:34.41" personId="{6B1655D5-AB2E-44AB-A4FD-07AC1B03BF7A}" id="{7D426B9D-D07A-4760-A1D9-B89C1B23F3D0}">
    <text>Flujos de efectivo neto de (utilizados en) actividades de operación</text>
  </threadedComment>
  <threadedComment ref="B141" dT="2022-06-19T21:20:18.76" personId="{6B1655D5-AB2E-44AB-A4FD-07AC1B03BF7A}" id="{225266DF-7A71-459B-9D3A-B5B7FB49AA64}">
    <text>Incremento (disminución) neto de efectivo y equivalentes al efectivo</text>
  </threadedComment>
</ThreadedComments>
</file>

<file path=xl/threadedComments/threadedComment35.xml><?xml version="1.0" encoding="utf-8"?>
<ThreadedComments xmlns="http://schemas.microsoft.com/office/spreadsheetml/2018/threadedcomments" xmlns:x="http://schemas.openxmlformats.org/spreadsheetml/2006/main">
  <threadedComment ref="H12" dT="2023-05-03T12:37:17.05" personId="{6B1655D5-AB2E-44AB-A4FD-07AC1B03BF7A}" id="{8CC86FD6-D473-4057-8817-6A984A564C16}">
    <text>Provisión dividendos</text>
  </threadedComment>
  <threadedComment ref="B25" dT="2023-02-12T19:37:39.02" personId="{6B1655D5-AB2E-44AB-A4FD-07AC1B03BF7A}" id="{D8114B5D-21BD-46AD-876F-06F22E4623FC}">
    <text xml:space="preserve">Empresas con ROE superior a 15%, bolsa libro entre 2 y 2,5 veces
Empresas con ROE entre 10 y 15%, bolsa libro entre 1 y 2
Empresas con ROE bajo 10%, Bolsa libro 1 o menor
</text>
  </threadedComment>
  <threadedComment ref="B26" dT="2023-02-12T19:40:01.84" personId="{6B1655D5-AB2E-44AB-A4FD-07AC1B03BF7A}" id="{C0C5534C-68FA-41D9-B6E2-88CD1541C2E8}">
    <text xml:space="preserve">Empresas con ROE superior a 15%, bolsa libro entre 2 y 2,5 veces
Empresas con ROE entre 10 y 15%, bolsa libro entre 1 y 2
Empresas con ROE bajo 10%, Bolsa libro 1 o menor
</text>
  </threadedComment>
  <threadedComment ref="B128" dT="2022-06-19T22:24:44.98" personId="{6B1655D5-AB2E-44AB-A4FD-07AC1B03BF7A}" id="{EB8BB3B6-04CD-41D4-9A40-16D5281C43C0}">
    <text>Gastos de personal (menos)</text>
  </threadedComment>
  <threadedComment ref="B151" dT="2022-06-19T21:38:34.41" personId="{6B1655D5-AB2E-44AB-A4FD-07AC1B03BF7A}" id="{94674DBD-099B-4CDE-B33E-EC55E775B75C}">
    <text>Flujos de efectivo neto de (utilizados en) actividades de operación</text>
  </threadedComment>
  <threadedComment ref="B157" dT="2022-06-19T21:20:18.76" personId="{6B1655D5-AB2E-44AB-A4FD-07AC1B03BF7A}" id="{21721255-A201-4EA0-9807-73053D4295DC}">
    <text>Incremento (disminución) neto de efectivo y equivalentes al efectivo</text>
  </threadedComment>
</ThreadedComments>
</file>

<file path=xl/threadedComments/threadedComment36.xml><?xml version="1.0" encoding="utf-8"?>
<ThreadedComments xmlns="http://schemas.microsoft.com/office/spreadsheetml/2018/threadedcomments" xmlns:x="http://schemas.openxmlformats.org/spreadsheetml/2006/main">
  <threadedComment ref="H12" dT="2023-05-03T12:37:17.05" personId="{6B1655D5-AB2E-44AB-A4FD-07AC1B03BF7A}" id="{DE38EB8B-E4B2-4AB9-A601-509D4AEE4D93}">
    <text>Provisión dividendos</text>
  </threadedComment>
  <threadedComment ref="B23" dT="2023-02-12T19:37:39.02" personId="{6B1655D5-AB2E-44AB-A4FD-07AC1B03BF7A}" id="{39860721-F47D-46D0-928C-2ED366CE7099}">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B373A1A9-4223-45C6-BE03-0636EADCBB6D}">
    <text xml:space="preserve">Empresas con ROE superior a 15%, bolsa libro entre 2 y 2,5 veces
Empresas con ROE entre 10 y 15%, bolsa libro entre 1 y 2
Empresas con ROE bajo 10%, Bolsa libro 1 o menor
</text>
  </threadedComment>
  <threadedComment ref="B120" dT="2022-06-19T22:24:44.98" personId="{6B1655D5-AB2E-44AB-A4FD-07AC1B03BF7A}" id="{F084EA5D-1ED0-40DE-9926-CE057C924720}">
    <text>Gastos de personal (menos)</text>
  </threadedComment>
  <threadedComment ref="B142" dT="2022-06-19T21:38:34.41" personId="{6B1655D5-AB2E-44AB-A4FD-07AC1B03BF7A}" id="{58635633-F4E1-4D1F-804D-9BA243DE21DB}">
    <text>Flujos de efectivo neto de (utilizados en) actividades de operación</text>
  </threadedComment>
  <threadedComment ref="B148" dT="2022-06-19T21:20:18.76" personId="{6B1655D5-AB2E-44AB-A4FD-07AC1B03BF7A}" id="{86738D06-2DA4-4E4D-BD17-2AF4B86E1150}">
    <text>Incremento (disminución) neto de efectivo y equivalentes al efectivo</text>
  </threadedComment>
</ThreadedComments>
</file>

<file path=xl/threadedComments/threadedComment37.xml><?xml version="1.0" encoding="utf-8"?>
<ThreadedComments xmlns="http://schemas.microsoft.com/office/spreadsheetml/2018/threadedcomments" xmlns:x="http://schemas.openxmlformats.org/spreadsheetml/2006/main">
  <threadedComment ref="H12" dT="2023-05-03T12:37:17.05" personId="{6B1655D5-AB2E-44AB-A4FD-07AC1B03BF7A}" id="{EF1A0458-7F59-4119-AB57-8AD3351FF161}">
    <text>Provisión dividendos</text>
  </threadedComment>
  <threadedComment ref="C19" dT="2024-02-12T20:31:57.33" personId="{8377039C-155F-42D4-B2FC-2CB908B71205}" id="{A1BEB5F1-CA62-4EFD-B734-AF7B37BF990D}">
    <text>ESTIMADO</text>
  </threadedComment>
  <threadedComment ref="B23" dT="2023-02-12T19:37:39.02" personId="{6B1655D5-AB2E-44AB-A4FD-07AC1B03BF7A}" id="{7AD0F2A7-BE3D-4651-ACFA-D054FADF6127}">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ACB31FE2-F01B-4FBB-ADED-7CB2C3180836}">
    <text xml:space="preserve">Empresas con ROE superior a 15%, bolsa libro entre 2 y 2,5 veces
Empresas con ROE entre 10 y 15%, bolsa libro entre 1 y 2
Empresas con ROE bajo 10%, Bolsa libro 1 o menor
</text>
  </threadedComment>
  <threadedComment ref="B114" dT="2022-06-19T22:24:44.98" personId="{6B1655D5-AB2E-44AB-A4FD-07AC1B03BF7A}" id="{AACEB8A4-0BAD-418A-B7D9-A7B596EFBAFC}">
    <text>Gastos de personal (menos)</text>
  </threadedComment>
  <threadedComment ref="B135" dT="2022-06-19T21:38:34.41" personId="{6B1655D5-AB2E-44AB-A4FD-07AC1B03BF7A}" id="{FEA9C572-DA5B-4169-9B01-E8BF0F7D175D}">
    <text>Flujos de efectivo neto de (utilizados en) actividades de operación</text>
  </threadedComment>
  <threadedComment ref="B141" dT="2022-06-19T21:20:18.76" personId="{6B1655D5-AB2E-44AB-A4FD-07AC1B03BF7A}" id="{3A81A629-33AC-47C5-B21F-DA5FE8B42E92}">
    <text>Incremento (disminución) neto de efectivo y equivalentes al efectivo</text>
  </threadedComment>
</ThreadedComments>
</file>

<file path=xl/threadedComments/threadedComment38.xml><?xml version="1.0" encoding="utf-8"?>
<ThreadedComments xmlns="http://schemas.microsoft.com/office/spreadsheetml/2018/threadedcomments" xmlns:x="http://schemas.openxmlformats.org/spreadsheetml/2006/main">
  <threadedComment ref="H13" dT="2023-05-03T12:37:17.05" personId="{6B1655D5-AB2E-44AB-A4FD-07AC1B03BF7A}" id="{05099F9F-827F-4AC3-9E38-BB8224B08DE8}">
    <text>Provisión dividendos</text>
  </threadedComment>
  <threadedComment ref="B25" dT="2023-02-12T19:37:39.02" personId="{6B1655D5-AB2E-44AB-A4FD-07AC1B03BF7A}" id="{DABF9797-CBFA-4EFE-86ED-AA0F85E504CD}">
    <text xml:space="preserve">Empresas con ROE superior a 15%, bolsa libro entre 2 y 2,5 veces
Empresas con ROE entre 10 y 15%, bolsa libro entre 1 y 2
Empresas con ROE bajo 10%, Bolsa libro 1 o menor
</text>
  </threadedComment>
  <threadedComment ref="B26" dT="2023-02-12T19:40:01.84" personId="{6B1655D5-AB2E-44AB-A4FD-07AC1B03BF7A}" id="{A0D4AA93-9021-41F8-89DE-34466EC28F5E}">
    <text xml:space="preserve">Empresas con ROE superior a 15%, bolsa libro entre 2 y 2,5 veces
Empresas con ROE entre 10 y 15%, bolsa libro entre 1 y 2
Empresas con ROE bajo 10%, Bolsa libro 1 o menor
</text>
  </threadedComment>
  <threadedComment ref="B117" dT="2022-06-19T22:24:44.98" personId="{6B1655D5-AB2E-44AB-A4FD-07AC1B03BF7A}" id="{EFA03637-FC94-4E96-86CE-472CC2F0DB27}">
    <text>Gastos de personal (menos)</text>
  </threadedComment>
  <threadedComment ref="B138" dT="2022-06-19T21:38:34.41" personId="{6B1655D5-AB2E-44AB-A4FD-07AC1B03BF7A}" id="{1A9491E9-9F92-4C6F-BDEA-2C67F4AB00DA}">
    <text>Flujos de efectivo neto de (utilizados en) actividades de operación</text>
  </threadedComment>
  <threadedComment ref="B144" dT="2022-06-19T21:20:18.76" personId="{6B1655D5-AB2E-44AB-A4FD-07AC1B03BF7A}" id="{6DEC8EFB-CCDA-47CE-9F79-8612F6872C25}">
    <text>Incremento (disminución) neto de efectivo y equivalentes al efectivo</text>
  </threadedComment>
</ThreadedComments>
</file>

<file path=xl/threadedComments/threadedComment39.xml><?xml version="1.0" encoding="utf-8"?>
<ThreadedComments xmlns="http://schemas.microsoft.com/office/spreadsheetml/2018/threadedcomments" xmlns:x="http://schemas.openxmlformats.org/spreadsheetml/2006/main">
  <threadedComment ref="H13" dT="2023-05-03T12:37:17.05" personId="{6B1655D5-AB2E-44AB-A4FD-07AC1B03BF7A}" id="{B15A6887-F45C-4418-9E33-BD49D3A3F710}">
    <text>Provisión dividendos</text>
  </threadedComment>
  <threadedComment ref="B25" dT="2023-02-12T19:37:39.02" personId="{6B1655D5-AB2E-44AB-A4FD-07AC1B03BF7A}" id="{B605E010-F393-4A0D-BAE0-85ADAB217507}">
    <text xml:space="preserve">Empresas con ROE superior a 15%, bolsa libro entre 2 y 2,5 veces
Empresas con ROE entre 10 y 15%, bolsa libro entre 1 y 2
Empresas con ROE bajo 10%, Bolsa libro 1 o menor
</text>
  </threadedComment>
  <threadedComment ref="B26" dT="2023-02-12T19:40:01.84" personId="{6B1655D5-AB2E-44AB-A4FD-07AC1B03BF7A}" id="{957428C5-6CAE-49B9-AEF9-D0E7D4C3EB8A}">
    <text xml:space="preserve">Empresas con ROE superior a 15%, bolsa libro entre 2 y 2,5 veces
Empresas con ROE entre 10 y 15%, bolsa libro entre 1 y 2
Empresas con ROE bajo 10%, Bolsa libro 1 o menor
</text>
  </threadedComment>
  <threadedComment ref="B117" dT="2022-06-19T22:24:44.98" personId="{6B1655D5-AB2E-44AB-A4FD-07AC1B03BF7A}" id="{D6DEDD37-CD06-4EF2-8E2E-A1F2E0EA3780}">
    <text>Gastos de personal (menos)</text>
  </threadedComment>
  <threadedComment ref="B138" dT="2022-06-19T21:38:34.41" personId="{6B1655D5-AB2E-44AB-A4FD-07AC1B03BF7A}" id="{1FA4227E-2E18-4D15-8634-9A1A46451A89}">
    <text>Flujos de efectivo neto de (utilizados en) actividades de operación</text>
  </threadedComment>
  <threadedComment ref="B144" dT="2022-06-19T21:20:18.76" personId="{6B1655D5-AB2E-44AB-A4FD-07AC1B03BF7A}" id="{A19B7E35-3E99-466B-A7C5-D9345FECEC73}">
    <text>Incremento (disminución) neto de efectivo y equivalentes al efectivo</text>
  </threadedComment>
</ThreadedComments>
</file>

<file path=xl/threadedComments/threadedComment40.xml><?xml version="1.0" encoding="utf-8"?>
<ThreadedComments xmlns="http://schemas.microsoft.com/office/spreadsheetml/2018/threadedcomments" xmlns:x="http://schemas.openxmlformats.org/spreadsheetml/2006/main">
  <threadedComment ref="B24" dT="2023-02-12T19:37:39.02" personId="{6B1655D5-AB2E-44AB-A4FD-07AC1B03BF7A}" id="{E1C8FC46-CA1B-47B2-AF06-9CF492F90332}">
    <text xml:space="preserve">Empresas con ROE superior a 15%, bolsa libro entre 2 y 2,5 veces
Empresas con ROE entre 10 y 15%, bolsa libro entre 1 y 2
Empresas con ROE bajo 10%, Bolsa libro 1 o menor
</text>
  </threadedComment>
  <threadedComment ref="B25" dT="2023-02-12T19:40:01.84" personId="{6B1655D5-AB2E-44AB-A4FD-07AC1B03BF7A}" id="{98848B67-99B6-4436-8CBA-484469587783}">
    <text xml:space="preserve">Empresas con ROE superior a 15%, bolsa libro entre 2 y 2,5 veces
Empresas con ROE entre 10 y 15%, bolsa libro entre 1 y 2
Empresas con ROE bajo 10%, Bolsa libro 1 o menor
</text>
  </threadedComment>
  <threadedComment ref="C81" dT="2023-12-07T18:37:19.01" personId="{8377039C-155F-42D4-B2FC-2CB908B71205}" id="{75B2DFEB-E7BB-4612-A233-FA9857BF3101}">
    <text>Más cuentas por cobrar (sólo año 2017)</text>
  </threadedComment>
  <threadedComment ref="C104" dT="2023-12-07T18:55:45.61" personId="{8377039C-155F-42D4-B2FC-2CB908B71205}" id="{C2D80D27-9BB0-4329-ABDB-418331C490D8}">
    <text>Cuentas por pagar a entidades relacionadas</text>
  </threadedComment>
  <threadedComment ref="D104" dT="2023-12-07T18:55:42.12" personId="{8377039C-155F-42D4-B2FC-2CB908B71205}" id="{C5E301A2-2C1C-45B6-85FC-9E9A82F9DA16}">
    <text>Cuentas por pagar a entidades relacionadas</text>
  </threadedComment>
  <threadedComment ref="B123" dT="2022-06-19T22:24:44.98" personId="{6B1655D5-AB2E-44AB-A4FD-07AC1B03BF7A}" id="{3B2D3D48-ADD1-4BDD-AEC8-A2FE4C17A8F4}">
    <text>Gastos de personal (menos)</text>
  </threadedComment>
  <threadedComment ref="H129" dT="2023-12-07T19:05:52.61" personId="{8377039C-155F-42D4-B2FC-2CB908B71205}" id="{7470B7DF-1233-422B-8210-A7362EA9EEA2}">
    <text>MULTA</text>
  </threadedComment>
  <threadedComment ref="G145" dT="2022-06-19T21:41:08.62" personId="{6B1655D5-AB2E-44AB-A4FD-07AC1B03BF7A}" id="{6B5E65C1-AE31-41DA-BA75-F2DE9380A826}">
    <text>RESULTADOS INDIVIDUALES</text>
  </threadedComment>
  <threadedComment ref="B146" dT="2022-06-19T21:38:34.41" personId="{6B1655D5-AB2E-44AB-A4FD-07AC1B03BF7A}" id="{9FC07717-4D17-482F-99EA-B4B9F2A0552A}">
    <text>Flujos de efectivo neto de (utilizados en) actividades de operación</text>
  </threadedComment>
  <threadedComment ref="B153" dT="2022-06-19T21:20:18.76" personId="{6B1655D5-AB2E-44AB-A4FD-07AC1B03BF7A}" id="{A494F323-C8E8-49C1-992F-8B57D23B1723}">
    <text>Incremento (disminución) neto de efectivo y equivalentes al efectivo</text>
  </threadedComment>
</ThreadedComments>
</file>

<file path=xl/threadedComments/threadedComment41.xml><?xml version="1.0" encoding="utf-8"?>
<ThreadedComments xmlns="http://schemas.microsoft.com/office/spreadsheetml/2018/threadedcomments" xmlns:x="http://schemas.openxmlformats.org/spreadsheetml/2006/main">
  <threadedComment ref="H12" dT="2023-05-03T12:37:17.05" personId="{6B1655D5-AB2E-44AB-A4FD-07AC1B03BF7A}" id="{2FDA5142-8B07-41BB-9BF5-EAB469CD81F9}">
    <text>Provisión dividendos</text>
  </threadedComment>
  <threadedComment ref="B23" dT="2023-02-12T19:37:39.02" personId="{6B1655D5-AB2E-44AB-A4FD-07AC1B03BF7A}" id="{1AD561A9-AC06-496D-BAB4-DD3B7E41B0BD}">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4AA6D09C-5E6A-4BFF-90C1-BD6D2EA95802}">
    <text xml:space="preserve">Empresas con ROE superior a 15%, bolsa libro entre 2 y 2,5 veces
Empresas con ROE entre 10 y 15%, bolsa libro entre 1 y 2
Empresas con ROE bajo 10%, Bolsa libro 1 o menor
</text>
  </threadedComment>
  <threadedComment ref="B122" dT="2022-06-19T22:24:44.98" personId="{6B1655D5-AB2E-44AB-A4FD-07AC1B03BF7A}" id="{DF543FCF-347E-4ADB-8F2D-7CEA4F908F04}">
    <text>Gastos de personal (menos)</text>
  </threadedComment>
  <threadedComment ref="B143" dT="2022-06-19T21:38:34.41" personId="{6B1655D5-AB2E-44AB-A4FD-07AC1B03BF7A}" id="{05BFEBED-D9B2-4378-806F-A8590707B7E6}">
    <text>Flujos de efectivo neto de (utilizados en) actividades de operación</text>
  </threadedComment>
  <threadedComment ref="B148" dT="2024-09-17T19:59:51.81" personId="{8377039C-155F-42D4-B2FC-2CB908B71205}" id="{7D413E12-3850-4756-9280-70E44F6D62A3}">
    <text>Intereses se encuentran en el Flujo Operativo</text>
  </threadedComment>
</ThreadedComments>
</file>

<file path=xl/threadedComments/threadedComment42.xml><?xml version="1.0" encoding="utf-8"?>
<ThreadedComments xmlns="http://schemas.microsoft.com/office/spreadsheetml/2018/threadedcomments" xmlns:x="http://schemas.openxmlformats.org/spreadsheetml/2006/main">
  <threadedComment ref="B24" dT="2023-02-12T19:37:39.02" personId="{6B1655D5-AB2E-44AB-A4FD-07AC1B03BF7A}" id="{B8A6EE32-6D9C-45EB-8832-A898F79C1DD4}">
    <text xml:space="preserve">Empresas con ROE superior a 15%, bolsa libro entre 2 y 2,5 veces
Empresas con ROE entre 10 y 15%, bolsa libro entre 1 y 2
Empresas con ROE bajo 10%, Bolsa libro 1 o menor
</text>
  </threadedComment>
  <threadedComment ref="B25" dT="2023-02-12T19:40:01.84" personId="{6B1655D5-AB2E-44AB-A4FD-07AC1B03BF7A}" id="{A99CFDCD-3151-4B0C-B26F-D4DB2D9F4B9B}">
    <text xml:space="preserve">Empresas con ROE superior a 15%, bolsa libro entre 2 y 2,5 veces
Empresas con ROE entre 10 y 15%, bolsa libro entre 1 y 2
Empresas con ROE bajo 10%, Bolsa libro 1 o menor
</text>
  </threadedComment>
  <threadedComment ref="B115" dT="2022-06-19T22:24:44.98" personId="{6B1655D5-AB2E-44AB-A4FD-07AC1B03BF7A}" id="{BD7A5B7C-9011-4A92-A27B-EA669FBEAAA8}">
    <text>Gastos de personal (menos)</text>
  </threadedComment>
  <threadedComment ref="B137" dT="2022-06-19T21:38:34.41" personId="{6B1655D5-AB2E-44AB-A4FD-07AC1B03BF7A}" id="{268827DF-DF14-4CB3-8238-755E74FD4579}">
    <text>Flujos de efectivo neto de (utilizados en) actividades de operación</text>
  </threadedComment>
  <threadedComment ref="B142" dT="2024-09-17T19:37:32.34" personId="{8377039C-155F-42D4-B2FC-2CB908B71205}" id="{07618473-8681-4D5F-BCA2-D8EF430CB7CE}">
    <text>Intereses de Oxiquim incluidos en el Flujo Operativo</text>
  </threadedComment>
  <threadedComment ref="B143" dT="2022-06-19T21:20:18.76" personId="{6B1655D5-AB2E-44AB-A4FD-07AC1B03BF7A}" id="{C187DBD6-A825-463F-B737-788D3D620859}">
    <text>Incremento (disminución) neto de efectivo y equivalentes al efectivo</text>
  </threadedComment>
</ThreadedComments>
</file>

<file path=xl/threadedComments/threadedComment43.xml><?xml version="1.0" encoding="utf-8"?>
<ThreadedComments xmlns="http://schemas.microsoft.com/office/spreadsheetml/2018/threadedcomments" xmlns:x="http://schemas.openxmlformats.org/spreadsheetml/2006/main">
  <threadedComment ref="H12" dT="2023-05-03T12:37:17.05" personId="{6B1655D5-AB2E-44AB-A4FD-07AC1B03BF7A}" id="{A956C690-0457-46EC-85A1-31AFAEC16984}">
    <text>Provisión dividendos</text>
  </threadedComment>
  <threadedComment ref="B23" dT="2023-02-12T19:37:39.02" personId="{6B1655D5-AB2E-44AB-A4FD-07AC1B03BF7A}" id="{706D0ABD-D0A6-46DA-95E4-5CCDC55DDD9B}">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D71903F8-5086-46A5-A64D-68B689519B55}">
    <text xml:space="preserve">Empresas con ROE superior a 15%, bolsa libro entre 2 y 2,5 veces
Empresas con ROE entre 10 y 15%, bolsa libro entre 1 y 2
Empresas con ROE bajo 10%, Bolsa libro 1 o menor
</text>
  </threadedComment>
</ThreadedComments>
</file>

<file path=xl/threadedComments/threadedComment44.xml><?xml version="1.0" encoding="utf-8"?>
<ThreadedComments xmlns="http://schemas.microsoft.com/office/spreadsheetml/2018/threadedcomments" xmlns:x="http://schemas.openxmlformats.org/spreadsheetml/2006/main">
  <threadedComment ref="B23" dT="2023-02-12T19:37:39.02" personId="{6B1655D5-AB2E-44AB-A4FD-07AC1B03BF7A}" id="{0B150D3B-9EFB-47D4-BBF3-968F895B78BA}">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D42808FE-6D75-432F-8FFF-4A0B92AB3017}">
    <text xml:space="preserve">Empresas con ROE superior a 15%, bolsa libro entre 2 y 2,5 veces
Empresas con ROE entre 10 y 15%, bolsa libro entre 1 y 2
Empresas con ROE bajo 10%, Bolsa libro 1 o menor
</text>
  </threadedComment>
  <threadedComment ref="C73" dT="2023-03-14T20:30:12.12" personId="{6B1655D5-AB2E-44AB-A4FD-07AC1B03BF7A}" id="{ED64BEA1-278E-4A75-A189-0B003F234473}">
    <text>Activo por impuestos corrientes</text>
  </threadedComment>
  <threadedComment ref="B107" dT="2022-06-19T22:24:44.98" personId="{6B1655D5-AB2E-44AB-A4FD-07AC1B03BF7A}" id="{52834CD8-7FC7-4C66-9E9D-9571F9B85F0E}">
    <text>Gastos de personal (menos)</text>
  </threadedComment>
  <threadedComment ref="B129" dT="2022-06-19T21:38:34.41" personId="{6B1655D5-AB2E-44AB-A4FD-07AC1B03BF7A}" id="{AFCC5821-1A1D-46D2-BF0A-6F41EB8B175F}">
    <text>Flujos de efectivo neto de (utilizados en) actividades de operación</text>
  </threadedComment>
  <threadedComment ref="B135" dT="2022-06-19T21:20:18.76" personId="{6B1655D5-AB2E-44AB-A4FD-07AC1B03BF7A}" id="{85BCFD73-D2C4-42BC-923D-F758A2D21A04}">
    <text>Incremento (disminución) neto de efectivo y equivalentes al efectivo</text>
  </threadedComment>
</ThreadedComments>
</file>

<file path=xl/threadedComments/threadedComment45.xml><?xml version="1.0" encoding="utf-8"?>
<ThreadedComments xmlns="http://schemas.microsoft.com/office/spreadsheetml/2018/threadedcomments" xmlns:x="http://schemas.openxmlformats.org/spreadsheetml/2006/main">
  <threadedComment ref="H12" dT="2023-05-03T12:37:17.05" personId="{6B1655D5-AB2E-44AB-A4FD-07AC1B03BF7A}" id="{F74593D8-220A-4EB5-B017-AAFB61217F28}">
    <text>Provisión dividendos</text>
  </threadedComment>
  <threadedComment ref="B23" dT="2023-02-12T19:37:39.02" personId="{6B1655D5-AB2E-44AB-A4FD-07AC1B03BF7A}" id="{61F32115-D261-4934-962D-C74A52552652}">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8E775456-9974-45B6-8459-3F0FBB9E1730}">
    <text xml:space="preserve">Empresas con ROE superior a 15%, bolsa libro entre 2 y 2,5 veces
Empresas con ROE entre 10 y 15%, bolsa libro entre 1 y 2
Empresas con ROE bajo 10%, Bolsa libro 1 o menor
</text>
  </threadedComment>
  <threadedComment ref="B123" dT="2022-06-19T22:24:44.98" personId="{6B1655D5-AB2E-44AB-A4FD-07AC1B03BF7A}" id="{D5365407-C940-4038-82EB-8CB6E14324DF}">
    <text>Gastos de personal (menos)</text>
  </threadedComment>
</ThreadedComments>
</file>

<file path=xl/threadedComments/threadedComment46.xml><?xml version="1.0" encoding="utf-8"?>
<ThreadedComments xmlns="http://schemas.microsoft.com/office/spreadsheetml/2018/threadedcomments" xmlns:x="http://schemas.openxmlformats.org/spreadsheetml/2006/main">
  <threadedComment ref="B27" dT="2023-02-12T19:37:39.02" personId="{6B1655D5-AB2E-44AB-A4FD-07AC1B03BF7A}" id="{1520F16E-33CE-4EB7-9FDF-D24F4295868F}">
    <text xml:space="preserve">Empresas con ROE superior a 15%, bolsa libro entre 2 y 2,5 veces
Empresas con ROE entre 10 y 15%, bolsa libro entre 1 y 2
Empresas con ROE bajo 10%, Bolsa libro 1 o menor
</text>
  </threadedComment>
  <threadedComment ref="B28" dT="2023-02-12T19:40:01.84" personId="{6B1655D5-AB2E-44AB-A4FD-07AC1B03BF7A}" id="{228AD813-E494-4F7A-B490-AE164F7A7EE3}">
    <text xml:space="preserve">Empresas con ROE superior a 15%, bolsa libro entre 2 y 2,5 veces
Empresas con ROE entre 10 y 15%, bolsa libro entre 1 y 2
Empresas con ROE bajo 10%, Bolsa libro 1 o menor
</text>
  </threadedComment>
  <threadedComment ref="B116" dT="2022-06-19T22:24:44.98" personId="{6B1655D5-AB2E-44AB-A4FD-07AC1B03BF7A}" id="{C9B0E40E-BBCC-44B5-A127-B68BB9B4E2FC}">
    <text>Gastos de personal (menos)</text>
  </threadedComment>
  <threadedComment ref="B119" dT="2022-06-19T22:26:16.50" personId="{6B1655D5-AB2E-44AB-A4FD-07AC1B03BF7A}" id="{3601DF89-C77E-4E10-89AA-290CEE352FA2}">
    <text>Otros gastos varios de operación (menos)</text>
  </threadedComment>
  <threadedComment ref="B121" dT="2022-06-19T22:28:47.56" personId="{6B1655D5-AB2E-44AB-A4FD-07AC1B03BF7A}" id="{1CAAD727-BD0D-4E9D-B07D-9DE22F62A974}">
    <text>Ganancia (pérdida) procedente de inversiones</text>
  </threadedComment>
  <threadedComment ref="B122" dT="2022-06-19T22:28:47.56" personId="{6B1655D5-AB2E-44AB-A4FD-07AC1B03BF7A}" id="{955760FD-1279-4542-A20B-EF53A82458EC}">
    <text>Ganancia (pérdida) procedente de inversiones</text>
  </threadedComment>
  <threadedComment ref="G135" dT="2022-06-19T21:41:08.62" personId="{6B1655D5-AB2E-44AB-A4FD-07AC1B03BF7A}" id="{78836709-DC9F-43A5-925A-70BFAA274F4C}">
    <text>RESULTADOS INDIVIDUALES</text>
  </threadedComment>
  <threadedComment ref="B136" dT="2022-06-19T21:38:34.41" personId="{6B1655D5-AB2E-44AB-A4FD-07AC1B03BF7A}" id="{27F7B5E1-B87D-42C5-B934-85736E6F17A3}">
    <text>Flujos de efectivo neto de (utilizados en) actividades de operación</text>
  </threadedComment>
  <threadedComment ref="B142" dT="2022-06-19T21:20:18.76" personId="{6B1655D5-AB2E-44AB-A4FD-07AC1B03BF7A}" id="{67312F46-9340-4D9D-82F6-9308E9AAE78E}">
    <text>Incremento (disminución) neto de efectivo y equivalentes al efectivo</text>
  </threadedComment>
</ThreadedComments>
</file>

<file path=xl/threadedComments/threadedComment47.xml><?xml version="1.0" encoding="utf-8"?>
<ThreadedComments xmlns="http://schemas.microsoft.com/office/spreadsheetml/2018/threadedcomments" xmlns:x="http://schemas.openxmlformats.org/spreadsheetml/2006/main">
  <threadedComment ref="B27" dT="2023-02-12T19:37:39.02" personId="{6B1655D5-AB2E-44AB-A4FD-07AC1B03BF7A}" id="{17B9D228-42AB-4EBE-8AAF-104A8503DB9A}">
    <text xml:space="preserve">Empresas con ROE superior a 15%, bolsa libro entre 2 y 2,5 veces
Empresas con ROE entre 10 y 15%, bolsa libro entre 1 y 2
Empresas con ROE bajo 10%, Bolsa libro 1 o menor
</text>
  </threadedComment>
  <threadedComment ref="B28" dT="2023-02-12T19:40:01.84" personId="{6B1655D5-AB2E-44AB-A4FD-07AC1B03BF7A}" id="{7C88C861-44E9-42C5-9454-CA022203828E}">
    <text xml:space="preserve">Empresas con ROE superior a 15%, bolsa libro entre 2 y 2,5 veces
Empresas con ROE entre 10 y 15%, bolsa libro entre 1 y 2
Empresas con ROE bajo 10%, Bolsa libro 1 o menor
</text>
  </threadedComment>
  <threadedComment ref="B111" dT="2022-06-19T22:24:44.98" personId="{6B1655D5-AB2E-44AB-A4FD-07AC1B03BF7A}" id="{E93094B7-60CF-4772-8C57-7A31B7D8A20C}">
    <text>Gastos de personal (menos)</text>
  </threadedComment>
  <threadedComment ref="B114" dT="2022-06-19T22:26:16.50" personId="{6B1655D5-AB2E-44AB-A4FD-07AC1B03BF7A}" id="{C2A7BD4C-65AF-4C79-A8F0-52C2FD182D4C}">
    <text>Otros gastos varios de operación (menos)</text>
  </threadedComment>
  <threadedComment ref="B117" dT="2022-06-19T22:28:47.56" personId="{6B1655D5-AB2E-44AB-A4FD-07AC1B03BF7A}" id="{28608131-CF89-44C9-B507-88D4222A4BC7}">
    <text>Ganancia (pérdida) procedente de inversiones</text>
  </threadedComment>
  <threadedComment ref="G129" dT="2022-06-19T21:41:08.62" personId="{6B1655D5-AB2E-44AB-A4FD-07AC1B03BF7A}" id="{29D4B694-6BBC-4F69-B18C-AD1CE41B1CE6}">
    <text>RESULTADOS INDIVIDUALES</text>
  </threadedComment>
  <threadedComment ref="B130" dT="2022-06-19T21:38:34.41" personId="{6B1655D5-AB2E-44AB-A4FD-07AC1B03BF7A}" id="{0099B322-75DC-4231-BA69-C3A3319829B8}">
    <text>Flujos de efectivo neto de (utilizados en) actividades de operación</text>
  </threadedComment>
  <threadedComment ref="B136" dT="2022-06-19T21:20:18.76" personId="{6B1655D5-AB2E-44AB-A4FD-07AC1B03BF7A}" id="{6863B574-C506-4C6C-9FEF-B43420694327}">
    <text>Incremento (disminución) neto de efectivo y equivalentes al efectivo</text>
  </threadedComment>
</ThreadedComments>
</file>

<file path=xl/threadedComments/threadedComment48.xml><?xml version="1.0" encoding="utf-8"?>
<ThreadedComments xmlns="http://schemas.microsoft.com/office/spreadsheetml/2018/threadedcomments" xmlns:x="http://schemas.openxmlformats.org/spreadsheetml/2006/main">
  <threadedComment ref="H12" dT="2023-05-03T12:37:17.05" personId="{6B1655D5-AB2E-44AB-A4FD-07AC1B03BF7A}" id="{0FFDFD07-8DD5-47AB-9238-5BCD78E83A9D}">
    <text>Provisión dividendos</text>
  </threadedComment>
  <threadedComment ref="B23" dT="2023-02-12T19:37:39.02" personId="{6B1655D5-AB2E-44AB-A4FD-07AC1B03BF7A}" id="{BF526AA6-5D6E-4E59-9EED-D29717E6A4C8}">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D833A51C-34A9-42BC-B3D7-9AA8A9A0D4AD}">
    <text xml:space="preserve">Empresas con ROE superior a 15%, bolsa libro entre 2 y 2,5 veces
Empresas con ROE entre 10 y 15%, bolsa libro entre 1 y 2
Empresas con ROE bajo 10%, Bolsa libro 1 o menor
</text>
  </threadedComment>
  <threadedComment ref="B114" dT="2022-06-19T22:24:44.98" personId="{6B1655D5-AB2E-44AB-A4FD-07AC1B03BF7A}" id="{573493DB-8876-465D-983D-9D9DA691488F}">
    <text>Gastos de personal (menos)</text>
  </threadedComment>
  <threadedComment ref="B135" dT="2022-06-19T21:38:34.41" personId="{6B1655D5-AB2E-44AB-A4FD-07AC1B03BF7A}" id="{4B0BDD62-AA86-4D19-A94B-81B1E3DAE507}">
    <text>Flujos de efectivo neto de (utilizados en) actividades de operación</text>
  </threadedComment>
  <threadedComment ref="B141" dT="2022-06-19T21:20:18.76" personId="{6B1655D5-AB2E-44AB-A4FD-07AC1B03BF7A}" id="{19C7C592-FA5F-44B4-8E59-6335595F03EE}">
    <text>Incremento (disminución) neto de efectivo y equivalentes al efectivo</text>
  </threadedComment>
</ThreadedComments>
</file>

<file path=xl/threadedComments/threadedComment49.xml><?xml version="1.0" encoding="utf-8"?>
<ThreadedComments xmlns="http://schemas.microsoft.com/office/spreadsheetml/2018/threadedcomments" xmlns:x="http://schemas.openxmlformats.org/spreadsheetml/2006/main">
  <threadedComment ref="B23" dT="2023-02-12T19:37:39.02" personId="{6B1655D5-AB2E-44AB-A4FD-07AC1B03BF7A}" id="{CC251CDD-4905-4C95-B7E6-1BD8BC59AA22}">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5B27FADA-D71D-4E65-81BA-599AB2A252CC}">
    <text xml:space="preserve">Empresas con ROE superior a 15%, bolsa libro entre 2 y 2,5 veces
Empresas con ROE entre 10 y 15%, bolsa libro entre 1 y 2
Empresas con ROE bajo 10%, Bolsa libro 1 o menor
</text>
  </threadedComment>
  <threadedComment ref="B113" dT="2022-06-19T22:24:44.98" personId="{6B1655D5-AB2E-44AB-A4FD-07AC1B03BF7A}" id="{DA9BD3DA-8F87-4114-8460-28CAEEA95EE3}">
    <text>Gastos de personal (menos)</text>
  </threadedComment>
  <threadedComment ref="B134" dT="2022-06-19T21:38:34.41" personId="{6B1655D5-AB2E-44AB-A4FD-07AC1B03BF7A}" id="{6E708210-09FF-4F43-A386-60CB977B5366}">
    <text>Flujos de efectivo neto de (utilizados en) actividades de operación</text>
  </threadedComment>
  <threadedComment ref="B140" dT="2022-06-19T21:20:18.76" personId="{6B1655D5-AB2E-44AB-A4FD-07AC1B03BF7A}" id="{B2BDE3A2-CE36-42E4-A51A-4A19CC6EDD19}">
    <text>Incremento (disminución) neto de efectivo y equivalentes al efectivo</text>
  </threadedComment>
</ThreadedComments>
</file>

<file path=xl/threadedComments/threadedComment50.xml><?xml version="1.0" encoding="utf-8"?>
<ThreadedComments xmlns="http://schemas.microsoft.com/office/spreadsheetml/2018/threadedcomments" xmlns:x="http://schemas.openxmlformats.org/spreadsheetml/2006/main">
  <threadedComment ref="H13" dT="2023-05-03T12:37:17.05" personId="{6B1655D5-AB2E-44AB-A4FD-07AC1B03BF7A}" id="{61195611-A246-4F4A-982A-D1C312227EEC}">
    <text>Provisión dividendos</text>
  </threadedComment>
  <threadedComment ref="B25" dT="2023-02-12T19:37:39.02" personId="{6B1655D5-AB2E-44AB-A4FD-07AC1B03BF7A}" id="{DADAF90D-8E3A-4552-8C2C-9AE95BF0CAE1}">
    <text xml:space="preserve">Empresas con ROE superior a 15%, bolsa libro entre 2 y 2,5 veces
Empresas con ROE entre 10 y 15%, bolsa libro entre 1 y 2
Empresas con ROE bajo 10%, Bolsa libro 1 o menor
</text>
  </threadedComment>
  <threadedComment ref="B26" dT="2023-02-12T19:40:01.84" personId="{6B1655D5-AB2E-44AB-A4FD-07AC1B03BF7A}" id="{95ED86DD-FE57-419D-957D-4CF2C15725F6}">
    <text xml:space="preserve">Empresas con ROE superior a 15%, bolsa libro entre 2 y 2,5 veces
Empresas con ROE entre 10 y 15%, bolsa libro entre 1 y 2
Empresas con ROE bajo 10%, Bolsa libro 1 o menor
</text>
  </threadedComment>
  <threadedComment ref="B125" dT="2022-06-19T22:24:44.98" personId="{6B1655D5-AB2E-44AB-A4FD-07AC1B03BF7A}" id="{56B94403-D24C-42E7-9477-7F85FC2E767E}">
    <text>Gastos de personal (menos)</text>
  </threadedComment>
  <threadedComment ref="B146" dT="2022-06-19T21:38:34.41" personId="{6B1655D5-AB2E-44AB-A4FD-07AC1B03BF7A}" id="{A170B073-08B6-4F5D-9490-45CD99269BC0}">
    <text>Flujos de efectivo neto de (utilizados en) actividades de operación</text>
  </threadedComment>
  <threadedComment ref="B152" dT="2022-06-19T21:20:18.76" personId="{6B1655D5-AB2E-44AB-A4FD-07AC1B03BF7A}" id="{056051AE-5DA0-4C44-9D96-6209F7C5989D}">
    <text>Incremento (disminución) neto de efectivo y equivalentes al efectivo</text>
  </threadedComment>
</ThreadedComments>
</file>

<file path=xl/threadedComments/threadedComment51.xml><?xml version="1.0" encoding="utf-8"?>
<ThreadedComments xmlns="http://schemas.microsoft.com/office/spreadsheetml/2018/threadedcomments" xmlns:x="http://schemas.openxmlformats.org/spreadsheetml/2006/main">
  <threadedComment ref="H12" dT="2023-05-03T12:37:17.05" personId="{6B1655D5-AB2E-44AB-A4FD-07AC1B03BF7A}" id="{2F1CEA37-D6F0-407C-9EF3-BD0645F3255C}">
    <text>Provisión dividendos</text>
  </threadedComment>
  <threadedComment ref="B23" dT="2023-02-12T19:37:39.02" personId="{6B1655D5-AB2E-44AB-A4FD-07AC1B03BF7A}" id="{64F1C210-0B9E-4B96-9E4C-BCD8A6ADD82B}">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2E7E6462-BE67-4151-95AB-BF1E87958101}">
    <text xml:space="preserve">Empresas con ROE superior a 15%, bolsa libro entre 2 y 2,5 veces
Empresas con ROE entre 10 y 15%, bolsa libro entre 1 y 2
Empresas con ROE bajo 10%, Bolsa libro 1 o menor
</text>
  </threadedComment>
  <threadedComment ref="B121" dT="2022-06-19T22:24:44.98" personId="{6B1655D5-AB2E-44AB-A4FD-07AC1B03BF7A}" id="{421789BD-532F-4EB8-8738-C8BB6455BE08}">
    <text>Gastos de personal (menos)</text>
  </threadedComment>
  <threadedComment ref="B143" dT="2022-06-19T21:38:34.41" personId="{6B1655D5-AB2E-44AB-A4FD-07AC1B03BF7A}" id="{E26BB487-04BD-4597-A015-D04198A08642}">
    <text>Flujos de efectivo neto de (utilizados en) actividades de operación</text>
  </threadedComment>
  <threadedComment ref="B149" dT="2022-06-19T21:20:18.76" personId="{6B1655D5-AB2E-44AB-A4FD-07AC1B03BF7A}" id="{C563EB5C-A609-442C-BBEA-34037CCD8A70}">
    <text>Incremento (disminución) neto de efectivo y equivalentes al efectivo</text>
  </threadedComment>
</ThreadedComments>
</file>

<file path=xl/threadedComments/threadedComment52.xml><?xml version="1.0" encoding="utf-8"?>
<ThreadedComments xmlns="http://schemas.microsoft.com/office/spreadsheetml/2018/threadedcomments" xmlns:x="http://schemas.openxmlformats.org/spreadsheetml/2006/main">
  <threadedComment ref="H13" dT="2023-05-03T12:37:17.05" personId="{6B1655D5-AB2E-44AB-A4FD-07AC1B03BF7A}" id="{BE1FEE53-9679-4CC0-A463-787C3328807D}">
    <text>Provisión dividendos</text>
  </threadedComment>
  <threadedComment ref="B26" dT="2023-02-12T19:37:39.02" personId="{6B1655D5-AB2E-44AB-A4FD-07AC1B03BF7A}" id="{7435D611-F8B0-4AC2-97AA-70F3737F8A59}">
    <text xml:space="preserve">Empresas con ROE superior a 15%, bolsa libro entre 2 y 2,5 veces
Empresas con ROE entre 10 y 15%, bolsa libro entre 1 y 2
Empresas con ROE bajo 10%, Bolsa libro 1 o menor
</text>
  </threadedComment>
  <threadedComment ref="B27" dT="2023-02-12T19:40:01.84" personId="{6B1655D5-AB2E-44AB-A4FD-07AC1B03BF7A}" id="{A89438CA-51AD-42C5-9C08-0FA122667A66}">
    <text xml:space="preserve">Empresas con ROE superior a 15%, bolsa libro entre 2 y 2,5 veces
Empresas con ROE entre 10 y 15%, bolsa libro entre 1 y 2
Empresas con ROE bajo 10%, Bolsa libro 1 o menor
</text>
  </threadedComment>
  <threadedComment ref="B125" dT="2022-06-19T22:24:44.98" personId="{6B1655D5-AB2E-44AB-A4FD-07AC1B03BF7A}" id="{197B550E-5BF2-4534-AECE-F60B5BBFBC56}">
    <text>Gastos de personal (menos)</text>
  </threadedComment>
  <threadedComment ref="B129" dT="2022-06-19T22:26:16.50" personId="{6B1655D5-AB2E-44AB-A4FD-07AC1B03BF7A}" id="{2EC8B83A-E0D3-4161-A362-1A5A3A03BD6B}">
    <text>Otros gastos varios de operación (menos)</text>
  </threadedComment>
  <threadedComment ref="B143" dT="2022-06-19T21:38:34.41" personId="{6B1655D5-AB2E-44AB-A4FD-07AC1B03BF7A}" id="{F49FCA98-EC5A-4594-87E5-216C0C0FCF61}">
    <text>Flujos de efectivo neto de (utilizados en) actividades de operación</text>
  </threadedComment>
  <threadedComment ref="B148" dT="2024-09-17T19:45:21.05" personId="{8377039C-155F-42D4-B2FC-2CB908B71205}" id="{0F1E76F6-5D28-4F02-8E3A-03DB3B1AC4E3}">
    <text>Intereses pagados en el Flujo Operativo</text>
  </threadedComment>
  <threadedComment ref="B149" dT="2022-06-19T21:20:18.76" personId="{6B1655D5-AB2E-44AB-A4FD-07AC1B03BF7A}" id="{E2BFE00A-AA5E-4AB5-BF62-B5E53E463F32}">
    <text>Incremento (disminución) neto de efectivo y equivalentes al efectivo</text>
  </threadedComment>
</ThreadedComments>
</file>

<file path=xl/threadedComments/threadedComment53.xml><?xml version="1.0" encoding="utf-8"?>
<ThreadedComments xmlns="http://schemas.microsoft.com/office/spreadsheetml/2018/threadedcomments" xmlns:x="http://schemas.openxmlformats.org/spreadsheetml/2006/main">
  <threadedComment ref="H12" dT="2023-05-03T12:37:17.05" personId="{6B1655D5-AB2E-44AB-A4FD-07AC1B03BF7A}" id="{9AA20E64-384B-4046-B950-3581B7CB1504}">
    <text>Provisión dividendos</text>
  </threadedComment>
  <threadedComment ref="B23" dT="2023-02-12T19:37:39.02" personId="{6B1655D5-AB2E-44AB-A4FD-07AC1B03BF7A}" id="{E422825A-CE0D-42C7-A1B9-479B18FCD86D}">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D0237493-702C-4E00-84D4-F64AAB48A968}">
    <text xml:space="preserve">Empresas con ROE superior a 15%, bolsa libro entre 2 y 2,5 veces
Empresas con ROE entre 10 y 15%, bolsa libro entre 1 y 2
Empresas con ROE bajo 10%, Bolsa libro 1 o menor
</text>
  </threadedComment>
  <threadedComment ref="B119" dT="2022-06-19T22:24:44.98" personId="{6B1655D5-AB2E-44AB-A4FD-07AC1B03BF7A}" id="{1B5937E2-C724-4237-AC8E-2826D1CEE93A}">
    <text>Gastos de personal (menos)</text>
  </threadedComment>
  <threadedComment ref="B139" dT="2022-06-19T21:38:34.41" personId="{6B1655D5-AB2E-44AB-A4FD-07AC1B03BF7A}" id="{10F32834-17C1-49BE-951A-27C4EB9633AC}">
    <text>Flujos de efectivo neto de (utilizados en) actividades de operación</text>
  </threadedComment>
  <threadedComment ref="B145" dT="2022-06-19T21:20:18.76" personId="{6B1655D5-AB2E-44AB-A4FD-07AC1B03BF7A}" id="{E6B98C59-1986-438F-AA76-3CF7A8DFBD36}">
    <text>Incremento (disminución) neto de efectivo y equivalentes al efectivo</text>
  </threadedComment>
</ThreadedComments>
</file>

<file path=xl/threadedComments/threadedComment54.xml><?xml version="1.0" encoding="utf-8"?>
<ThreadedComments xmlns="http://schemas.microsoft.com/office/spreadsheetml/2018/threadedcomments" xmlns:x="http://schemas.openxmlformats.org/spreadsheetml/2006/main">
  <threadedComment ref="H12" dT="2023-05-03T12:37:17.05" personId="{6B1655D5-AB2E-44AB-A4FD-07AC1B03BF7A}" id="{25EE0A22-B9DC-466A-B3BD-5E2155EA8DB5}">
    <text>Provisión dividendos</text>
  </threadedComment>
  <threadedComment ref="B23" dT="2023-02-12T19:37:39.02" personId="{6B1655D5-AB2E-44AB-A4FD-07AC1B03BF7A}" id="{A4621151-DBAF-478C-A5D7-CF7506DE5C6B}">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FC7239D5-A211-4CFD-B76B-DACA61ED0C75}">
    <text xml:space="preserve">Empresas con ROE superior a 15%, bolsa libro entre 2 y 2,5 veces
Empresas con ROE entre 10 y 15%, bolsa libro entre 1 y 2
Empresas con ROE bajo 10%, Bolsa libro 1 o menor
</text>
  </threadedComment>
  <threadedComment ref="B113" dT="2022-06-19T22:24:44.98" personId="{6B1655D5-AB2E-44AB-A4FD-07AC1B03BF7A}" id="{79F7E63D-E5E8-4721-B6E6-AE4135A51781}">
    <text>Gastos de personal (menos)</text>
  </threadedComment>
  <threadedComment ref="B136" dT="2022-06-19T21:38:34.41" personId="{6B1655D5-AB2E-44AB-A4FD-07AC1B03BF7A}" id="{D6589DB0-BB00-410B-A92E-E2E8145C3703}">
    <text>Flujos de efectivo neto de (utilizados en) actividades de operación</text>
  </threadedComment>
  <threadedComment ref="B141" dT="2024-09-17T20:02:20.04" personId="{8377039C-155F-42D4-B2FC-2CB908B71205}" id="{28A86ECA-2245-41DA-9770-113A4FBF56FC}">
    <text>Intereses están incluidos en el Flujo Operativo</text>
  </threadedComment>
  <threadedComment ref="B142" dT="2022-06-19T21:20:18.76" personId="{6B1655D5-AB2E-44AB-A4FD-07AC1B03BF7A}" id="{AD29C0DD-AB16-4CA9-B6E1-7E8E55D7A70D}">
    <text>Incremento (disminución) neto de efectivo y equivalentes al efectivo</text>
  </threadedComment>
</ThreadedComments>
</file>

<file path=xl/threadedComments/threadedComment55.xml><?xml version="1.0" encoding="utf-8"?>
<ThreadedComments xmlns="http://schemas.microsoft.com/office/spreadsheetml/2018/threadedcomments" xmlns:x="http://schemas.openxmlformats.org/spreadsheetml/2006/main">
  <threadedComment ref="H12" dT="2023-05-03T12:37:17.05" personId="{6B1655D5-AB2E-44AB-A4FD-07AC1B03BF7A}" id="{0F5EABEF-78E5-4423-83EA-3848E0ADAEE7}">
    <text>Provisión dividendos</text>
  </threadedComment>
  <threadedComment ref="B23" dT="2023-02-12T19:37:39.02" personId="{6B1655D5-AB2E-44AB-A4FD-07AC1B03BF7A}" id="{16E44650-2E41-4804-ABDA-CEC4CEB1FE42}">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26E1CB14-4830-44D6-B9F5-C6F2649AF90A}">
    <text xml:space="preserve">Empresas con ROE superior a 15%, bolsa libro entre 2 y 2,5 veces
Empresas con ROE entre 10 y 15%, bolsa libro entre 1 y 2
Empresas con ROE bajo 10%, Bolsa libro 1 o menor
</text>
  </threadedComment>
  <threadedComment ref="B105" dT="2022-06-19T22:24:44.98" personId="{6B1655D5-AB2E-44AB-A4FD-07AC1B03BF7A}" id="{F9ED0F56-3DCA-4BB3-96F9-62126E131C65}">
    <text>Gastos de personal (menos)</text>
  </threadedComment>
  <threadedComment ref="B124" dT="2022-06-19T21:38:34.41" personId="{6B1655D5-AB2E-44AB-A4FD-07AC1B03BF7A}" id="{BF5C42BF-0C2C-4321-A908-96EDD091989C}">
    <text>Flujos de efectivo neto de (utilizados en) actividades de operación</text>
  </threadedComment>
  <threadedComment ref="B130" dT="2022-06-19T21:20:18.76" personId="{6B1655D5-AB2E-44AB-A4FD-07AC1B03BF7A}" id="{DEA3CB46-9BE5-4056-BB57-B7376B8B3825}">
    <text>Incremento (disminución) neto de efectivo y equivalentes al efectivo</text>
  </threadedComment>
</ThreadedComments>
</file>

<file path=xl/threadedComments/threadedComment56.xml><?xml version="1.0" encoding="utf-8"?>
<ThreadedComments xmlns="http://schemas.microsoft.com/office/spreadsheetml/2018/threadedcomments" xmlns:x="http://schemas.openxmlformats.org/spreadsheetml/2006/main">
  <threadedComment ref="H12" dT="2023-05-03T12:37:17.05" personId="{6B1655D5-AB2E-44AB-A4FD-07AC1B03BF7A}" id="{3C849799-1158-4B07-8EF1-3A2923D1E5FB}">
    <text>Provisión dividendos</text>
  </threadedComment>
  <threadedComment ref="B23" dT="2023-02-12T19:37:39.02" personId="{6B1655D5-AB2E-44AB-A4FD-07AC1B03BF7A}" id="{93CD200D-B8B7-4C25-9BBC-9C1FF33E5B6A}">
    <text xml:space="preserve">Empresas con ROE superior a 15%, bolsa libro entre 2 y 2,5 veces
Empresas con ROE entre 10 y 15%, bolsa libro entre 1 y 2
Empresas con ROE bajo 10%, Bolsa libro 1 o menor
</text>
  </threadedComment>
  <threadedComment ref="B24" dT="2023-02-12T19:40:01.84" personId="{6B1655D5-AB2E-44AB-A4FD-07AC1B03BF7A}" id="{C951FE37-3FF3-485F-B6D3-7DCB3DB33EA9}">
    <text xml:space="preserve">Empresas con ROE superior a 15%, bolsa libro entre 2 y 2,5 veces
Empresas con ROE entre 10 y 15%, bolsa libro entre 1 y 2
Empresas con ROE bajo 10%, Bolsa libro 1 o menor
</text>
  </threadedComment>
  <threadedComment ref="B110" dT="2022-06-19T22:24:44.98" personId="{6B1655D5-AB2E-44AB-A4FD-07AC1B03BF7A}" id="{4C7FD853-08AD-4599-B9C8-2B068EEACA38}">
    <text>Gastos de personal (menos)</text>
  </threadedComment>
  <threadedComment ref="B131" dT="2022-06-19T21:38:34.41" personId="{6B1655D5-AB2E-44AB-A4FD-07AC1B03BF7A}" id="{303AFA6D-C5B4-45B1-8C85-AC4AEB987899}">
    <text>Flujos de efectivo neto de (utilizados en) actividades de operación</text>
  </threadedComment>
  <threadedComment ref="B137" dT="2022-06-19T21:20:18.76" personId="{6B1655D5-AB2E-44AB-A4FD-07AC1B03BF7A}" id="{954221E2-5661-4624-A5E7-4E59AE2878AE}">
    <text>Incremento (disminución) neto de efectivo y equivalentes al efectivo</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AFA2424-868F-4B7B-81C9-8C0A27A8F0D8}">
  <we:reference id="WA200009404" version="1.0.0.8" store="en-US" storeType="omex"/>
  <we:alternateReferences>
    <we:reference id="WA200009404" version="1.0.0.8"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hyperlink" Target="mailto:volivaresh@outlook.com" TargetMode="External"/><Relationship Id="rId2" Type="http://schemas.openxmlformats.org/officeDocument/2006/relationships/hyperlink" Target="mailto:eoterovtmt@gmail.com" TargetMode="External"/><Relationship Id="rId1" Type="http://schemas.openxmlformats.org/officeDocument/2006/relationships/hyperlink" Target="mailto:jpg139@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p.powerbi.com/view?r=eyJrIjoiZDNmYTQ1YjYtZGJmOS00MWUwLTg1Y2QtNGMyNTZkMjEyNTkxIiwidCI6IjYxZWJjMzI1LWFlNTAtNDhmZC1iOTdmLTk5ZDI3N2RmMjg3NCIsImMiOjR9"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microsoft.com/office/2017/10/relationships/threadedComment" Target="../threadedComments/threadedComment6.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7.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 Id="rId4" Type="http://schemas.microsoft.com/office/2017/10/relationships/threadedComment" Target="../threadedComments/threadedComment8.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xml"/><Relationship Id="rId1" Type="http://schemas.openxmlformats.org/officeDocument/2006/relationships/printerSettings" Target="../printerSettings/printerSettings10.bin"/><Relationship Id="rId5" Type="http://schemas.microsoft.com/office/2017/10/relationships/threadedComment" Target="../threadedComments/threadedComment9.xml"/><Relationship Id="rId4" Type="http://schemas.openxmlformats.org/officeDocument/2006/relationships/comments" Target="../comments9.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 Id="rId4" Type="http://schemas.microsoft.com/office/2017/10/relationships/threadedComment" Target="../threadedComments/threadedComment10.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 Id="rId4" Type="http://schemas.microsoft.com/office/2017/10/relationships/threadedComment" Target="../threadedComments/threadedComment11.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 Id="rId4" Type="http://schemas.microsoft.com/office/2017/10/relationships/threadedComment" Target="../threadedComments/threadedComment12.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 Id="rId4" Type="http://schemas.microsoft.com/office/2017/10/relationships/threadedComment" Target="../threadedComments/threadedComment13.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 Id="rId4" Type="http://schemas.microsoft.com/office/2017/10/relationships/threadedComment" Target="../threadedComments/threadedComment14.xm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 Id="rId4" Type="http://schemas.microsoft.com/office/2017/10/relationships/threadedComment" Target="../threadedComments/threadedComment1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 Id="rId4" Type="http://schemas.microsoft.com/office/2017/10/relationships/threadedComment" Target="../threadedComments/threadedComment17.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8.bin"/><Relationship Id="rId4" Type="http://schemas.microsoft.com/office/2017/10/relationships/threadedComment" Target="../threadedComments/threadedComment18.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9.bin"/><Relationship Id="rId4" Type="http://schemas.microsoft.com/office/2017/10/relationships/threadedComment" Target="../threadedComments/threadedComment19.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0.bin"/><Relationship Id="rId4" Type="http://schemas.microsoft.com/office/2017/10/relationships/threadedComment" Target="../threadedComments/threadedComment20.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1.bin"/><Relationship Id="rId4" Type="http://schemas.microsoft.com/office/2017/10/relationships/threadedComment" Target="../threadedComments/threadedComment21.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2.bin"/><Relationship Id="rId4" Type="http://schemas.microsoft.com/office/2017/10/relationships/threadedComment" Target="../threadedComments/threadedComment22.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3.bin"/><Relationship Id="rId4" Type="http://schemas.microsoft.com/office/2017/10/relationships/threadedComment" Target="../threadedComments/threadedComment23.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4.bin"/><Relationship Id="rId4" Type="http://schemas.microsoft.com/office/2017/10/relationships/threadedComment" Target="../threadedComments/threadedComment24.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5.bin"/><Relationship Id="rId4" Type="http://schemas.microsoft.com/office/2017/10/relationships/threadedComment" Target="../threadedComments/threadedComment25.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6.bin"/><Relationship Id="rId4" Type="http://schemas.microsoft.com/office/2017/10/relationships/threadedComment" Target="../threadedComments/threadedComment26.xml"/></Relationships>
</file>

<file path=xl/worksheets/_rels/sheet3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7.bin"/><Relationship Id="rId4" Type="http://schemas.microsoft.com/office/2017/10/relationships/threadedComment" Target="../threadedComments/threadedComment27.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28.bin"/><Relationship Id="rId4" Type="http://schemas.microsoft.com/office/2017/10/relationships/threadedComment" Target="../threadedComments/threadedComment28.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29.bin"/><Relationship Id="rId4" Type="http://schemas.microsoft.com/office/2017/10/relationships/threadedComment" Target="../threadedComments/threadedComment29.xml"/></Relationships>
</file>

<file path=xl/worksheets/_rels/sheet4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0.bin"/><Relationship Id="rId4" Type="http://schemas.microsoft.com/office/2017/10/relationships/threadedComment" Target="../threadedComments/threadedComment30.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1.bin"/><Relationship Id="rId4" Type="http://schemas.microsoft.com/office/2017/10/relationships/threadedComment" Target="../threadedComments/threadedComment31.xml"/></Relationships>
</file>

<file path=xl/worksheets/_rels/sheet43.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2.bin"/><Relationship Id="rId4" Type="http://schemas.microsoft.com/office/2017/10/relationships/threadedComment" Target="../threadedComments/threadedComment32.xml"/></Relationships>
</file>

<file path=xl/worksheets/_rels/sheet44.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33.bin"/><Relationship Id="rId4" Type="http://schemas.microsoft.com/office/2017/10/relationships/threadedComment" Target="../threadedComments/threadedComment33.xml"/></Relationships>
</file>

<file path=xl/worksheets/_rels/sheet45.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4.bin"/><Relationship Id="rId4" Type="http://schemas.microsoft.com/office/2017/10/relationships/threadedComment" Target="../threadedComments/threadedComment34.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35.bin"/><Relationship Id="rId4" Type="http://schemas.microsoft.com/office/2017/10/relationships/threadedComment" Target="../threadedComments/threadedComment35.xml"/></Relationships>
</file>

<file path=xl/worksheets/_rels/sheet48.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36.bin"/><Relationship Id="rId4" Type="http://schemas.microsoft.com/office/2017/10/relationships/threadedComment" Target="../threadedComments/threadedComment36.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37.bin"/><Relationship Id="rId4" Type="http://schemas.microsoft.com/office/2017/10/relationships/threadedComment" Target="../threadedComments/threadedComment37.xml"/></Relationships>
</file>

<file path=xl/worksheets/_rels/sheet50.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38.bin"/><Relationship Id="rId4" Type="http://schemas.microsoft.com/office/2017/10/relationships/threadedComment" Target="../threadedComments/threadedComment38.xml"/></Relationships>
</file>

<file path=xl/worksheets/_rels/sheet51.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39.bin"/><Relationship Id="rId4" Type="http://schemas.microsoft.com/office/2017/10/relationships/threadedComment" Target="../threadedComments/threadedComment39.xml"/></Relationships>
</file>

<file path=xl/worksheets/_rels/sheet52.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40.bin"/><Relationship Id="rId4" Type="http://schemas.microsoft.com/office/2017/10/relationships/threadedComment" Target="../threadedComments/threadedComment40.xml"/></Relationships>
</file>

<file path=xl/worksheets/_rels/sheet53.xml.rels><?xml version="1.0" encoding="UTF-8" standalone="yes"?>
<Relationships xmlns="http://schemas.openxmlformats.org/package/2006/relationships"><Relationship Id="rId3" Type="http://schemas.microsoft.com/office/2017/10/relationships/threadedComment" Target="../threadedComments/threadedComment41.xml"/><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54.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41.bin"/><Relationship Id="rId4" Type="http://schemas.microsoft.com/office/2017/10/relationships/threadedComment" Target="../threadedComments/threadedComment42.xml"/></Relationships>
</file>

<file path=xl/worksheets/_rels/sheet55.xml.rels><?xml version="1.0" encoding="UTF-8" standalone="yes"?>
<Relationships xmlns="http://schemas.openxmlformats.org/package/2006/relationships"><Relationship Id="rId3" Type="http://schemas.microsoft.com/office/2017/10/relationships/threadedComment" Target="../threadedComments/threadedComment43.xml"/><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56.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42.bin"/><Relationship Id="rId4" Type="http://schemas.microsoft.com/office/2017/10/relationships/threadedComment" Target="../threadedComments/threadedComment44.xml"/></Relationships>
</file>

<file path=xl/worksheets/_rels/sheet57.xml.rels><?xml version="1.0" encoding="UTF-8" standalone="yes"?>
<Relationships xmlns="http://schemas.openxmlformats.org/package/2006/relationships"><Relationship Id="rId3" Type="http://schemas.microsoft.com/office/2017/10/relationships/threadedComment" Target="../threadedComments/threadedComment45.xml"/><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58.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43.bin"/><Relationship Id="rId4" Type="http://schemas.microsoft.com/office/2017/10/relationships/threadedComment" Target="../threadedComments/threadedComment46.xml"/></Relationships>
</file>

<file path=xl/worksheets/_rels/sheet59.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printerSettings" Target="../printerSettings/printerSettings44.bin"/><Relationship Id="rId4" Type="http://schemas.microsoft.com/office/2017/10/relationships/threadedComment" Target="../threadedComments/threadedComment47.xml"/></Relationships>
</file>

<file path=xl/worksheets/_rels/sheet60.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vmlDrawing" Target="../drawings/vmlDrawing48.vml"/><Relationship Id="rId1" Type="http://schemas.openxmlformats.org/officeDocument/2006/relationships/printerSettings" Target="../printerSettings/printerSettings45.bin"/><Relationship Id="rId4" Type="http://schemas.microsoft.com/office/2017/10/relationships/threadedComment" Target="../threadedComments/threadedComment48.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printerSettings" Target="../printerSettings/printerSettings46.bin"/><Relationship Id="rId4" Type="http://schemas.microsoft.com/office/2017/10/relationships/threadedComment" Target="../threadedComments/threadedComment49.xml"/></Relationships>
</file>

<file path=xl/worksheets/_rels/sheet64.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47.bin"/><Relationship Id="rId4" Type="http://schemas.microsoft.com/office/2017/10/relationships/threadedComment" Target="../threadedComments/threadedComment50.xml"/></Relationships>
</file>

<file path=xl/worksheets/_rels/sheet65.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printerSettings" Target="../printerSettings/printerSettings48.bin"/><Relationship Id="rId4" Type="http://schemas.microsoft.com/office/2017/10/relationships/threadedComment" Target="../threadedComments/threadedComment51.xml"/></Relationships>
</file>

<file path=xl/worksheets/_rels/sheet66.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49.bin"/><Relationship Id="rId4" Type="http://schemas.microsoft.com/office/2017/10/relationships/threadedComment" Target="../threadedComments/threadedComment52.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printerSettings" Target="../printerSettings/printerSettings50.bin"/><Relationship Id="rId4" Type="http://schemas.microsoft.com/office/2017/10/relationships/threadedComment" Target="../threadedComments/threadedComment53.xml"/></Relationships>
</file>

<file path=xl/worksheets/_rels/sheet68.xml.rels><?xml version="1.0" encoding="UTF-8" standalone="yes"?>
<Relationships xmlns="http://schemas.openxmlformats.org/package/2006/relationships"><Relationship Id="rId3" Type="http://schemas.openxmlformats.org/officeDocument/2006/relationships/comments" Target="../comments54.xml"/><Relationship Id="rId2" Type="http://schemas.openxmlformats.org/officeDocument/2006/relationships/vmlDrawing" Target="../drawings/vmlDrawing54.vml"/><Relationship Id="rId1" Type="http://schemas.openxmlformats.org/officeDocument/2006/relationships/printerSettings" Target="../printerSettings/printerSettings51.bin"/><Relationship Id="rId4" Type="http://schemas.microsoft.com/office/2017/10/relationships/threadedComment" Target="../threadedComments/threadedComment54.xml"/></Relationships>
</file>

<file path=xl/worksheets/_rels/sheet69.xml.rels><?xml version="1.0" encoding="UTF-8" standalone="yes"?>
<Relationships xmlns="http://schemas.openxmlformats.org/package/2006/relationships"><Relationship Id="rId3" Type="http://schemas.openxmlformats.org/officeDocument/2006/relationships/comments" Target="../comments55.xml"/><Relationship Id="rId2" Type="http://schemas.openxmlformats.org/officeDocument/2006/relationships/vmlDrawing" Target="../drawings/vmlDrawing55.vml"/><Relationship Id="rId1" Type="http://schemas.openxmlformats.org/officeDocument/2006/relationships/printerSettings" Target="../printerSettings/printerSettings52.bin"/><Relationship Id="rId4" Type="http://schemas.microsoft.com/office/2017/10/relationships/threadedComment" Target="../threadedComments/threadedComment55.xml"/></Relationships>
</file>

<file path=xl/worksheets/_rels/sheet70.xml.rels><?xml version="1.0" encoding="UTF-8" standalone="yes"?>
<Relationships xmlns="http://schemas.openxmlformats.org/package/2006/relationships"><Relationship Id="rId3" Type="http://schemas.openxmlformats.org/officeDocument/2006/relationships/comments" Target="../comments56.xml"/><Relationship Id="rId2" Type="http://schemas.openxmlformats.org/officeDocument/2006/relationships/vmlDrawing" Target="../drawings/vmlDrawing56.vml"/><Relationship Id="rId1" Type="http://schemas.openxmlformats.org/officeDocument/2006/relationships/printerSettings" Target="../printerSettings/printerSettings53.bin"/><Relationship Id="rId4" Type="http://schemas.microsoft.com/office/2017/10/relationships/threadedComment" Target="../threadedComments/threadedComment5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F1C09-6E56-4CAC-A2BC-22F96057CEEF}">
  <sheetPr>
    <tabColor rgb="FFFF0000"/>
  </sheetPr>
  <dimension ref="A1:L92"/>
  <sheetViews>
    <sheetView showGridLines="0" topLeftCell="A24" zoomScale="70" zoomScaleNormal="70" workbookViewId="0">
      <selection activeCell="E16" sqref="E16"/>
    </sheetView>
  </sheetViews>
  <sheetFormatPr defaultColWidth="11.42578125" defaultRowHeight="15" customHeight="1"/>
  <cols>
    <col min="1" max="1" width="26.28515625" customWidth="1"/>
    <col min="2" max="2" width="27.28515625" customWidth="1"/>
    <col min="3" max="3" width="13.28515625" bestFit="1" customWidth="1"/>
    <col min="4" max="4" width="51.5703125" customWidth="1"/>
    <col min="5" max="5" width="52.5703125" customWidth="1"/>
    <col min="6" max="6" width="59.140625" customWidth="1"/>
    <col min="7" max="7" width="50.42578125" customWidth="1"/>
    <col min="8" max="8" width="44.7109375" customWidth="1"/>
    <col min="9" max="9" width="27" customWidth="1"/>
    <col min="10" max="10" width="31" customWidth="1"/>
    <col min="11" max="12" width="19.140625" customWidth="1"/>
    <col min="13" max="13" width="20.7109375" bestFit="1" customWidth="1"/>
    <col min="14" max="14" width="9.7109375" bestFit="1" customWidth="1"/>
  </cols>
  <sheetData>
    <row r="1" spans="1:12" ht="36" customHeight="1">
      <c r="A1" s="965" t="s">
        <v>0</v>
      </c>
    </row>
    <row r="2" spans="1:12" ht="25.5" customHeight="1">
      <c r="A2" s="958" t="s">
        <v>1</v>
      </c>
    </row>
    <row r="4" spans="1:12" ht="15" customHeight="1">
      <c r="E4" s="831"/>
    </row>
    <row r="5" spans="1:12" ht="32.25">
      <c r="B5" s="977" t="s">
        <v>2</v>
      </c>
      <c r="C5" s="978" t="s">
        <v>3</v>
      </c>
      <c r="D5" s="979" t="s">
        <v>4</v>
      </c>
      <c r="E5" s="979" t="s">
        <v>5</v>
      </c>
      <c r="F5" s="980" t="s">
        <v>6</v>
      </c>
      <c r="G5" s="981" t="s">
        <v>7</v>
      </c>
      <c r="H5" s="982" t="s">
        <v>8</v>
      </c>
      <c r="I5" s="983" t="s">
        <v>6</v>
      </c>
      <c r="J5" s="984" t="s">
        <v>9</v>
      </c>
      <c r="K5" s="612"/>
    </row>
    <row r="6" spans="1:12" ht="63.75" customHeight="1">
      <c r="A6" s="960" t="s">
        <v>10</v>
      </c>
      <c r="B6" s="961" t="s">
        <v>11</v>
      </c>
      <c r="C6" s="961" t="s">
        <v>12</v>
      </c>
      <c r="D6" s="968" t="s">
        <v>13</v>
      </c>
      <c r="E6" s="1373" t="s">
        <v>14</v>
      </c>
      <c r="F6" s="969">
        <v>952254143</v>
      </c>
      <c r="G6" s="975"/>
      <c r="J6" s="975"/>
    </row>
    <row r="7" spans="1:12">
      <c r="B7" s="697" t="s">
        <v>11</v>
      </c>
      <c r="C7" s="697" t="s">
        <v>15</v>
      </c>
      <c r="D7" s="967" t="s">
        <v>13</v>
      </c>
      <c r="E7" s="1357" t="s">
        <v>14</v>
      </c>
      <c r="F7" s="681"/>
      <c r="G7" s="976"/>
      <c r="H7" s="681"/>
      <c r="I7" s="681"/>
      <c r="J7" s="976"/>
      <c r="K7" s="681"/>
      <c r="L7" s="681"/>
    </row>
    <row r="8" spans="1:12">
      <c r="B8" s="697" t="s">
        <v>16</v>
      </c>
      <c r="C8" s="697" t="s">
        <v>17</v>
      </c>
      <c r="D8" s="967" t="s">
        <v>13</v>
      </c>
      <c r="E8" s="1357" t="s">
        <v>14</v>
      </c>
      <c r="F8" s="681"/>
      <c r="G8" s="976"/>
      <c r="H8" s="681"/>
      <c r="I8" s="681"/>
      <c r="J8" s="976"/>
      <c r="K8" s="681"/>
      <c r="L8" s="681"/>
    </row>
    <row r="9" spans="1:12" ht="18.75" customHeight="1">
      <c r="B9" s="697" t="s">
        <v>18</v>
      </c>
      <c r="C9" s="697" t="s">
        <v>19</v>
      </c>
      <c r="D9" s="967" t="s">
        <v>20</v>
      </c>
      <c r="E9" s="1357" t="s">
        <v>14</v>
      </c>
      <c r="F9" s="987" t="s">
        <v>21</v>
      </c>
      <c r="G9" s="976" t="s">
        <v>22</v>
      </c>
      <c r="H9" s="681"/>
      <c r="I9" s="681"/>
      <c r="J9" s="976"/>
      <c r="K9" s="681"/>
      <c r="L9" s="681"/>
    </row>
    <row r="10" spans="1:12">
      <c r="B10" s="697" t="s">
        <v>16</v>
      </c>
      <c r="C10" s="697" t="s">
        <v>23</v>
      </c>
      <c r="D10" s="967" t="s">
        <v>24</v>
      </c>
      <c r="E10" s="1292" t="s">
        <v>25</v>
      </c>
      <c r="F10" s="681"/>
      <c r="G10" s="976"/>
      <c r="H10" s="681"/>
      <c r="I10" s="681"/>
      <c r="J10" s="976"/>
      <c r="K10" s="681"/>
      <c r="L10" s="681"/>
    </row>
    <row r="11" spans="1:12">
      <c r="B11" s="697" t="s">
        <v>11</v>
      </c>
      <c r="C11" s="697" t="s">
        <v>26</v>
      </c>
      <c r="D11" s="967" t="s">
        <v>24</v>
      </c>
      <c r="E11" s="1292" t="s">
        <v>14</v>
      </c>
      <c r="F11" s="681"/>
      <c r="G11" s="976"/>
      <c r="H11" s="681"/>
      <c r="I11" s="681"/>
      <c r="J11" s="976"/>
      <c r="K11" s="681"/>
      <c r="L11" s="681"/>
    </row>
    <row r="12" spans="1:12">
      <c r="B12" s="697" t="s">
        <v>11</v>
      </c>
      <c r="C12" s="697" t="s">
        <v>27</v>
      </c>
      <c r="D12" s="967" t="s">
        <v>24</v>
      </c>
      <c r="E12" s="1292" t="s">
        <v>25</v>
      </c>
      <c r="F12" s="681"/>
      <c r="G12" s="976"/>
      <c r="H12" s="681"/>
      <c r="I12" s="681"/>
      <c r="J12" s="976"/>
      <c r="K12" s="681"/>
      <c r="L12" s="681"/>
    </row>
    <row r="13" spans="1:12">
      <c r="B13" s="697" t="s">
        <v>28</v>
      </c>
      <c r="C13" s="697" t="s">
        <v>29</v>
      </c>
      <c r="D13" s="967"/>
      <c r="E13" s="1292" t="s">
        <v>25</v>
      </c>
      <c r="F13" s="681"/>
      <c r="G13" s="976"/>
      <c r="H13" s="681"/>
      <c r="I13" s="681"/>
      <c r="J13" s="976"/>
      <c r="K13" s="681"/>
      <c r="L13" s="681"/>
    </row>
    <row r="14" spans="1:12">
      <c r="B14" s="697" t="s">
        <v>30</v>
      </c>
      <c r="C14" s="697" t="s">
        <v>31</v>
      </c>
      <c r="D14" s="967"/>
      <c r="E14" s="1292" t="s">
        <v>25</v>
      </c>
      <c r="F14" s="681"/>
      <c r="G14" s="976"/>
      <c r="H14" s="681"/>
      <c r="I14" s="681"/>
      <c r="J14" s="976"/>
      <c r="K14" s="681"/>
      <c r="L14" s="681"/>
    </row>
    <row r="15" spans="1:12">
      <c r="B15" s="697" t="s">
        <v>28</v>
      </c>
      <c r="C15" s="697" t="s">
        <v>32</v>
      </c>
      <c r="D15" s="967"/>
      <c r="E15" s="1292" t="s">
        <v>25</v>
      </c>
      <c r="F15" s="681"/>
      <c r="G15" s="976"/>
      <c r="H15" s="681"/>
      <c r="I15" s="681"/>
      <c r="J15" s="976"/>
      <c r="K15" s="681"/>
      <c r="L15" s="681"/>
    </row>
    <row r="16" spans="1:12">
      <c r="B16" s="697" t="s">
        <v>33</v>
      </c>
      <c r="C16" s="697" t="s">
        <v>34</v>
      </c>
      <c r="D16" s="967"/>
      <c r="E16" s="1292" t="s">
        <v>25</v>
      </c>
      <c r="G16" s="975"/>
      <c r="J16" s="975"/>
    </row>
    <row r="17" spans="2:10">
      <c r="B17" s="697" t="s">
        <v>35</v>
      </c>
      <c r="C17" s="697" t="s">
        <v>36</v>
      </c>
      <c r="D17" s="967" t="s">
        <v>37</v>
      </c>
      <c r="E17" s="1357" t="s">
        <v>14</v>
      </c>
      <c r="F17" t="s">
        <v>38</v>
      </c>
      <c r="G17" s="1236"/>
      <c r="J17" s="975"/>
    </row>
    <row r="18" spans="2:10">
      <c r="B18" s="697" t="s">
        <v>39</v>
      </c>
      <c r="C18" s="697" t="s">
        <v>40</v>
      </c>
      <c r="D18" s="967" t="s">
        <v>37</v>
      </c>
      <c r="E18" s="1357" t="s">
        <v>14</v>
      </c>
      <c r="G18" s="1236"/>
      <c r="J18" s="975"/>
    </row>
    <row r="19" spans="2:10">
      <c r="B19" s="697" t="s">
        <v>16</v>
      </c>
      <c r="C19" s="697" t="s">
        <v>41</v>
      </c>
      <c r="D19" s="967"/>
      <c r="E19" s="1292" t="s">
        <v>25</v>
      </c>
      <c r="G19" s="975"/>
      <c r="J19" s="975"/>
    </row>
    <row r="20" spans="2:10">
      <c r="B20" s="697" t="s">
        <v>28</v>
      </c>
      <c r="C20" s="697" t="s">
        <v>42</v>
      </c>
      <c r="D20" s="967" t="s">
        <v>43</v>
      </c>
      <c r="E20" s="1357" t="s">
        <v>14</v>
      </c>
      <c r="G20" s="975"/>
      <c r="J20" s="975"/>
    </row>
    <row r="21" spans="2:10">
      <c r="B21" s="697" t="s">
        <v>28</v>
      </c>
      <c r="C21" s="697" t="s">
        <v>44</v>
      </c>
      <c r="D21" s="967" t="s">
        <v>43</v>
      </c>
      <c r="E21" s="1372" t="s">
        <v>45</v>
      </c>
      <c r="G21" s="975"/>
      <c r="J21" s="975"/>
    </row>
    <row r="22" spans="2:10">
      <c r="B22" s="697" t="s">
        <v>28</v>
      </c>
      <c r="C22" s="697" t="s">
        <v>46</v>
      </c>
      <c r="D22" s="967" t="s">
        <v>43</v>
      </c>
      <c r="E22" s="1357" t="s">
        <v>14</v>
      </c>
      <c r="G22" s="975"/>
      <c r="J22" s="975"/>
    </row>
    <row r="23" spans="2:10">
      <c r="B23" s="697" t="s">
        <v>28</v>
      </c>
      <c r="C23" s="697" t="s">
        <v>47</v>
      </c>
      <c r="D23" s="967" t="s">
        <v>43</v>
      </c>
      <c r="E23" s="1372" t="s">
        <v>45</v>
      </c>
      <c r="G23" s="975"/>
      <c r="J23" s="975"/>
    </row>
    <row r="24" spans="2:10">
      <c r="B24" s="697" t="s">
        <v>16</v>
      </c>
      <c r="C24" s="697" t="s">
        <v>48</v>
      </c>
      <c r="D24" s="967" t="s">
        <v>37</v>
      </c>
      <c r="E24" s="1357" t="s">
        <v>14</v>
      </c>
      <c r="G24" s="1236"/>
      <c r="J24" s="975"/>
    </row>
    <row r="25" spans="2:10" ht="14.25">
      <c r="B25" s="959" t="s">
        <v>16</v>
      </c>
      <c r="C25" s="1292" t="s">
        <v>49</v>
      </c>
      <c r="D25" s="967"/>
      <c r="E25" s="1292" t="s">
        <v>25</v>
      </c>
      <c r="F25" s="970"/>
      <c r="G25" s="975"/>
      <c r="J25" s="975"/>
    </row>
    <row r="26" spans="2:10">
      <c r="B26" s="697" t="s">
        <v>30</v>
      </c>
      <c r="C26" s="697" t="s">
        <v>50</v>
      </c>
      <c r="D26" s="967"/>
      <c r="E26" s="1292" t="s">
        <v>25</v>
      </c>
      <c r="F26" s="970"/>
      <c r="G26" s="976"/>
      <c r="J26" s="976"/>
    </row>
    <row r="27" spans="2:10">
      <c r="B27" s="697" t="s">
        <v>30</v>
      </c>
      <c r="C27" s="697" t="s">
        <v>51</v>
      </c>
      <c r="D27" s="967" t="s">
        <v>43</v>
      </c>
      <c r="E27" s="1357" t="s">
        <v>14</v>
      </c>
      <c r="G27" s="975"/>
      <c r="J27" s="975"/>
    </row>
    <row r="28" spans="2:10">
      <c r="B28" s="697" t="s">
        <v>11</v>
      </c>
      <c r="C28" s="697" t="s">
        <v>52</v>
      </c>
      <c r="D28" s="967" t="s">
        <v>53</v>
      </c>
      <c r="E28" s="1357" t="s">
        <v>14</v>
      </c>
      <c r="G28" s="975"/>
      <c r="J28" s="975"/>
    </row>
    <row r="29" spans="2:10">
      <c r="B29" s="697" t="s">
        <v>16</v>
      </c>
      <c r="C29" s="697" t="s">
        <v>54</v>
      </c>
      <c r="D29" s="967" t="s">
        <v>53</v>
      </c>
      <c r="E29" s="1372" t="s">
        <v>45</v>
      </c>
      <c r="G29" s="975"/>
      <c r="J29" s="975"/>
    </row>
    <row r="30" spans="2:10">
      <c r="B30" s="697" t="s">
        <v>18</v>
      </c>
      <c r="C30" s="697" t="s">
        <v>55</v>
      </c>
      <c r="D30" s="967" t="s">
        <v>37</v>
      </c>
      <c r="E30" s="1357" t="s">
        <v>14</v>
      </c>
      <c r="F30" t="s">
        <v>38</v>
      </c>
      <c r="G30" s="975"/>
      <c r="J30" s="975"/>
    </row>
    <row r="31" spans="2:10" ht="18.75">
      <c r="B31" s="697" t="s">
        <v>56</v>
      </c>
      <c r="C31" s="1286" t="s">
        <v>57</v>
      </c>
      <c r="D31" s="967" t="s">
        <v>37</v>
      </c>
      <c r="E31" s="1357" t="s">
        <v>14</v>
      </c>
      <c r="F31" t="s">
        <v>38</v>
      </c>
      <c r="G31" s="1236"/>
      <c r="J31" s="1284"/>
    </row>
    <row r="32" spans="2:10">
      <c r="B32" s="697" t="s">
        <v>39</v>
      </c>
      <c r="C32" s="697" t="s">
        <v>58</v>
      </c>
      <c r="D32" s="967" t="s">
        <v>43</v>
      </c>
      <c r="E32" s="1357" t="s">
        <v>14</v>
      </c>
      <c r="G32" s="975"/>
      <c r="J32" s="975"/>
    </row>
    <row r="33" spans="2:10">
      <c r="B33" s="697" t="s">
        <v>39</v>
      </c>
      <c r="C33" s="697" t="s">
        <v>59</v>
      </c>
      <c r="D33" s="967" t="s">
        <v>43</v>
      </c>
      <c r="E33" s="1357" t="s">
        <v>14</v>
      </c>
      <c r="G33" s="975"/>
      <c r="J33" s="975"/>
    </row>
    <row r="34" spans="2:10">
      <c r="B34" s="697" t="s">
        <v>60</v>
      </c>
      <c r="C34" s="697" t="s">
        <v>61</v>
      </c>
      <c r="D34" s="967" t="s">
        <v>62</v>
      </c>
      <c r="E34" s="1372" t="s">
        <v>63</v>
      </c>
      <c r="F34" s="1326" t="s">
        <v>64</v>
      </c>
      <c r="G34" s="976"/>
      <c r="J34" s="1354"/>
    </row>
    <row r="35" spans="2:10" ht="18.75">
      <c r="B35" s="697" t="s">
        <v>16</v>
      </c>
      <c r="C35" s="697" t="s">
        <v>65</v>
      </c>
      <c r="D35" s="967"/>
      <c r="E35" s="1292" t="s">
        <v>25</v>
      </c>
      <c r="F35" s="987" t="s">
        <v>66</v>
      </c>
      <c r="G35" s="1284"/>
      <c r="J35" s="1284"/>
    </row>
    <row r="36" spans="2:10">
      <c r="B36" s="697" t="s">
        <v>67</v>
      </c>
      <c r="C36" s="697" t="s">
        <v>68</v>
      </c>
      <c r="D36" s="967" t="s">
        <v>69</v>
      </c>
      <c r="E36" s="1372" t="s">
        <v>14</v>
      </c>
      <c r="F36" s="987" t="s">
        <v>70</v>
      </c>
      <c r="G36" s="975"/>
      <c r="J36" s="975"/>
    </row>
    <row r="37" spans="2:10">
      <c r="B37" s="697" t="s">
        <v>35</v>
      </c>
      <c r="C37" s="697" t="s">
        <v>71</v>
      </c>
      <c r="D37" s="967"/>
      <c r="E37" s="1292" t="s">
        <v>25</v>
      </c>
      <c r="G37" s="975"/>
      <c r="J37" s="975"/>
    </row>
    <row r="38" spans="2:10">
      <c r="B38" s="697"/>
      <c r="C38" s="697" t="s">
        <v>72</v>
      </c>
      <c r="D38" s="967" t="s">
        <v>73</v>
      </c>
      <c r="E38" s="1372" t="s">
        <v>74</v>
      </c>
      <c r="G38" s="975"/>
      <c r="J38" s="975"/>
    </row>
    <row r="39" spans="2:10" ht="14.25">
      <c r="B39" s="697"/>
      <c r="C39" s="697"/>
      <c r="D39" s="967"/>
      <c r="E39" s="697"/>
      <c r="G39" s="975"/>
      <c r="J39" s="975"/>
    </row>
    <row r="40" spans="2:10" ht="14.25">
      <c r="D40" s="971"/>
      <c r="G40" s="975"/>
      <c r="J40" s="975"/>
    </row>
    <row r="41" spans="2:10" ht="14.25">
      <c r="D41" s="971"/>
      <c r="G41" s="975"/>
      <c r="J41" s="975"/>
    </row>
    <row r="42" spans="2:10" ht="14.25">
      <c r="B42" s="715"/>
      <c r="C42" s="716"/>
      <c r="D42" s="972"/>
      <c r="G42" s="975"/>
      <c r="J42" s="975"/>
    </row>
    <row r="43" spans="2:10" ht="14.25">
      <c r="B43" s="715"/>
      <c r="C43" s="715"/>
      <c r="D43" s="973"/>
      <c r="G43" s="975"/>
      <c r="J43" s="975"/>
    </row>
    <row r="44" spans="2:10" ht="14.25">
      <c r="B44" s="715"/>
      <c r="C44" s="715"/>
      <c r="D44" s="973"/>
      <c r="G44" s="975"/>
      <c r="J44" s="975"/>
    </row>
    <row r="45" spans="2:10" ht="14.25">
      <c r="B45" s="715"/>
      <c r="C45" s="715"/>
      <c r="D45" s="974"/>
      <c r="G45" s="975"/>
      <c r="J45" s="975"/>
    </row>
    <row r="46" spans="2:10" ht="15" customHeight="1">
      <c r="D46" s="971" t="str" cm="1">
        <f t="array" ref="D46:D55">_xlfn.UNIQUE(D7:D38)</f>
        <v>Victor Araya</v>
      </c>
      <c r="G46" s="975"/>
      <c r="J46" s="975"/>
    </row>
    <row r="47" spans="2:10" ht="15" customHeight="1">
      <c r="D47" s="971" t="str">
        <v>Van Olivares</v>
      </c>
      <c r="G47" s="975"/>
      <c r="J47" s="975"/>
    </row>
    <row r="48" spans="2:10" ht="15" customHeight="1">
      <c r="D48" s="971" t="str">
        <v>Victor Jofré</v>
      </c>
      <c r="G48" s="975"/>
      <c r="J48" s="975"/>
    </row>
    <row r="49" spans="4:10" ht="15" customHeight="1">
      <c r="D49" s="971">
        <v>0</v>
      </c>
      <c r="G49" s="975"/>
      <c r="J49" s="975"/>
    </row>
    <row r="50" spans="4:10" ht="15" customHeight="1">
      <c r="D50" s="971" t="str">
        <v>Manuel González</v>
      </c>
      <c r="G50" s="975"/>
      <c r="J50" s="975"/>
    </row>
    <row r="51" spans="4:10" ht="14.25">
      <c r="D51" s="971" t="str">
        <v>Alvaro De la Quintana</v>
      </c>
      <c r="G51" s="975"/>
      <c r="J51" s="975"/>
    </row>
    <row r="52" spans="4:10" ht="14.25">
      <c r="D52" s="971" t="str">
        <v>Jean Herrera</v>
      </c>
      <c r="G52" s="975"/>
      <c r="J52" s="975"/>
    </row>
    <row r="53" spans="4:10" ht="14.25">
      <c r="D53" s="971" t="str">
        <v>Gian Carlo Giuliano</v>
      </c>
      <c r="G53" s="975"/>
      <c r="J53" s="975"/>
    </row>
    <row r="54" spans="4:10" ht="14.25">
      <c r="D54" s="971" t="str">
        <v>Edo Otero</v>
      </c>
      <c r="G54" s="975"/>
      <c r="J54" s="975"/>
    </row>
    <row r="55" spans="4:10" ht="14.25">
      <c r="D55" s="971" t="str">
        <v>Diego Muñoz C</v>
      </c>
      <c r="G55" s="975"/>
      <c r="J55" s="975"/>
    </row>
    <row r="56" spans="4:10" ht="14.25">
      <c r="D56" s="971"/>
      <c r="G56" s="975"/>
      <c r="J56" s="975"/>
    </row>
    <row r="57" spans="4:10" ht="14.25">
      <c r="D57" s="971"/>
      <c r="G57" s="975"/>
      <c r="J57" s="975"/>
    </row>
    <row r="58" spans="4:10" ht="14.25">
      <c r="D58" s="971"/>
      <c r="G58" s="975"/>
      <c r="J58" s="975"/>
    </row>
    <row r="59" spans="4:10" ht="14.25">
      <c r="D59" s="971"/>
      <c r="G59" s="975"/>
      <c r="J59" s="975"/>
    </row>
    <row r="60" spans="4:10" ht="14.25">
      <c r="D60" s="971"/>
      <c r="G60" s="975"/>
      <c r="J60" s="975"/>
    </row>
    <row r="61" spans="4:10" ht="14.25">
      <c r="D61" s="971"/>
      <c r="G61" s="975"/>
      <c r="J61" s="975"/>
    </row>
    <row r="62" spans="4:10" ht="14.25">
      <c r="D62" s="971"/>
      <c r="G62" s="975"/>
      <c r="J62" s="975"/>
    </row>
    <row r="63" spans="4:10" ht="14.25">
      <c r="D63" s="971"/>
      <c r="G63" s="975"/>
      <c r="J63" s="975"/>
    </row>
    <row r="64" spans="4:10" ht="14.25">
      <c r="D64" s="971"/>
      <c r="G64" s="975"/>
      <c r="J64" s="975"/>
    </row>
    <row r="65" spans="4:10" ht="15" customHeight="1">
      <c r="D65" s="971"/>
      <c r="G65" s="975"/>
      <c r="J65" s="975"/>
    </row>
    <row r="66" spans="4:10" ht="14.25">
      <c r="D66" s="971"/>
      <c r="G66" s="975"/>
      <c r="J66" s="975"/>
    </row>
    <row r="67" spans="4:10" ht="14.25">
      <c r="D67" s="971"/>
      <c r="G67" s="975"/>
      <c r="J67" s="975"/>
    </row>
    <row r="68" spans="4:10" ht="14.25">
      <c r="D68" s="971"/>
      <c r="G68" s="975"/>
      <c r="J68" s="975"/>
    </row>
    <row r="69" spans="4:10" ht="14.25">
      <c r="D69" s="971"/>
      <c r="G69" s="975"/>
      <c r="J69" s="975"/>
    </row>
    <row r="70" spans="4:10" ht="14.25">
      <c r="D70" s="971"/>
      <c r="G70" s="975"/>
      <c r="J70" s="975"/>
    </row>
    <row r="71" spans="4:10" ht="14.25">
      <c r="D71" s="971"/>
      <c r="G71" s="975"/>
      <c r="J71" s="975"/>
    </row>
    <row r="72" spans="4:10" ht="14.25">
      <c r="D72" s="971"/>
      <c r="G72" s="975"/>
      <c r="J72" s="975"/>
    </row>
    <row r="73" spans="4:10" ht="14.25">
      <c r="D73" s="971"/>
      <c r="G73" s="975"/>
      <c r="J73" s="975"/>
    </row>
    <row r="74" spans="4:10" ht="14.25">
      <c r="D74" s="971"/>
      <c r="G74" s="975"/>
      <c r="J74" s="975"/>
    </row>
    <row r="75" spans="4:10" ht="14.25">
      <c r="D75" s="971"/>
      <c r="G75" s="975"/>
      <c r="J75" s="975"/>
    </row>
    <row r="76" spans="4:10" ht="14.25">
      <c r="D76" s="971"/>
      <c r="G76" s="975"/>
      <c r="J76" s="975"/>
    </row>
    <row r="77" spans="4:10" ht="14.25">
      <c r="D77" s="971"/>
      <c r="G77" s="975"/>
      <c r="J77" s="975"/>
    </row>
    <row r="78" spans="4:10" ht="14.25">
      <c r="D78" s="971"/>
      <c r="G78" s="975"/>
      <c r="J78" s="975"/>
    </row>
    <row r="79" spans="4:10" ht="15" customHeight="1">
      <c r="D79" s="971"/>
      <c r="G79" s="975"/>
      <c r="J79" s="975"/>
    </row>
    <row r="80" spans="4:10" ht="15" customHeight="1">
      <c r="D80" s="971"/>
      <c r="G80" s="975"/>
      <c r="J80" s="975"/>
    </row>
    <row r="81" spans="4:10" ht="15" customHeight="1">
      <c r="D81" s="971"/>
      <c r="G81" s="975"/>
      <c r="J81" s="975"/>
    </row>
    <row r="82" spans="4:10" ht="15" customHeight="1">
      <c r="D82" s="971"/>
      <c r="G82" s="975"/>
      <c r="J82" s="975"/>
    </row>
    <row r="83" spans="4:10" ht="15" customHeight="1">
      <c r="D83" s="971"/>
      <c r="G83" s="975"/>
      <c r="J83" s="975"/>
    </row>
    <row r="84" spans="4:10" ht="15" customHeight="1">
      <c r="D84" s="971"/>
      <c r="G84" s="975"/>
      <c r="J84" s="975"/>
    </row>
    <row r="85" spans="4:10" ht="15" customHeight="1">
      <c r="D85" s="971"/>
      <c r="G85" s="975"/>
      <c r="J85" s="975"/>
    </row>
    <row r="86" spans="4:10" ht="15" customHeight="1">
      <c r="D86" s="971"/>
      <c r="G86" s="975"/>
      <c r="J86" s="975"/>
    </row>
    <row r="87" spans="4:10" ht="15" customHeight="1">
      <c r="D87" s="971"/>
      <c r="G87" s="975"/>
      <c r="J87" s="975"/>
    </row>
    <row r="88" spans="4:10" ht="15" customHeight="1">
      <c r="D88" s="971"/>
      <c r="G88" s="975"/>
      <c r="J88" s="975"/>
    </row>
    <row r="89" spans="4:10" ht="15" customHeight="1">
      <c r="D89" s="971"/>
      <c r="G89" s="975"/>
      <c r="J89" s="975"/>
    </row>
    <row r="90" spans="4:10" ht="15" customHeight="1">
      <c r="D90" s="971"/>
      <c r="G90" s="975"/>
      <c r="J90" s="975"/>
    </row>
    <row r="91" spans="4:10" ht="15" customHeight="1">
      <c r="D91" s="971"/>
      <c r="G91" s="975"/>
      <c r="J91" s="975"/>
    </row>
    <row r="92" spans="4:10" ht="15" customHeight="1">
      <c r="D92" s="971"/>
      <c r="G92" s="975"/>
      <c r="J92" s="975"/>
    </row>
  </sheetData>
  <sortState xmlns:xlrd2="http://schemas.microsoft.com/office/spreadsheetml/2017/richdata2" ref="B67:M78">
    <sortCondition descending="1" ref="M67:M78"/>
  </sortState>
  <hyperlinks>
    <hyperlink ref="F35" r:id="rId1" xr:uid="{FBAD9114-C9EC-4A10-A591-666DBC09DC01}"/>
    <hyperlink ref="F36" r:id="rId2" xr:uid="{0A62D704-DF27-484F-AB14-8A371176F74B}"/>
    <hyperlink ref="F9" r:id="rId3" xr:uid="{FE94DA7C-413A-458E-8AE2-92656F19D55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FCEC0-5D57-4901-8196-C0EE19BB392F}">
  <sheetPr>
    <tabColor rgb="FFFF0000"/>
  </sheetPr>
  <dimension ref="B2:B33"/>
  <sheetViews>
    <sheetView showGridLines="0" zoomScale="25" zoomScaleNormal="25" workbookViewId="0">
      <selection activeCell="B6" sqref="B6"/>
    </sheetView>
  </sheetViews>
  <sheetFormatPr defaultColWidth="9" defaultRowHeight="14.25"/>
  <cols>
    <col min="1" max="1" width="2.42578125" customWidth="1"/>
    <col min="2" max="2" width="36.5703125" bestFit="1" customWidth="1"/>
  </cols>
  <sheetData>
    <row r="2" spans="2:2" ht="25.5">
      <c r="B2" s="962" t="s">
        <v>75</v>
      </c>
    </row>
    <row r="4" spans="2:2" ht="23.25">
      <c r="B4" s="986" t="s">
        <v>76</v>
      </c>
    </row>
    <row r="5" spans="2:2" ht="23.25">
      <c r="B5" s="281" t="s">
        <v>77</v>
      </c>
    </row>
    <row r="6" spans="2:2" ht="23.25">
      <c r="B6" s="281" t="s">
        <v>78</v>
      </c>
    </row>
    <row r="7" spans="2:2" ht="23.25">
      <c r="B7" s="281" t="s">
        <v>79</v>
      </c>
    </row>
    <row r="8" spans="2:2" ht="23.25">
      <c r="B8" s="281" t="s">
        <v>80</v>
      </c>
    </row>
    <row r="9" spans="2:2" ht="23.25">
      <c r="B9" s="281" t="s">
        <v>81</v>
      </c>
    </row>
    <row r="10" spans="2:2" ht="23.25">
      <c r="B10" s="281" t="s">
        <v>82</v>
      </c>
    </row>
    <row r="11" spans="2:2" ht="23.25">
      <c r="B11" s="281" t="s">
        <v>83</v>
      </c>
    </row>
    <row r="12" spans="2:2" ht="23.25">
      <c r="B12" s="281" t="s">
        <v>84</v>
      </c>
    </row>
    <row r="13" spans="2:2" ht="23.25">
      <c r="B13" s="281" t="s">
        <v>85</v>
      </c>
    </row>
    <row r="14" spans="2:2" ht="23.25">
      <c r="B14" s="281" t="s">
        <v>86</v>
      </c>
    </row>
    <row r="15" spans="2:2" ht="23.25">
      <c r="B15" s="281" t="s">
        <v>87</v>
      </c>
    </row>
    <row r="16" spans="2:2" ht="23.25">
      <c r="B16" s="281" t="s">
        <v>88</v>
      </c>
    </row>
    <row r="17" spans="2:2" ht="23.25">
      <c r="B17" s="281" t="s">
        <v>89</v>
      </c>
    </row>
    <row r="18" spans="2:2" ht="23.25">
      <c r="B18" s="281" t="s">
        <v>90</v>
      </c>
    </row>
    <row r="19" spans="2:2" ht="23.25">
      <c r="B19" s="281" t="s">
        <v>91</v>
      </c>
    </row>
    <row r="20" spans="2:2" ht="23.25">
      <c r="B20" s="281"/>
    </row>
    <row r="21" spans="2:2" ht="23.25">
      <c r="B21" s="281"/>
    </row>
    <row r="22" spans="2:2" ht="23.25">
      <c r="B22" s="281"/>
    </row>
    <row r="23" spans="2:2" ht="23.25">
      <c r="B23" s="280" t="s">
        <v>92</v>
      </c>
    </row>
    <row r="24" spans="2:2" ht="23.25">
      <c r="B24" s="281"/>
    </row>
    <row r="25" spans="2:2" ht="23.25">
      <c r="B25" s="281"/>
    </row>
    <row r="26" spans="2:2" ht="23.25">
      <c r="B26" s="281"/>
    </row>
    <row r="27" spans="2:2" ht="23.25">
      <c r="B27" s="281"/>
    </row>
    <row r="28" spans="2:2" ht="23.25">
      <c r="B28" s="281"/>
    </row>
    <row r="29" spans="2:2" ht="23.25">
      <c r="B29" s="281"/>
    </row>
    <row r="30" spans="2:2" ht="23.25">
      <c r="B30" s="281"/>
    </row>
    <row r="31" spans="2:2" ht="23.25">
      <c r="B31" s="281"/>
    </row>
    <row r="32" spans="2:2" ht="23.25">
      <c r="B32" s="281"/>
    </row>
    <row r="33" spans="2:2" ht="23.25">
      <c r="B33" s="28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0B02-1B7D-45FD-B970-BACE59DE5472}">
  <sheetPr>
    <tabColor rgb="FFFF0000"/>
  </sheetPr>
  <dimension ref="B1:C12"/>
  <sheetViews>
    <sheetView showGridLines="0" workbookViewId="0">
      <selection activeCell="D14" sqref="D14"/>
    </sheetView>
  </sheetViews>
  <sheetFormatPr defaultColWidth="9" defaultRowHeight="14.25"/>
  <cols>
    <col min="2" max="2" width="36.5703125" bestFit="1" customWidth="1"/>
  </cols>
  <sheetData>
    <row r="1" spans="2:3" ht="36">
      <c r="B1" s="966" t="s">
        <v>93</v>
      </c>
    </row>
    <row r="3" spans="2:3" ht="21">
      <c r="B3" s="1" t="s">
        <v>94</v>
      </c>
      <c r="C3" s="987" t="s">
        <v>95</v>
      </c>
    </row>
    <row r="5" spans="2:3" ht="21">
      <c r="B5" s="1" t="s">
        <v>96</v>
      </c>
    </row>
    <row r="6" spans="2:3">
      <c r="B6" t="s">
        <v>97</v>
      </c>
    </row>
    <row r="7" spans="2:3" ht="21">
      <c r="B7" s="2" t="s">
        <v>98</v>
      </c>
    </row>
    <row r="9" spans="2:3" ht="21">
      <c r="B9" s="1" t="s">
        <v>99</v>
      </c>
    </row>
    <row r="10" spans="2:3" ht="21">
      <c r="B10" s="2" t="s">
        <v>100</v>
      </c>
    </row>
    <row r="11" spans="2:3" ht="21">
      <c r="B11" s="2" t="s">
        <v>101</v>
      </c>
    </row>
    <row r="12" spans="2:3" ht="21">
      <c r="B12" s="985" t="s">
        <v>102</v>
      </c>
    </row>
  </sheetData>
  <hyperlinks>
    <hyperlink ref="C3" r:id="rId1" xr:uid="{79D1586D-4780-4B1A-AFB6-5F831BD4111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6058F-801F-40BF-A4E7-9016F1F6C047}">
  <sheetPr>
    <tabColor rgb="FFFF0000"/>
  </sheetPr>
  <dimension ref="B2:O27"/>
  <sheetViews>
    <sheetView showGridLines="0" topLeftCell="C27" workbookViewId="0">
      <selection activeCell="I18" sqref="I18"/>
    </sheetView>
  </sheetViews>
  <sheetFormatPr defaultColWidth="8.7109375" defaultRowHeight="14.25"/>
  <cols>
    <col min="2" max="2" width="125.140625" customWidth="1"/>
    <col min="3" max="3" width="32.140625" customWidth="1"/>
    <col min="4" max="4" width="56.42578125" bestFit="1" customWidth="1"/>
    <col min="5" max="5" width="11.28515625" bestFit="1" customWidth="1"/>
    <col min="6" max="6" width="12.5703125" bestFit="1" customWidth="1"/>
  </cols>
  <sheetData>
    <row r="2" spans="2:15" ht="21">
      <c r="B2" s="963" t="s">
        <v>103</v>
      </c>
      <c r="D2" s="1" t="s">
        <v>104</v>
      </c>
    </row>
    <row r="3" spans="2:15" ht="41.25">
      <c r="B3" s="846" t="s">
        <v>105</v>
      </c>
    </row>
    <row r="4" spans="2:15" ht="41.25">
      <c r="B4" s="847" t="s">
        <v>106</v>
      </c>
    </row>
    <row r="6" spans="2:15">
      <c r="O6" s="840" t="s">
        <v>107</v>
      </c>
    </row>
    <row r="7" spans="2:15" ht="21">
      <c r="B7" s="1" t="s">
        <v>108</v>
      </c>
      <c r="F7" s="839" t="s">
        <v>109</v>
      </c>
    </row>
    <row r="8" spans="2:15">
      <c r="O8" s="840" t="s">
        <v>110</v>
      </c>
    </row>
    <row r="9" spans="2:15" ht="25.5">
      <c r="B9" s="842" t="s">
        <v>111</v>
      </c>
    </row>
    <row r="10" spans="2:15" ht="25.5">
      <c r="B10" s="843" t="s">
        <v>112</v>
      </c>
      <c r="F10" s="839" t="s">
        <v>113</v>
      </c>
    </row>
    <row r="11" spans="2:15" ht="18">
      <c r="B11" s="844" t="s">
        <v>114</v>
      </c>
    </row>
    <row r="12" spans="2:15" ht="18">
      <c r="B12" s="844" t="s">
        <v>115</v>
      </c>
    </row>
    <row r="13" spans="2:15" ht="30.75" customHeight="1">
      <c r="B13" s="844" t="s">
        <v>116</v>
      </c>
    </row>
    <row r="14" spans="2:15" ht="18.75">
      <c r="B14" s="845" t="s">
        <v>117</v>
      </c>
      <c r="D14" s="964" t="s">
        <v>118</v>
      </c>
    </row>
    <row r="15" spans="2:15" ht="25.5">
      <c r="B15" s="835" t="s">
        <v>119</v>
      </c>
      <c r="E15" s="841">
        <v>2023</v>
      </c>
      <c r="F15" s="841">
        <v>2024</v>
      </c>
      <c r="G15" s="841">
        <v>2025</v>
      </c>
    </row>
    <row r="16" spans="2:15" ht="25.5">
      <c r="B16" s="836" t="s">
        <v>120</v>
      </c>
      <c r="D16" s="842" t="s">
        <v>111</v>
      </c>
      <c r="E16" s="612">
        <f>SUM(E18:E21)</f>
        <v>0</v>
      </c>
      <c r="F16" s="612">
        <f>SUM(F18:F21)</f>
        <v>158</v>
      </c>
      <c r="G16" s="612">
        <f t="shared" ref="F16:G16" si="0">SUM(G18:G21)</f>
        <v>141</v>
      </c>
    </row>
    <row r="17" spans="2:7" ht="25.5">
      <c r="B17" s="837" t="s">
        <v>121</v>
      </c>
      <c r="D17" s="843" t="s">
        <v>112</v>
      </c>
      <c r="E17" s="612">
        <f>SUM(E18:E20)</f>
        <v>0</v>
      </c>
      <c r="F17" s="612">
        <f>SUM(F18:F20)</f>
        <v>158</v>
      </c>
      <c r="G17" s="612">
        <f>SUM(G18:G20)</f>
        <v>141</v>
      </c>
    </row>
    <row r="18" spans="2:7" ht="18">
      <c r="B18" s="837" t="s">
        <v>122</v>
      </c>
      <c r="D18" s="844" t="s">
        <v>114</v>
      </c>
      <c r="F18" s="840">
        <f>30+32+32</f>
        <v>94</v>
      </c>
      <c r="G18" s="840"/>
    </row>
    <row r="19" spans="2:7" ht="18">
      <c r="B19" s="837" t="s">
        <v>123</v>
      </c>
      <c r="D19" s="844" t="s">
        <v>115</v>
      </c>
      <c r="F19" s="840">
        <f>32+32</f>
        <v>64</v>
      </c>
      <c r="G19" s="840">
        <v>141</v>
      </c>
    </row>
    <row r="20" spans="2:7" ht="18">
      <c r="B20" s="838" t="s">
        <v>124</v>
      </c>
      <c r="D20" s="844" t="s">
        <v>116</v>
      </c>
    </row>
    <row r="21" spans="2:7" ht="18">
      <c r="D21" s="845" t="s">
        <v>117</v>
      </c>
    </row>
    <row r="22" spans="2:7" ht="25.5">
      <c r="B22" s="1" t="s">
        <v>125</v>
      </c>
      <c r="D22" s="835" t="s">
        <v>119</v>
      </c>
      <c r="E22" s="612">
        <f>SUM(E24:E27)</f>
        <v>94</v>
      </c>
      <c r="F22" s="612">
        <f>SUM(F24:F27)</f>
        <v>205</v>
      </c>
      <c r="G22" s="612">
        <f t="shared" ref="F22:G22" si="1">SUM(G24:G27)</f>
        <v>0</v>
      </c>
    </row>
    <row r="23" spans="2:7" ht="25.5">
      <c r="B23" s="1" t="s">
        <v>126</v>
      </c>
      <c r="D23" s="836" t="s">
        <v>120</v>
      </c>
      <c r="E23" s="612">
        <f>SUM(E24:E26)</f>
        <v>94</v>
      </c>
      <c r="F23" s="612">
        <f t="shared" ref="F23" si="2">SUM(F24:F26)</f>
        <v>205</v>
      </c>
      <c r="G23" s="612">
        <f t="shared" ref="G23" si="3">SUM(G24:G26)</f>
        <v>0</v>
      </c>
    </row>
    <row r="24" spans="2:7" ht="21">
      <c r="B24" s="848" t="s">
        <v>127</v>
      </c>
      <c r="D24" s="837" t="s">
        <v>121</v>
      </c>
      <c r="E24" s="839">
        <f>30+32+32</f>
        <v>94</v>
      </c>
      <c r="F24" s="839"/>
    </row>
    <row r="25" spans="2:7" ht="21">
      <c r="B25" s="848" t="s">
        <v>128</v>
      </c>
      <c r="D25" s="837" t="s">
        <v>122</v>
      </c>
      <c r="E25" s="839"/>
      <c r="F25" s="839">
        <f>141+32+32</f>
        <v>205</v>
      </c>
    </row>
    <row r="26" spans="2:7" ht="21">
      <c r="B26" s="1" t="s">
        <v>129</v>
      </c>
      <c r="D26" s="837" t="s">
        <v>123</v>
      </c>
    </row>
    <row r="27" spans="2:7" ht="18">
      <c r="D27" s="838" t="s">
        <v>124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862C1-AC72-4ABF-8117-983014730E50}">
  <sheetPr>
    <tabColor rgb="FFFF0000"/>
  </sheetPr>
  <dimension ref="B1:F35"/>
  <sheetViews>
    <sheetView workbookViewId="0">
      <selection activeCell="B4" sqref="B4"/>
    </sheetView>
  </sheetViews>
  <sheetFormatPr defaultColWidth="8.7109375" defaultRowHeight="14.25"/>
  <cols>
    <col min="2" max="2" width="36.5703125" bestFit="1" customWidth="1"/>
    <col min="3" max="3" width="16.5703125" bestFit="1" customWidth="1"/>
    <col min="4" max="4" width="17.5703125" bestFit="1" customWidth="1"/>
  </cols>
  <sheetData>
    <row r="1" spans="2:4">
      <c r="B1" s="681" t="s">
        <v>130</v>
      </c>
    </row>
    <row r="2" spans="2:4">
      <c r="B2" s="839" t="s">
        <v>131</v>
      </c>
    </row>
    <row r="4" spans="2:4">
      <c r="B4" t="s">
        <v>132</v>
      </c>
      <c r="C4" t="s">
        <v>133</v>
      </c>
      <c r="D4" s="790" t="s">
        <v>134</v>
      </c>
    </row>
    <row r="5" spans="2:4">
      <c r="B5" t="s">
        <v>135</v>
      </c>
      <c r="C5" t="s">
        <v>136</v>
      </c>
      <c r="D5" t="s">
        <v>137</v>
      </c>
    </row>
    <row r="6" spans="2:4">
      <c r="B6" t="s">
        <v>138</v>
      </c>
      <c r="C6" t="s">
        <v>16</v>
      </c>
      <c r="D6" t="s">
        <v>137</v>
      </c>
    </row>
    <row r="7" spans="2:4">
      <c r="B7" t="s">
        <v>31</v>
      </c>
      <c r="C7" t="s">
        <v>30</v>
      </c>
      <c r="D7" t="s">
        <v>137</v>
      </c>
    </row>
    <row r="8" spans="2:4">
      <c r="B8" t="s">
        <v>40</v>
      </c>
      <c r="C8" t="s">
        <v>39</v>
      </c>
      <c r="D8" t="s">
        <v>137</v>
      </c>
    </row>
    <row r="9" spans="2:4">
      <c r="B9" t="s">
        <v>12</v>
      </c>
      <c r="C9" t="s">
        <v>11</v>
      </c>
      <c r="D9" t="s">
        <v>137</v>
      </c>
    </row>
    <row r="10" spans="2:4">
      <c r="B10" t="s">
        <v>15</v>
      </c>
      <c r="C10" t="s">
        <v>11</v>
      </c>
      <c r="D10" t="s">
        <v>137</v>
      </c>
    </row>
    <row r="11" spans="2:4">
      <c r="B11" t="s">
        <v>27</v>
      </c>
      <c r="C11" t="s">
        <v>11</v>
      </c>
      <c r="D11" t="s">
        <v>137</v>
      </c>
    </row>
    <row r="12" spans="2:4">
      <c r="B12" t="s">
        <v>26</v>
      </c>
      <c r="C12" t="s">
        <v>11</v>
      </c>
      <c r="D12" t="s">
        <v>137</v>
      </c>
    </row>
    <row r="13" spans="2:4">
      <c r="B13" t="s">
        <v>139</v>
      </c>
      <c r="C13" t="s">
        <v>35</v>
      </c>
      <c r="D13" t="s">
        <v>137</v>
      </c>
    </row>
    <row r="14" spans="2:4">
      <c r="B14" s="830" t="s">
        <v>41</v>
      </c>
      <c r="C14" t="s">
        <v>16</v>
      </c>
      <c r="D14" t="s">
        <v>137</v>
      </c>
    </row>
    <row r="15" spans="2:4">
      <c r="B15" t="s">
        <v>48</v>
      </c>
      <c r="C15" t="s">
        <v>16</v>
      </c>
      <c r="D15" t="s">
        <v>137</v>
      </c>
    </row>
    <row r="16" spans="2:4">
      <c r="B16" t="s">
        <v>50</v>
      </c>
      <c r="C16" t="s">
        <v>30</v>
      </c>
      <c r="D16" t="s">
        <v>137</v>
      </c>
    </row>
    <row r="17" spans="2:6">
      <c r="B17" t="s">
        <v>52</v>
      </c>
      <c r="C17" t="s">
        <v>11</v>
      </c>
      <c r="D17" s="681" t="s">
        <v>137</v>
      </c>
    </row>
    <row r="18" spans="2:6">
      <c r="B18" t="s">
        <v>54</v>
      </c>
      <c r="C18" t="s">
        <v>16</v>
      </c>
      <c r="D18" t="s">
        <v>137</v>
      </c>
    </row>
    <row r="19" spans="2:6">
      <c r="B19" s="681" t="s">
        <v>57</v>
      </c>
      <c r="C19" s="681" t="s">
        <v>56</v>
      </c>
      <c r="D19" s="681" t="s">
        <v>137</v>
      </c>
    </row>
    <row r="20" spans="2:6">
      <c r="B20" s="681" t="s">
        <v>55</v>
      </c>
      <c r="C20" s="681" t="s">
        <v>136</v>
      </c>
      <c r="D20" s="681" t="s">
        <v>137</v>
      </c>
    </row>
    <row r="21" spans="2:6">
      <c r="B21" s="697" t="s">
        <v>58</v>
      </c>
      <c r="C21" s="681" t="s">
        <v>39</v>
      </c>
      <c r="D21" s="681" t="s">
        <v>137</v>
      </c>
    </row>
    <row r="22" spans="2:6">
      <c r="B22" s="697" t="s">
        <v>59</v>
      </c>
      <c r="C22" s="681" t="s">
        <v>39</v>
      </c>
      <c r="D22" s="681" t="s">
        <v>137</v>
      </c>
    </row>
    <row r="23" spans="2:6">
      <c r="B23" t="s">
        <v>71</v>
      </c>
      <c r="C23" t="s">
        <v>35</v>
      </c>
      <c r="D23" t="s">
        <v>137</v>
      </c>
    </row>
    <row r="24" spans="2:6">
      <c r="B24" t="s">
        <v>68</v>
      </c>
      <c r="C24" s="681" t="s">
        <v>67</v>
      </c>
      <c r="D24" t="s">
        <v>137</v>
      </c>
    </row>
    <row r="25" spans="2:6">
      <c r="B25" t="s">
        <v>23</v>
      </c>
      <c r="C25" t="s">
        <v>16</v>
      </c>
      <c r="D25" t="s">
        <v>140</v>
      </c>
    </row>
    <row r="26" spans="2:6">
      <c r="B26" t="s">
        <v>29</v>
      </c>
      <c r="C26" t="s">
        <v>28</v>
      </c>
      <c r="D26" t="s">
        <v>140</v>
      </c>
    </row>
    <row r="27" spans="2:6">
      <c r="B27" t="s">
        <v>32</v>
      </c>
      <c r="C27" t="s">
        <v>28</v>
      </c>
      <c r="D27" s="681" t="s">
        <v>140</v>
      </c>
    </row>
    <row r="28" spans="2:6">
      <c r="B28" t="s">
        <v>34</v>
      </c>
      <c r="C28" t="s">
        <v>33</v>
      </c>
      <c r="D28" t="s">
        <v>140</v>
      </c>
    </row>
    <row r="29" spans="2:6">
      <c r="B29" t="s">
        <v>42</v>
      </c>
      <c r="C29" t="s">
        <v>28</v>
      </c>
      <c r="D29" t="s">
        <v>140</v>
      </c>
      <c r="F29" t="s">
        <v>141</v>
      </c>
    </row>
    <row r="30" spans="2:6">
      <c r="B30" t="s">
        <v>44</v>
      </c>
      <c r="C30" t="s">
        <v>28</v>
      </c>
      <c r="D30" t="s">
        <v>140</v>
      </c>
    </row>
    <row r="31" spans="2:6">
      <c r="B31" t="s">
        <v>46</v>
      </c>
      <c r="C31" t="s">
        <v>28</v>
      </c>
      <c r="D31" t="s">
        <v>140</v>
      </c>
    </row>
    <row r="32" spans="2:6">
      <c r="B32" t="s">
        <v>47</v>
      </c>
      <c r="C32" t="s">
        <v>28</v>
      </c>
      <c r="D32" t="s">
        <v>140</v>
      </c>
    </row>
    <row r="33" spans="2:4">
      <c r="B33" t="s">
        <v>51</v>
      </c>
      <c r="C33" t="s">
        <v>30</v>
      </c>
      <c r="D33" s="681" t="s">
        <v>140</v>
      </c>
    </row>
    <row r="34" spans="2:4">
      <c r="B34" t="s">
        <v>65</v>
      </c>
      <c r="C34" t="s">
        <v>16</v>
      </c>
      <c r="D34" t="s">
        <v>140</v>
      </c>
    </row>
    <row r="35" spans="2:4">
      <c r="B35" t="s">
        <v>61</v>
      </c>
      <c r="C35" t="s">
        <v>60</v>
      </c>
      <c r="D35" t="s">
        <v>140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DAFD0-B3BE-43F6-850D-E2626ED00A75}">
  <dimension ref="A1:K44"/>
  <sheetViews>
    <sheetView showGridLines="0" topLeftCell="A8" workbookViewId="0">
      <selection activeCell="C36" sqref="C36"/>
    </sheetView>
  </sheetViews>
  <sheetFormatPr defaultColWidth="8.7109375" defaultRowHeight="14.25"/>
  <cols>
    <col min="1" max="1" width="5.42578125" customWidth="1"/>
    <col min="2" max="2" width="26.5703125" bestFit="1" customWidth="1"/>
    <col min="3" max="3" width="18.42578125" bestFit="1" customWidth="1"/>
    <col min="4" max="4" width="22.5703125" customWidth="1"/>
    <col min="5" max="5" width="23" customWidth="1"/>
    <col min="6" max="6" width="19" bestFit="1" customWidth="1"/>
    <col min="7" max="7" width="20.140625" bestFit="1" customWidth="1"/>
  </cols>
  <sheetData>
    <row r="1" spans="1:11" ht="30" customHeight="1">
      <c r="B1" s="694" t="s">
        <v>2</v>
      </c>
      <c r="C1" s="1407" t="s">
        <v>23</v>
      </c>
      <c r="D1" s="1407"/>
      <c r="E1" s="1407"/>
      <c r="F1" s="1407"/>
      <c r="G1" s="1407"/>
    </row>
    <row r="2" spans="1:11" ht="15.75">
      <c r="B2" s="691"/>
      <c r="C2" s="691"/>
      <c r="D2" s="691"/>
      <c r="E2" s="691"/>
      <c r="F2" s="691"/>
      <c r="G2" s="691"/>
    </row>
    <row r="3" spans="1:11" ht="23.25">
      <c r="B3" s="1408" t="s">
        <v>142</v>
      </c>
      <c r="C3" s="1408"/>
      <c r="D3" s="1408"/>
      <c r="E3" s="1408"/>
      <c r="F3" s="1408"/>
      <c r="G3" s="1408"/>
    </row>
    <row r="4" spans="1:11" ht="15.75">
      <c r="B4" s="691"/>
      <c r="C4" s="691"/>
      <c r="D4" s="691"/>
      <c r="E4" s="691"/>
      <c r="F4" s="691"/>
      <c r="G4" s="691"/>
    </row>
    <row r="5" spans="1:11" ht="18">
      <c r="B5" s="1409" t="s">
        <v>143</v>
      </c>
      <c r="C5" s="1410"/>
      <c r="D5" s="1410"/>
      <c r="E5" s="1410"/>
      <c r="F5" s="1410"/>
      <c r="G5" s="1410"/>
    </row>
    <row r="6" spans="1:11" ht="15.75">
      <c r="B6" s="692" t="s">
        <v>144</v>
      </c>
      <c r="C6" s="693" t="s">
        <v>145</v>
      </c>
      <c r="D6" s="695">
        <v>2022</v>
      </c>
      <c r="E6" s="695">
        <v>2023</v>
      </c>
      <c r="F6" s="695">
        <v>2024</v>
      </c>
      <c r="G6" s="693" t="s">
        <v>146</v>
      </c>
      <c r="I6" s="722"/>
      <c r="J6" s="721"/>
      <c r="K6" s="721"/>
    </row>
    <row r="7" spans="1:11" s="697" customFormat="1" ht="26.25" customHeight="1">
      <c r="A7" s="724">
        <f>AVERAGE(D7:F7)</f>
        <v>46092274000</v>
      </c>
      <c r="B7" s="696" t="s">
        <v>147</v>
      </c>
      <c r="C7" s="696" t="s">
        <v>148</v>
      </c>
      <c r="D7" s="703">
        <f>IFERROR(PEHUENCHE!H29,"")</f>
        <v>56284731000</v>
      </c>
      <c r="E7" s="703">
        <f>IFERROR(PEHUENCHE!I29,"")</f>
        <v>40793989000</v>
      </c>
      <c r="F7" s="703">
        <f>IFERROR(PEHUENCHE!J29,"")</f>
        <v>41198102000</v>
      </c>
      <c r="G7" s="723" t="str">
        <f>IF(SLOPE(D7:F7, $D$6:$F$6)&gt;0, "Creciente", "Decreciente")</f>
        <v>Decreciente</v>
      </c>
    </row>
    <row r="8" spans="1:11" ht="26.25" customHeight="1">
      <c r="A8" s="724">
        <f>AVERAGE(D8:F8)</f>
        <v>1.7291904079459623</v>
      </c>
      <c r="B8" s="696" t="s">
        <v>149</v>
      </c>
      <c r="C8" s="696" t="s">
        <v>150</v>
      </c>
      <c r="D8" s="704">
        <f>IFERROR(PEHUENCHE!H30,"")</f>
        <v>1.5780628015933966</v>
      </c>
      <c r="E8" s="704">
        <f>IFERROR(PEHUENCHE!I30,"")</f>
        <v>1.809671992447029</v>
      </c>
      <c r="F8" s="704">
        <f>IFERROR(PEHUENCHE!J30,"")</f>
        <v>1.7998364297974618</v>
      </c>
      <c r="G8" s="723" t="str">
        <f>IF(A8&lt;1,"🔴",IF(AND(A8&gt;=1.5,A8&lt;=2), "🟢","🟡"))</f>
        <v>🟢</v>
      </c>
      <c r="H8" s="720"/>
    </row>
    <row r="9" spans="1:11" ht="26.25" customHeight="1">
      <c r="A9" s="724">
        <f>AVERAGE(D9:F9)</f>
        <v>1.7237743605406328</v>
      </c>
      <c r="B9" s="696" t="s">
        <v>151</v>
      </c>
      <c r="C9" s="696" t="s">
        <v>152</v>
      </c>
      <c r="D9" s="704">
        <f>IFERROR(PEHUENCHE!H31,"")</f>
        <v>1.5754473489031</v>
      </c>
      <c r="E9" s="704">
        <f>IFERROR(PEHUENCHE!I31,"")</f>
        <v>1.801506378535513</v>
      </c>
      <c r="F9" s="704">
        <f>IFERROR(PEHUENCHE!J31,"")</f>
        <v>1.7943693541832857</v>
      </c>
      <c r="G9" s="723" t="str">
        <f>IF(A9&lt;1,"🔴",IF(AND(A9&gt;=1,A9&lt;=1.5), "🟢","🟡"))</f>
        <v>🟡</v>
      </c>
      <c r="H9" s="697"/>
    </row>
    <row r="10" spans="1:11" ht="26.25" customHeight="1">
      <c r="A10" s="724">
        <f>AVERAGE(D10:F10)</f>
        <v>0.3766786539737807</v>
      </c>
      <c r="B10" s="696" t="s">
        <v>153</v>
      </c>
      <c r="C10" s="696" t="s">
        <v>154</v>
      </c>
      <c r="D10" s="705">
        <f>IFERROR(PEHUENCHE!H32,"")</f>
        <v>0.43705173174237677</v>
      </c>
      <c r="E10" s="705">
        <f>IFERROR(PEHUENCHE!I32,"")</f>
        <v>0.35153459625436545</v>
      </c>
      <c r="F10" s="705">
        <f>IFERROR(PEHUENCHE!J32,"")</f>
        <v>0.3414496339245997</v>
      </c>
      <c r="G10" s="723" t="str">
        <f>IF(A10&lt;40%,"🔴",IF(AND(A10&gt;=40%,A10&lt;=50%), "🟢","🟡"))</f>
        <v>🔴</v>
      </c>
    </row>
    <row r="11" spans="1:11" ht="15.75">
      <c r="B11" s="691"/>
      <c r="C11" s="691"/>
      <c r="D11" s="691"/>
      <c r="E11" s="691"/>
      <c r="F11" s="691"/>
      <c r="G11" s="691"/>
    </row>
    <row r="12" spans="1:11" ht="18">
      <c r="B12" s="1409" t="s">
        <v>155</v>
      </c>
      <c r="C12" s="1410"/>
      <c r="D12" s="1410"/>
      <c r="E12" s="1410"/>
      <c r="F12" s="1410"/>
      <c r="G12" s="1410"/>
    </row>
    <row r="13" spans="1:11" ht="15.75">
      <c r="B13" s="692" t="s">
        <v>144</v>
      </c>
      <c r="C13" s="693" t="s">
        <v>145</v>
      </c>
      <c r="D13" s="695">
        <v>2022</v>
      </c>
      <c r="E13" s="695">
        <v>2023</v>
      </c>
      <c r="F13" s="695">
        <v>2024</v>
      </c>
      <c r="G13" s="693" t="s">
        <v>146</v>
      </c>
    </row>
    <row r="14" spans="1:11" ht="26.25" customHeight="1">
      <c r="B14" s="696" t="s">
        <v>156</v>
      </c>
      <c r="C14" s="696" t="s">
        <v>157</v>
      </c>
      <c r="D14" s="703">
        <f>IFERROR(PEHUENCHE!H35,"")</f>
        <v>248835472000</v>
      </c>
      <c r="E14" s="703">
        <f>IFERROR(PEHUENCHE!I35,"")</f>
        <v>194705044000</v>
      </c>
      <c r="F14" s="703">
        <f>IFERROR(PEHUENCHE!J35,"")</f>
        <v>217595776000</v>
      </c>
      <c r="G14" s="723" t="str">
        <f>IF(SLOPE(D14:F14, $D$13:$F$13)&gt;0, "Creciente", "Decreciente")</f>
        <v>Decreciente</v>
      </c>
    </row>
    <row r="15" spans="1:11" ht="26.25" customHeight="1">
      <c r="B15" s="696" t="s">
        <v>158</v>
      </c>
      <c r="C15" s="696" t="s">
        <v>157</v>
      </c>
      <c r="D15" s="707">
        <f>IFERROR(PEHUENCHE!H36,"")</f>
        <v>0.91335227799319862</v>
      </c>
      <c r="E15" s="707">
        <f>IFERROR(PEHUENCHE!I36,"")</f>
        <v>0.89430274917986707</v>
      </c>
      <c r="F15" s="707">
        <f>IFERROR(PEHUENCHE!J36,"")</f>
        <v>0.87355740895883749</v>
      </c>
      <c r="G15" s="723" t="str">
        <f>IF(SLOPE(D15:F15, $D$13:$F$13)&gt;0, "Creciente", "Decreciente")</f>
        <v>Decreciente</v>
      </c>
    </row>
    <row r="16" spans="1:11" ht="26.25" customHeight="1">
      <c r="B16" s="696" t="s">
        <v>159</v>
      </c>
      <c r="C16" s="696" t="s">
        <v>157</v>
      </c>
      <c r="D16" s="696">
        <f>IFERROR(PEHUENCHE!H39,"")</f>
        <v>305.10000000000002</v>
      </c>
      <c r="E16" s="696">
        <f>IFERROR(PEHUENCHE!I39,"")</f>
        <v>241.02</v>
      </c>
      <c r="F16" s="696">
        <f>IFERROR(PEHUENCHE!J39,"")</f>
        <v>264.12</v>
      </c>
      <c r="G16" s="723" t="str">
        <f>IF(SLOPE(D16:F16, $D$13:$F$13)&gt;0, "Creciente", "Decreciente")</f>
        <v>Decreciente</v>
      </c>
    </row>
    <row r="17" spans="2:7" ht="26.25" customHeight="1">
      <c r="B17" s="696" t="s">
        <v>160</v>
      </c>
      <c r="C17" s="696" t="s">
        <v>161</v>
      </c>
      <c r="D17" s="707">
        <f>IFERROR(PEHUENCHE!H40,"")</f>
        <v>1.0702613806661831</v>
      </c>
      <c r="E17" s="707">
        <f>IFERROR(PEHUENCHE!I40,"")</f>
        <v>0.9236225208054244</v>
      </c>
      <c r="F17" s="707">
        <f>IFERROR(PEHUENCHE!J40,"")</f>
        <v>0.97760982153767895</v>
      </c>
      <c r="G17" s="723" t="str">
        <f>IF(AVERAGE(D17:F17)&lt;15%,"🔴",IF(AND(AVERAGE(D17:F17)&gt;=15%,AVERAGE(D17:F17)&lt;=100%), "🟢","🟡"))</f>
        <v>🟢</v>
      </c>
    </row>
    <row r="18" spans="2:7" ht="15.75">
      <c r="B18" s="691"/>
      <c r="C18" s="691"/>
      <c r="D18" s="691"/>
      <c r="E18" s="691"/>
      <c r="F18" s="691"/>
      <c r="G18" s="691"/>
    </row>
    <row r="19" spans="2:7" ht="18">
      <c r="B19" s="1409" t="s">
        <v>162</v>
      </c>
      <c r="C19" s="1410"/>
      <c r="D19" s="1410"/>
      <c r="E19" s="1410"/>
      <c r="F19" s="1410"/>
      <c r="G19" s="1410"/>
    </row>
    <row r="20" spans="2:7" ht="15.75">
      <c r="B20" s="692" t="s">
        <v>144</v>
      </c>
      <c r="C20" s="693" t="s">
        <v>145</v>
      </c>
      <c r="D20" s="695">
        <v>2022</v>
      </c>
      <c r="E20" s="695">
        <v>2023</v>
      </c>
      <c r="F20" s="695">
        <v>2024</v>
      </c>
      <c r="G20" s="693" t="s">
        <v>146</v>
      </c>
    </row>
    <row r="21" spans="2:7" ht="26.25" customHeight="1">
      <c r="B21" s="696" t="s">
        <v>163</v>
      </c>
      <c r="C21" s="696" t="s">
        <v>157</v>
      </c>
      <c r="D21" s="703">
        <f>'ANDINA A'!H43</f>
        <v>210750245000</v>
      </c>
      <c r="E21" s="703">
        <f>'ANDINA A'!I43</f>
        <v>174122738000</v>
      </c>
      <c r="F21" s="703">
        <f>'ANDINA A'!J43</f>
        <v>65700300000</v>
      </c>
      <c r="G21" s="696" t="str">
        <f>IF(SLOPE(D21:F21, $D$20:$F$20)&gt;0, "Creciente", "Decreciente")</f>
        <v>Decreciente</v>
      </c>
    </row>
    <row r="24" spans="2:7" ht="23.25">
      <c r="B24" s="1408" t="s">
        <v>164</v>
      </c>
      <c r="C24" s="1408"/>
      <c r="D24" s="1408"/>
      <c r="E24" s="1408"/>
      <c r="F24" s="1408"/>
    </row>
    <row r="26" spans="2:7" ht="18">
      <c r="B26" s="692" t="s">
        <v>165</v>
      </c>
      <c r="C26" s="34" t="s">
        <v>137</v>
      </c>
    </row>
    <row r="28" spans="2:7" ht="15.75">
      <c r="B28" s="692" t="s">
        <v>144</v>
      </c>
      <c r="C28" s="695">
        <v>2022</v>
      </c>
      <c r="D28" s="695">
        <v>2023</v>
      </c>
      <c r="E28" s="695">
        <v>2024</v>
      </c>
      <c r="F28" s="695" t="s">
        <v>166</v>
      </c>
    </row>
    <row r="29" spans="2:7" ht="15.75">
      <c r="B29" s="696" t="s">
        <v>119</v>
      </c>
      <c r="C29" s="703">
        <f>IFERROR(PEHUENCHE!H44,"")</f>
        <v>203.678</v>
      </c>
      <c r="D29" s="703">
        <f>IFERROR(PEHUENCHE!I44,"")</f>
        <v>311.995</v>
      </c>
      <c r="E29" s="703">
        <f>IFERROR(PEHUENCHE!J44,"")</f>
        <v>251.33</v>
      </c>
      <c r="F29" s="703">
        <f>AVERAGE(C29:E29)</f>
        <v>255.66766666666669</v>
      </c>
    </row>
    <row r="30" spans="2:7" ht="15.75">
      <c r="B30" s="696" t="s">
        <v>167</v>
      </c>
      <c r="C30" s="705">
        <f>IFERROR(PEHUENCHE!H55,"")</f>
        <v>0.99998361193051455</v>
      </c>
      <c r="D30" s="705">
        <f>IFERROR(PEHUENCHE!I55,"")</f>
        <v>1.0000041490332752</v>
      </c>
      <c r="E30" s="705">
        <f>IFERROR(PEHUENCHE!J55,"")</f>
        <v>1.0000151446312282</v>
      </c>
      <c r="F30" s="705">
        <f>AVERAGE(C30:E30)</f>
        <v>1.0000009685316726</v>
      </c>
    </row>
    <row r="31" spans="2:7" ht="15.75">
      <c r="B31" s="696" t="s">
        <v>160</v>
      </c>
      <c r="C31" s="706">
        <f>IFERROR(PEHUENCHE!H40,"")</f>
        <v>1.0702613806661831</v>
      </c>
      <c r="D31" s="706">
        <f>IFERROR(PEHUENCHE!I40,"")</f>
        <v>0.9236225208054244</v>
      </c>
      <c r="E31" s="706">
        <f>IFERROR(PEHUENCHE!J40,"")</f>
        <v>0.97760982153767895</v>
      </c>
      <c r="F31" s="706">
        <f>AVERAGE(C31:E31)</f>
        <v>0.99049790766976209</v>
      </c>
    </row>
    <row r="32" spans="2:7" ht="15.75">
      <c r="B32" s="709"/>
      <c r="C32" s="710"/>
      <c r="D32" s="710"/>
      <c r="E32" s="710"/>
    </row>
    <row r="33" spans="2:8" ht="15.75">
      <c r="B33" s="1405" t="s">
        <v>168</v>
      </c>
      <c r="C33" s="1406"/>
      <c r="D33" s="710"/>
      <c r="E33" s="1405" t="s">
        <v>169</v>
      </c>
      <c r="F33" s="1406"/>
    </row>
    <row r="35" spans="2:8" ht="34.5" customHeight="1">
      <c r="B35" s="708" t="s">
        <v>170</v>
      </c>
      <c r="C35" s="703">
        <f>+F29</f>
        <v>255.66766666666669</v>
      </c>
      <c r="E35" s="708" t="s">
        <v>170</v>
      </c>
      <c r="F35" s="703">
        <f>+F29</f>
        <v>255.66766666666669</v>
      </c>
    </row>
    <row r="36" spans="2:8" ht="31.5">
      <c r="B36" s="711" t="s">
        <v>171</v>
      </c>
      <c r="C36" s="705">
        <f>+F30</f>
        <v>1.0000009685316726</v>
      </c>
      <c r="E36" s="711" t="s">
        <v>172</v>
      </c>
      <c r="F36" s="703">
        <f>C44</f>
        <v>2800</v>
      </c>
    </row>
    <row r="37" spans="2:8" ht="33.75" customHeight="1">
      <c r="B37" s="712" t="s">
        <v>173</v>
      </c>
      <c r="C37" s="705">
        <f>100%-C36</f>
        <v>-9.6853167264043805E-7</v>
      </c>
      <c r="E37" s="713" t="s">
        <v>174</v>
      </c>
      <c r="F37" s="706">
        <f>F35/F36</f>
        <v>9.1309880952380962E-2</v>
      </c>
    </row>
    <row r="38" spans="2:8" ht="31.5">
      <c r="B38" s="711" t="s">
        <v>175</v>
      </c>
      <c r="C38" s="706">
        <f>+F31</f>
        <v>0.99049790766976209</v>
      </c>
    </row>
    <row r="39" spans="2:8" ht="24.75" customHeight="1">
      <c r="B39" s="713" t="s">
        <v>176</v>
      </c>
      <c r="C39" s="706">
        <f>IF((C38*C37)&lt;0,0,(C38*C37))</f>
        <v>0</v>
      </c>
      <c r="H39" s="714"/>
    </row>
    <row r="40" spans="2:8" ht="15.75">
      <c r="B40" s="713" t="s">
        <v>177</v>
      </c>
      <c r="C40" s="706">
        <v>0.1</v>
      </c>
    </row>
    <row r="42" spans="2:8" ht="15.75">
      <c r="B42" s="708" t="s">
        <v>178</v>
      </c>
      <c r="C42" s="703">
        <f>(C35*(1+C39)) /C40</f>
        <v>2556.6766666666667</v>
      </c>
    </row>
    <row r="44" spans="2:8" ht="31.5">
      <c r="B44" s="708" t="s">
        <v>172</v>
      </c>
      <c r="C44" s="703">
        <v>2800</v>
      </c>
      <c r="D44" t="str">
        <f>IF(C44&gt;C42,"Precio muy Alto","Compra Ahora")</f>
        <v>Precio muy Alto</v>
      </c>
    </row>
  </sheetData>
  <mergeCells count="8">
    <mergeCell ref="B33:C33"/>
    <mergeCell ref="E33:F33"/>
    <mergeCell ref="C1:G1"/>
    <mergeCell ref="B3:G3"/>
    <mergeCell ref="B5:G5"/>
    <mergeCell ref="B12:G12"/>
    <mergeCell ref="B19:G19"/>
    <mergeCell ref="B24:F24"/>
  </mergeCells>
  <conditionalFormatting sqref="D44">
    <cfRule type="cellIs" dxfId="302" priority="8" operator="equal">
      <formula>"Compra Ahora"</formula>
    </cfRule>
    <cfRule type="cellIs" dxfId="301" priority="9" operator="equal">
      <formula>"Precio muy alto"</formula>
    </cfRule>
  </conditionalFormatting>
  <conditionalFormatting sqref="F37">
    <cfRule type="cellIs" dxfId="300" priority="7" operator="greaterThanOrEqual">
      <formula>0.08</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02515-4A19-4D34-B54F-30EFFF22F35D}">
  <dimension ref="B1:H44"/>
  <sheetViews>
    <sheetView showGridLines="0" topLeftCell="A16" workbookViewId="0">
      <selection activeCell="C17" sqref="C17"/>
    </sheetView>
  </sheetViews>
  <sheetFormatPr defaultColWidth="8.7109375" defaultRowHeight="14.25"/>
  <cols>
    <col min="1" max="1" width="5.42578125" customWidth="1"/>
    <col min="2" max="2" width="26.5703125" bestFit="1" customWidth="1"/>
    <col min="3" max="3" width="18.42578125" bestFit="1" customWidth="1"/>
    <col min="4" max="4" width="19" bestFit="1" customWidth="1"/>
    <col min="5" max="5" width="23" customWidth="1"/>
    <col min="6" max="6" width="19" bestFit="1" customWidth="1"/>
    <col min="7" max="7" width="13.140625" customWidth="1"/>
  </cols>
  <sheetData>
    <row r="1" spans="2:7" ht="30" customHeight="1">
      <c r="B1" s="694" t="s">
        <v>2</v>
      </c>
      <c r="C1" s="1407" t="s">
        <v>179</v>
      </c>
      <c r="D1" s="1407"/>
      <c r="E1" s="1407"/>
      <c r="F1" s="1407"/>
      <c r="G1" s="1407"/>
    </row>
    <row r="2" spans="2:7" ht="15.75">
      <c r="B2" s="691"/>
      <c r="C2" s="691"/>
      <c r="D2" s="691"/>
      <c r="E2" s="691"/>
      <c r="F2" s="691"/>
      <c r="G2" s="691"/>
    </row>
    <row r="3" spans="2:7" ht="23.25">
      <c r="B3" s="1408" t="s">
        <v>142</v>
      </c>
      <c r="C3" s="1408"/>
      <c r="D3" s="1408"/>
      <c r="E3" s="1408"/>
      <c r="F3" s="1408"/>
      <c r="G3" s="1408"/>
    </row>
    <row r="4" spans="2:7" ht="15.75">
      <c r="B4" s="691"/>
      <c r="C4" s="691"/>
      <c r="D4" s="691"/>
      <c r="E4" s="691"/>
      <c r="F4" s="691"/>
      <c r="G4" s="691"/>
    </row>
    <row r="5" spans="2:7" ht="18">
      <c r="B5" s="1409" t="s">
        <v>143</v>
      </c>
      <c r="C5" s="1410"/>
      <c r="D5" s="1410"/>
      <c r="E5" s="1410"/>
      <c r="F5" s="1410"/>
      <c r="G5" s="1410"/>
    </row>
    <row r="6" spans="2:7" ht="15.75">
      <c r="B6" s="692" t="s">
        <v>144</v>
      </c>
      <c r="C6" s="693" t="s">
        <v>145</v>
      </c>
      <c r="D6" s="695">
        <v>2022</v>
      </c>
      <c r="E6" s="695">
        <v>2023</v>
      </c>
      <c r="F6" s="695">
        <v>2024</v>
      </c>
      <c r="G6" s="693" t="s">
        <v>146</v>
      </c>
    </row>
    <row r="7" spans="2:7" s="697" customFormat="1" ht="26.25" customHeight="1">
      <c r="B7" s="696" t="s">
        <v>147</v>
      </c>
      <c r="C7" s="696" t="s">
        <v>148</v>
      </c>
      <c r="D7" s="703">
        <f>+'ANDINA A'!H29</f>
        <v>212484258000</v>
      </c>
      <c r="E7" s="703">
        <f>+'ANDINA A'!I29</f>
        <v>288899731000</v>
      </c>
      <c r="F7" s="703">
        <f>+'ANDINA A'!J29</f>
        <v>107051746000</v>
      </c>
      <c r="G7" s="696"/>
    </row>
    <row r="8" spans="2:7" ht="26.25" customHeight="1">
      <c r="B8" s="696" t="s">
        <v>149</v>
      </c>
      <c r="C8" s="696" t="s">
        <v>150</v>
      </c>
      <c r="D8" s="704">
        <f>+'ANDINA A'!H30</f>
        <v>1.2238455066971141</v>
      </c>
      <c r="E8" s="704">
        <f>+'ANDINA A'!I30</f>
        <v>1.4169601665819334</v>
      </c>
      <c r="F8" s="704">
        <f>+'ANDINA A'!J30</f>
        <v>1.1181398836264869</v>
      </c>
      <c r="G8" s="696"/>
    </row>
    <row r="9" spans="2:7" ht="26.25" customHeight="1">
      <c r="B9" s="696" t="s">
        <v>151</v>
      </c>
      <c r="C9" s="696" t="s">
        <v>152</v>
      </c>
      <c r="D9" s="696">
        <f>'ANDINA A'!H31</f>
        <v>0.96481162051445402</v>
      </c>
      <c r="E9" s="696">
        <f>'ANDINA A'!I31</f>
        <v>1.0806016518831225</v>
      </c>
      <c r="F9" s="696">
        <f>'ANDINA A'!J31</f>
        <v>0.78709877869587253</v>
      </c>
      <c r="G9" s="696"/>
    </row>
    <row r="10" spans="2:7" ht="26.25" customHeight="1">
      <c r="B10" s="696" t="s">
        <v>153</v>
      </c>
      <c r="C10" s="696" t="s">
        <v>154</v>
      </c>
      <c r="D10" s="705">
        <f>'ANDINA A'!H32</f>
        <v>0.70657904344721179</v>
      </c>
      <c r="E10" s="705">
        <f>'ANDINA A'!I32</f>
        <v>0.68475823073260933</v>
      </c>
      <c r="F10" s="705">
        <f>'ANDINA A'!J32</f>
        <v>0.69177609220040659</v>
      </c>
      <c r="G10" s="696" t="s">
        <v>180</v>
      </c>
    </row>
    <row r="11" spans="2:7" ht="15.75">
      <c r="B11" s="691"/>
      <c r="C11" s="691"/>
      <c r="D11" s="691"/>
      <c r="E11" s="691"/>
      <c r="F11" s="691"/>
      <c r="G11" s="691"/>
    </row>
    <row r="12" spans="2:7" ht="18">
      <c r="B12" s="1409" t="s">
        <v>155</v>
      </c>
      <c r="C12" s="1410"/>
      <c r="D12" s="1410"/>
      <c r="E12" s="1410"/>
      <c r="F12" s="1410"/>
      <c r="G12" s="1410"/>
    </row>
    <row r="13" spans="2:7" ht="15.75">
      <c r="B13" s="692" t="s">
        <v>144</v>
      </c>
      <c r="C13" s="693" t="s">
        <v>145</v>
      </c>
      <c r="D13" s="695">
        <v>2022</v>
      </c>
      <c r="E13" s="695">
        <v>2023</v>
      </c>
      <c r="F13" s="695">
        <v>2024</v>
      </c>
      <c r="G13" s="693" t="s">
        <v>146</v>
      </c>
    </row>
    <row r="14" spans="2:7" ht="26.25" customHeight="1">
      <c r="B14" s="696" t="s">
        <v>181</v>
      </c>
      <c r="C14" s="696" t="s">
        <v>157</v>
      </c>
      <c r="D14" s="703">
        <f>'ANDINA A'!H36</f>
        <v>321771470000</v>
      </c>
      <c r="E14" s="703">
        <f>'ANDINA A'!I36</f>
        <v>316296892000</v>
      </c>
      <c r="F14" s="703">
        <f>'ANDINA A'!J36</f>
        <v>411911208000</v>
      </c>
      <c r="G14" s="696"/>
    </row>
    <row r="15" spans="2:7" ht="26.25" customHeight="1">
      <c r="B15" s="696" t="s">
        <v>158</v>
      </c>
      <c r="C15" s="696" t="s">
        <v>157</v>
      </c>
      <c r="D15" s="707">
        <f>+'ANDINA A'!H37</f>
        <v>0.12110884359839133</v>
      </c>
      <c r="E15" s="707">
        <f>+'ANDINA A'!I37</f>
        <v>0.12079606487328304</v>
      </c>
      <c r="F15" s="707">
        <f>+'ANDINA A'!J37</f>
        <v>0.1277547892355255</v>
      </c>
      <c r="G15" s="696"/>
    </row>
    <row r="16" spans="2:7" ht="26.25" customHeight="1">
      <c r="B16" s="696" t="s">
        <v>159</v>
      </c>
      <c r="C16" s="696" t="s">
        <v>157</v>
      </c>
      <c r="D16" s="696">
        <f>'ANDINA A'!H40</f>
        <v>126.27</v>
      </c>
      <c r="E16" s="696">
        <f>'ANDINA A'!I40</f>
        <v>172.49</v>
      </c>
      <c r="F16" s="696">
        <f>'ANDINA A'!J40</f>
        <v>234.09</v>
      </c>
      <c r="G16" s="696"/>
    </row>
    <row r="17" spans="2:7" ht="26.25" customHeight="1">
      <c r="B17" s="696" t="s">
        <v>160</v>
      </c>
      <c r="C17" s="696" t="s">
        <v>161</v>
      </c>
      <c r="D17" s="707">
        <f>'ANDINA A'!H41</f>
        <v>0.15019872947569507</v>
      </c>
      <c r="E17" s="707">
        <f>'ANDINA A'!I41</f>
        <v>0.19690099542268943</v>
      </c>
      <c r="F17" s="707">
        <f>'ANDINA A'!J41</f>
        <v>0.24031331015982488</v>
      </c>
      <c r="G17" s="696"/>
    </row>
    <row r="18" spans="2:7" ht="15.75">
      <c r="B18" s="691"/>
      <c r="C18" s="691"/>
      <c r="D18" s="691"/>
      <c r="E18" s="691"/>
      <c r="F18" s="691"/>
      <c r="G18" s="691"/>
    </row>
    <row r="19" spans="2:7" ht="18">
      <c r="B19" s="1409" t="s">
        <v>162</v>
      </c>
      <c r="C19" s="1410"/>
      <c r="D19" s="1410"/>
      <c r="E19" s="1410"/>
      <c r="F19" s="1410"/>
      <c r="G19" s="1410"/>
    </row>
    <row r="20" spans="2:7" ht="15.75">
      <c r="B20" s="692" t="s">
        <v>144</v>
      </c>
      <c r="C20" s="693" t="s">
        <v>145</v>
      </c>
      <c r="D20" s="695">
        <v>2022</v>
      </c>
      <c r="E20" s="695">
        <v>2023</v>
      </c>
      <c r="F20" s="695">
        <v>2024</v>
      </c>
      <c r="G20" s="693" t="s">
        <v>146</v>
      </c>
    </row>
    <row r="21" spans="2:7" ht="26.25" customHeight="1">
      <c r="B21" s="696" t="s">
        <v>163</v>
      </c>
      <c r="C21" s="696" t="s">
        <v>157</v>
      </c>
      <c r="D21" s="703">
        <f>'ANDINA A'!H43</f>
        <v>210750245000</v>
      </c>
      <c r="E21" s="703">
        <f>'ANDINA A'!I43</f>
        <v>174122738000</v>
      </c>
      <c r="F21" s="703">
        <f>'ANDINA A'!J43</f>
        <v>65700300000</v>
      </c>
      <c r="G21" s="696" t="s">
        <v>180</v>
      </c>
    </row>
    <row r="24" spans="2:7" ht="23.25">
      <c r="B24" s="1408" t="s">
        <v>164</v>
      </c>
      <c r="C24" s="1408"/>
      <c r="D24" s="1408"/>
      <c r="E24" s="1408"/>
      <c r="F24" s="1408"/>
    </row>
    <row r="26" spans="2:7" ht="18">
      <c r="B26" s="692" t="s">
        <v>165</v>
      </c>
      <c r="C26" s="34" t="s">
        <v>137</v>
      </c>
    </row>
    <row r="28" spans="2:7" ht="15.75">
      <c r="B28" s="692" t="s">
        <v>144</v>
      </c>
      <c r="C28" s="695">
        <v>2022</v>
      </c>
      <c r="D28" s="695">
        <v>2023</v>
      </c>
      <c r="E28" s="695">
        <v>2024</v>
      </c>
      <c r="F28" s="695" t="s">
        <v>166</v>
      </c>
    </row>
    <row r="29" spans="2:7" ht="15.75">
      <c r="B29" s="696" t="s">
        <v>119</v>
      </c>
      <c r="C29" s="719">
        <f>'ANDINA A'!H44</f>
        <v>276</v>
      </c>
      <c r="D29" s="719">
        <f>'ANDINA A'!I44</f>
        <v>166</v>
      </c>
      <c r="E29" s="719">
        <f>'ANDINA A'!J44</f>
        <v>158</v>
      </c>
      <c r="F29" s="719">
        <f>AVERAGE(C29:E29)</f>
        <v>200</v>
      </c>
      <c r="G29" t="s">
        <v>182</v>
      </c>
    </row>
    <row r="30" spans="2:7" ht="15.75">
      <c r="B30" s="696" t="s">
        <v>167</v>
      </c>
      <c r="C30" s="705">
        <f>'ANDINA A'!H56</f>
        <v>0.91866634988516671</v>
      </c>
      <c r="D30" s="705">
        <f>'ANDINA A'!I56</f>
        <v>0.88121050495680908</v>
      </c>
      <c r="E30" s="705">
        <f>'ANDINA A'!J56</f>
        <v>0.8757315562390533</v>
      </c>
      <c r="F30" s="705">
        <f>AVERAGE(C30:E30)</f>
        <v>0.89186947036034303</v>
      </c>
    </row>
    <row r="31" spans="2:7" ht="15.75">
      <c r="B31" s="696" t="s">
        <v>160</v>
      </c>
      <c r="C31" s="706">
        <f>'ANDINA A'!H41</f>
        <v>0.15019872947569507</v>
      </c>
      <c r="D31" s="706">
        <f>'ANDINA A'!I41</f>
        <v>0.19690099542268943</v>
      </c>
      <c r="E31" s="706">
        <f>'ANDINA A'!J41</f>
        <v>0.24031331015982488</v>
      </c>
      <c r="F31" s="706">
        <f>AVERAGE(C31:E31)</f>
        <v>0.19580434501940314</v>
      </c>
    </row>
    <row r="32" spans="2:7" ht="15.75">
      <c r="B32" s="709"/>
      <c r="C32" s="710"/>
      <c r="D32" s="710"/>
      <c r="E32" s="710"/>
    </row>
    <row r="33" spans="2:8" ht="15.75">
      <c r="B33" s="1405" t="s">
        <v>168</v>
      </c>
      <c r="C33" s="1406"/>
      <c r="D33" s="710"/>
      <c r="E33" s="1405" t="s">
        <v>169</v>
      </c>
      <c r="F33" s="1406"/>
    </row>
    <row r="35" spans="2:8" ht="34.5" customHeight="1">
      <c r="B35" s="708" t="s">
        <v>170</v>
      </c>
      <c r="C35" s="703">
        <f>+F29</f>
        <v>200</v>
      </c>
      <c r="E35" s="708" t="s">
        <v>170</v>
      </c>
      <c r="F35" s="703">
        <f>+F29</f>
        <v>200</v>
      </c>
    </row>
    <row r="36" spans="2:8" ht="31.5">
      <c r="B36" s="711" t="s">
        <v>171</v>
      </c>
      <c r="C36" s="705">
        <f>+F30</f>
        <v>0.89186947036034303</v>
      </c>
      <c r="E36" s="711" t="s">
        <v>172</v>
      </c>
      <c r="F36" s="703">
        <v>2406.8000000000002</v>
      </c>
    </row>
    <row r="37" spans="2:8" ht="33.75" customHeight="1">
      <c r="B37" s="712" t="s">
        <v>173</v>
      </c>
      <c r="C37" s="705">
        <f>100%-C36</f>
        <v>0.10813052963965697</v>
      </c>
      <c r="E37" s="713" t="s">
        <v>174</v>
      </c>
      <c r="F37" s="706">
        <f>F35/F36</f>
        <v>8.3097889313611423E-2</v>
      </c>
    </row>
    <row r="38" spans="2:8" ht="31.5">
      <c r="B38" s="711" t="s">
        <v>175</v>
      </c>
      <c r="C38" s="706">
        <f>+F31</f>
        <v>0.19580434501940314</v>
      </c>
    </row>
    <row r="39" spans="2:8" ht="24.75" customHeight="1">
      <c r="B39" s="713" t="s">
        <v>176</v>
      </c>
      <c r="C39" s="706">
        <f>IF((C38*C37)&lt;0,0,(C38*C37))</f>
        <v>2.1172427532694191E-2</v>
      </c>
      <c r="H39" s="714"/>
    </row>
    <row r="40" spans="2:8" ht="15.75">
      <c r="B40" s="713" t="s">
        <v>177</v>
      </c>
      <c r="C40" s="706">
        <v>7.0000000000000007E-2</v>
      </c>
    </row>
    <row r="42" spans="2:8" ht="15.75">
      <c r="B42" s="708" t="s">
        <v>178</v>
      </c>
      <c r="C42" s="703">
        <f>(C35*(1+C39)) /C40</f>
        <v>2917.6355072362685</v>
      </c>
    </row>
    <row r="44" spans="2:8" ht="31.5">
      <c r="B44" s="708" t="s">
        <v>172</v>
      </c>
      <c r="C44" s="703">
        <v>2406.8000000000002</v>
      </c>
    </row>
  </sheetData>
  <mergeCells count="8">
    <mergeCell ref="B33:C33"/>
    <mergeCell ref="E33:F33"/>
    <mergeCell ref="B24:F24"/>
    <mergeCell ref="C1:G1"/>
    <mergeCell ref="B5:G5"/>
    <mergeCell ref="B12:G12"/>
    <mergeCell ref="B19:G19"/>
    <mergeCell ref="B3:G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BFF54-8C0E-4A5E-969C-C58F4B190250}">
  <sheetPr codeName="Hoja1" filterMode="1">
    <tabColor rgb="FF00B0F0"/>
  </sheetPr>
  <dimension ref="A1:BC194"/>
  <sheetViews>
    <sheetView rightToLeft="1" topLeftCell="C1" zoomScale="90" zoomScaleNormal="90" workbookViewId="0">
      <selection activeCell="C15" sqref="C15"/>
    </sheetView>
  </sheetViews>
  <sheetFormatPr defaultColWidth="11.42578125" defaultRowHeight="21"/>
  <cols>
    <col min="1" max="1" width="5" style="2" hidden="1" customWidth="1"/>
    <col min="2" max="2" width="14.42578125" style="2" hidden="1" customWidth="1"/>
    <col min="3" max="3" width="21.42578125" style="1327" customWidth="1"/>
    <col min="4" max="4" width="18.42578125" style="2" customWidth="1"/>
    <col min="5" max="5" width="2.42578125" style="2" customWidth="1"/>
    <col min="6" max="6" width="22.140625" style="2" customWidth="1"/>
    <col min="7" max="7" width="2.42578125" style="2" customWidth="1"/>
    <col min="8" max="9" width="12.42578125" style="2" customWidth="1"/>
    <col min="10" max="10" width="1.7109375" style="2" customWidth="1"/>
    <col min="11" max="11" width="12.7109375" style="2" bestFit="1" customWidth="1"/>
    <col min="12" max="12" width="1.28515625" style="2" customWidth="1"/>
    <col min="13" max="13" width="12.28515625" style="2" customWidth="1"/>
    <col min="14" max="14" width="1.42578125" style="2" customWidth="1"/>
    <col min="15" max="15" width="11.85546875" style="2" customWidth="1"/>
    <col min="16" max="16" width="1.42578125" style="2" customWidth="1"/>
    <col min="17" max="17" width="21.7109375" style="2" customWidth="1"/>
    <col min="18" max="18" width="10.5703125" style="2" customWidth="1"/>
    <col min="19" max="19" width="14.42578125" style="2" bestFit="1" customWidth="1"/>
    <col min="20" max="20" width="19.7109375" style="2" customWidth="1"/>
    <col min="21" max="21" width="3.28515625" style="2" hidden="1" customWidth="1"/>
    <col min="22" max="22" width="22.28515625" style="2" customWidth="1"/>
    <col min="23" max="23" width="9.140625" style="2" customWidth="1"/>
    <col min="24" max="24" width="14.42578125" style="2" bestFit="1" customWidth="1"/>
    <col min="25" max="25" width="26.28515625" style="2" bestFit="1" customWidth="1"/>
    <col min="26" max="26" width="11.42578125" style="2"/>
    <col min="27" max="27" width="17.7109375" style="2" customWidth="1"/>
    <col min="28" max="16384" width="11.42578125" style="2"/>
  </cols>
  <sheetData>
    <row r="1" spans="1:27">
      <c r="A1" s="2" t="s">
        <v>183</v>
      </c>
      <c r="H1" s="374">
        <f>+CGE!C42</f>
        <v>1.3524965322931737E-2</v>
      </c>
      <c r="I1" s="374"/>
    </row>
    <row r="2" spans="1:27" ht="21" customHeight="1">
      <c r="F2" s="351" t="s">
        <v>184</v>
      </c>
      <c r="H2" s="373">
        <f>+FOSFOROS!C42</f>
        <v>2.0821390476731583E-2</v>
      </c>
      <c r="I2" s="373"/>
      <c r="Q2" s="1411" t="s">
        <v>185</v>
      </c>
      <c r="R2" s="1412"/>
      <c r="S2" s="1412"/>
      <c r="T2" s="1413"/>
      <c r="U2" s="312"/>
      <c r="V2" s="1411" t="s">
        <v>186</v>
      </c>
      <c r="W2" s="1412"/>
      <c r="X2" s="1412"/>
      <c r="Y2" s="1413"/>
    </row>
    <row r="3" spans="1:27">
      <c r="B3" s="1" t="s">
        <v>187</v>
      </c>
      <c r="H3" s="372">
        <f>+ENELAM!C45</f>
        <v>3.7970316024128904E-2</v>
      </c>
      <c r="I3" s="372"/>
      <c r="Q3" s="349" t="s">
        <v>188</v>
      </c>
      <c r="R3" s="347">
        <v>7.0000000000000007E-2</v>
      </c>
      <c r="S3" s="348"/>
      <c r="T3" s="350"/>
      <c r="V3" s="349" t="s">
        <v>188</v>
      </c>
      <c r="W3" s="347">
        <v>0.08</v>
      </c>
      <c r="X3" s="348"/>
      <c r="Y3" s="350"/>
    </row>
    <row r="4" spans="1:27">
      <c r="B4" s="1" t="s">
        <v>189</v>
      </c>
      <c r="C4" s="1328" t="s">
        <v>2</v>
      </c>
      <c r="D4" s="1" t="s">
        <v>190</v>
      </c>
      <c r="E4" s="1"/>
      <c r="F4" s="1" t="s">
        <v>191</v>
      </c>
      <c r="G4" s="1"/>
      <c r="H4" s="372">
        <f>+GASCO!C42</f>
        <v>4.2946098099233831E-2</v>
      </c>
      <c r="I4" s="372"/>
      <c r="J4" s="1"/>
      <c r="K4" s="1" t="s">
        <v>176</v>
      </c>
      <c r="L4" s="1"/>
      <c r="M4" s="1" t="s">
        <v>192</v>
      </c>
      <c r="N4" s="1"/>
      <c r="O4" s="1" t="s">
        <v>193</v>
      </c>
      <c r="P4" s="1"/>
      <c r="Q4" s="334" t="s">
        <v>194</v>
      </c>
      <c r="S4" s="331"/>
      <c r="T4" s="333" t="s">
        <v>195</v>
      </c>
      <c r="V4" s="334" t="s">
        <v>194</v>
      </c>
      <c r="X4" s="331"/>
      <c r="Y4" s="333" t="s">
        <v>195</v>
      </c>
    </row>
    <row r="5" spans="1:27" hidden="1">
      <c r="B5" s="2">
        <v>22</v>
      </c>
      <c r="C5" s="1329" t="s">
        <v>196</v>
      </c>
      <c r="D5" s="2" t="s">
        <v>11</v>
      </c>
      <c r="F5" s="377">
        <f ca="1">+'ANDINA A'!B3</f>
        <v>3475</v>
      </c>
      <c r="H5" s="373">
        <f>+MANQUEHUE!C42</f>
        <v>5.2257279401802775E-2</v>
      </c>
      <c r="I5" s="373"/>
      <c r="K5" s="536">
        <f>+'ANDINA A'!C61</f>
        <v>2.5195830093227827E-2</v>
      </c>
      <c r="L5" s="536"/>
      <c r="M5" s="536">
        <f>+'ANDINA A'!C57</f>
        <v>0.89186947036034303</v>
      </c>
      <c r="N5" s="536"/>
      <c r="O5" s="536">
        <f>+'ANDINA A'!C57</f>
        <v>0.89186947036034303</v>
      </c>
      <c r="Q5" s="337">
        <f>+'ANDINA A'!D3/INDICE!$R$3</f>
        <v>2238.0952380952376</v>
      </c>
      <c r="S5" s="331" t="str">
        <f ca="1">IF(F5&lt;Q5,"considerar","esperar")</f>
        <v>esperar</v>
      </c>
      <c r="T5" s="336">
        <f ca="1">+'ANDINA A'!D3/INDICE!F5</f>
        <v>4.5083932853717021E-2</v>
      </c>
      <c r="U5" s="332"/>
      <c r="V5" s="337">
        <f>+'ANDINA A'!E3/INDICE!$W$3</f>
        <v>2500</v>
      </c>
      <c r="X5" s="331" t="str">
        <f ca="1">IF(F5&lt;V5,"considerar","esperar")</f>
        <v>esperar</v>
      </c>
      <c r="Y5" s="336">
        <f ca="1">+'ANDINA A'!E3/INDICE!F5</f>
        <v>5.7553956834532377E-2</v>
      </c>
      <c r="AA5" s="377">
        <f ca="1">F9/R3</f>
        <v>179499.99999999997</v>
      </c>
    </row>
    <row r="6" spans="1:27" hidden="1">
      <c r="B6" s="2">
        <v>2</v>
      </c>
      <c r="C6" s="1329" t="s">
        <v>42</v>
      </c>
      <c r="D6" s="2" t="s">
        <v>28</v>
      </c>
      <c r="F6" s="377">
        <f ca="1">+PROVIDA!B3</f>
        <v>5000</v>
      </c>
      <c r="H6" s="373">
        <f>+NTGCLGAS!C44</f>
        <v>6.5494432797170571E-2</v>
      </c>
      <c r="I6" s="373"/>
      <c r="K6" s="536">
        <f>+PROVIDA!C64</f>
        <v>7.8442042361184568E-3</v>
      </c>
      <c r="L6" s="536"/>
      <c r="M6" s="536">
        <f>+PROVIDA!C60</f>
        <v>0.93285353338658739</v>
      </c>
      <c r="N6" s="536"/>
      <c r="O6" s="536">
        <f>+PROVIDA!C62</f>
        <v>0.13339976553087002</v>
      </c>
      <c r="Q6" s="337">
        <f>+PROVIDA!D3/INDICE!$R$3</f>
        <v>4916.6666666666661</v>
      </c>
      <c r="S6" s="331" t="str">
        <f ca="1">IF(F6&lt;Q6,"considerar","esperar")</f>
        <v>esperar</v>
      </c>
      <c r="T6" s="336">
        <f ca="1">+PROVIDA!D3/INDICE!F6</f>
        <v>6.8833333333333344E-2</v>
      </c>
      <c r="U6" s="332"/>
      <c r="V6" s="337">
        <f>+PROVIDA!E3/INDICE!$W$3</f>
        <v>4927.083333333333</v>
      </c>
      <c r="X6" s="331" t="str">
        <f ca="1">IF(F6&lt;V6,"considerar","esperar")</f>
        <v>esperar</v>
      </c>
      <c r="Y6" s="336">
        <f ca="1">+PROVIDA!E3/INDICE!F6</f>
        <v>7.8833333333333339E-2</v>
      </c>
    </row>
    <row r="7" spans="1:27">
      <c r="B7" s="2">
        <v>15</v>
      </c>
      <c r="C7" s="1329" t="s">
        <v>17</v>
      </c>
      <c r="D7" s="2" t="s">
        <v>16</v>
      </c>
      <c r="F7" s="378">
        <f ca="1">+COLBÚN!B3</f>
        <v>127.23</v>
      </c>
      <c r="G7" s="330"/>
      <c r="H7" s="372">
        <f>+SONDA!C42</f>
        <v>6.8190047264936215E-2</v>
      </c>
      <c r="I7" s="372"/>
      <c r="J7" s="330"/>
      <c r="K7" s="1332">
        <f>+COLBÚN!C63</f>
        <v>6.0522632923474796E-2</v>
      </c>
      <c r="L7" s="1332"/>
      <c r="M7" s="1332">
        <f>+COLBÚN!C59</f>
        <v>0.59920595421449574</v>
      </c>
      <c r="N7" s="1332"/>
      <c r="O7" s="1332">
        <f>+COLBÚN!C61</f>
        <v>0.33310742184135622</v>
      </c>
      <c r="P7" s="330"/>
      <c r="Q7" s="337">
        <f>+COLBÚN!D3/INDICE!$R$3</f>
        <v>139.88571428571427</v>
      </c>
      <c r="S7" s="331" t="str">
        <f ca="1">IF(F7&lt;Q7,"considerar","esperar")</f>
        <v>considerar</v>
      </c>
      <c r="T7" s="336">
        <f ca="1">+COLBÚN!D3/INDICE!F7</f>
        <v>7.6962980429144068E-2</v>
      </c>
      <c r="U7" s="332"/>
      <c r="V7" s="337">
        <f>+COLBÚN!E3/INDICE!$W$3</f>
        <v>122.39999999999999</v>
      </c>
      <c r="X7" s="331" t="str">
        <f ca="1">IF(F7&lt;V7,"considerar","esperar")</f>
        <v>esperar</v>
      </c>
      <c r="Y7" s="336">
        <f ca="1">+COLBÚN!E3/INDICE!F7</f>
        <v>7.6962980429144068E-2</v>
      </c>
    </row>
    <row r="8" spans="1:27" hidden="1">
      <c r="B8" s="2">
        <v>3</v>
      </c>
      <c r="C8" s="1329" t="s">
        <v>44</v>
      </c>
      <c r="D8" s="2" t="s">
        <v>28</v>
      </c>
      <c r="F8" s="377">
        <f ca="1">+PLANVITAL!B3</f>
        <v>282</v>
      </c>
      <c r="H8" s="372">
        <f>+'SALFACORP (TIKR)'!C42</f>
        <v>6.878974498016871E-2</v>
      </c>
      <c r="I8" s="372"/>
      <c r="K8" s="536">
        <f>PLANVITAL!C65</f>
        <v>0.24481180313213113</v>
      </c>
      <c r="L8" s="536"/>
      <c r="M8" s="536">
        <f>+PLANVITAL!C61</f>
        <v>0.47082547726144702</v>
      </c>
      <c r="N8" s="536"/>
      <c r="O8" s="536">
        <f>+PLANVITAL!C63</f>
        <v>0.25899325924201655</v>
      </c>
      <c r="Q8" s="337">
        <f>+PLANVITAL!D3/INDICE!$R$3</f>
        <v>137.08095238095237</v>
      </c>
      <c r="S8" s="331" t="str">
        <f ca="1">IF(F8&lt;Q8,"considerar","esperar")</f>
        <v>esperar</v>
      </c>
      <c r="T8" s="336">
        <f ca="1">+PLANVITAL!D3/INDICE!F7</f>
        <v>7.5419843328355468E-2</v>
      </c>
      <c r="U8" s="332"/>
      <c r="V8" s="337">
        <f>+PLANVITAL!E3/INDICE!$W$3</f>
        <v>163.19583333333333</v>
      </c>
      <c r="X8" s="331" t="str">
        <f ca="1">IF(F8&lt;V8,"considerar","esperar")</f>
        <v>esperar</v>
      </c>
      <c r="Y8" s="336">
        <f ca="1">+PLANVITAL!E3/INDICE!F8</f>
        <v>4.6296690307328608E-2</v>
      </c>
    </row>
    <row r="9" spans="1:27">
      <c r="B9" s="2">
        <v>41</v>
      </c>
      <c r="C9" s="1329" t="s">
        <v>197</v>
      </c>
      <c r="D9" s="2" t="s">
        <v>35</v>
      </c>
      <c r="F9" s="377">
        <f ca="1">+MINERA!B3</f>
        <v>12565</v>
      </c>
      <c r="H9" s="372">
        <f>+IAM!C42</f>
        <v>7.3837133485312068E-2</v>
      </c>
      <c r="I9" s="372"/>
      <c r="K9" s="536">
        <f>+MINERA!C59</f>
        <v>3.8926328008378593E-2</v>
      </c>
      <c r="L9" s="536"/>
      <c r="M9" s="536">
        <f>+MINERA!C55</f>
        <v>0.64848842688884323</v>
      </c>
      <c r="N9" s="536"/>
      <c r="O9" s="536">
        <f>+MINERA!C57</f>
        <v>0.24299224810436479</v>
      </c>
      <c r="Q9" s="337">
        <f>MINERA!D3/INDICE!$R$3</f>
        <v>22152.080952380948</v>
      </c>
      <c r="S9" s="331" t="str">
        <f ca="1">IF(F9&lt;Q9,"considerar","esperar")</f>
        <v>considerar</v>
      </c>
      <c r="T9" s="367">
        <f ca="1">MINERA!D3/INDICE!F9</f>
        <v>0.12340992174028385</v>
      </c>
      <c r="U9" s="332"/>
      <c r="V9" s="337">
        <f>MINERA!E3/INDICE!$W$3</f>
        <v>37987.23750000001</v>
      </c>
      <c r="X9" s="331" t="str">
        <f ca="1">IF(F9&lt;V9,"considerar","esperar")</f>
        <v>considerar</v>
      </c>
      <c r="Y9" s="367">
        <f ca="1">MINERA!E3/INDICE!F9</f>
        <v>0.24186064464783133</v>
      </c>
    </row>
    <row r="10" spans="1:27" hidden="1">
      <c r="B10" s="2">
        <v>4</v>
      </c>
      <c r="C10" s="1329" t="s">
        <v>46</v>
      </c>
      <c r="D10" s="2" t="s">
        <v>28</v>
      </c>
      <c r="F10" s="377">
        <f ca="1">+CUPRUM!B3</f>
        <v>136.87</v>
      </c>
      <c r="H10" s="372">
        <f>+'EISA (TIKR)'!C42</f>
        <v>7.7143734646562656E-2</v>
      </c>
      <c r="I10" s="372"/>
      <c r="K10" s="536">
        <f>+CUPRUM!C64</f>
        <v>2.9484640678624611E-2</v>
      </c>
      <c r="L10" s="536"/>
      <c r="M10" s="536">
        <f>+CUPRUM!C60</f>
        <v>0.8135354286570381</v>
      </c>
      <c r="N10" s="536"/>
      <c r="O10" s="536">
        <f>+CUPRUM!C62</f>
        <v>0.18028204837606576</v>
      </c>
      <c r="Q10" s="337">
        <f>+CUPRUM!D3/INDICE!$R$3</f>
        <v>72.642857142857139</v>
      </c>
      <c r="S10" s="331" t="str">
        <f ca="1">IF(F10&lt;Q10,"considerar","esperar")</f>
        <v>esperar</v>
      </c>
      <c r="T10" s="336">
        <f ca="1">+CUPRUM!D3/INDICE!F10</f>
        <v>3.7152042083729082E-2</v>
      </c>
      <c r="U10" s="332"/>
      <c r="V10" s="337">
        <f>+CUPRUM!E3/INDICE!$W$3</f>
        <v>63.5625</v>
      </c>
      <c r="X10" s="331" t="str">
        <f ca="1">IF(F10&lt;V10,"considerar","esperar")</f>
        <v>esperar</v>
      </c>
      <c r="Y10" s="336">
        <f ca="1">+CUPRUM!E3/INDICE!F10</f>
        <v>3.7152042083729082E-2</v>
      </c>
    </row>
    <row r="11" spans="1:27">
      <c r="B11" s="2">
        <v>1</v>
      </c>
      <c r="C11" s="1329" t="s">
        <v>29</v>
      </c>
      <c r="D11" s="2" t="s">
        <v>28</v>
      </c>
      <c r="F11" s="377">
        <f ca="1">+HABITAT!B3</f>
        <v>1412</v>
      </c>
      <c r="H11" s="372">
        <f>+ELECMETAL!C42</f>
        <v>8.2637849107860026E-2</v>
      </c>
      <c r="K11" s="1333">
        <f>+HABITAT!C65</f>
        <v>0.11925541498767674</v>
      </c>
      <c r="L11" s="1333"/>
      <c r="M11" s="1333">
        <f>+HABITAT!C61</f>
        <v>0.8776722767548456</v>
      </c>
      <c r="N11" s="1333"/>
      <c r="O11" s="1333">
        <f>+HABITAT!C63</f>
        <v>0.17112404106289145</v>
      </c>
      <c r="Q11" s="335">
        <f>+HABITAT!D3/INDICE!$R$3</f>
        <v>1657.1428571428569</v>
      </c>
      <c r="S11" s="331" t="str">
        <f ca="1">IF(F11&lt;Q11,"considerar","esperar")</f>
        <v>considerar</v>
      </c>
      <c r="T11" s="336">
        <f ca="1">+HABITAT!D3/INDICE!F11</f>
        <v>8.2152974504249299E-2</v>
      </c>
      <c r="U11" s="332"/>
      <c r="V11" s="335">
        <f>+HABITAT!E3/INDICE!$W$3</f>
        <v>1450</v>
      </c>
      <c r="X11" s="331" t="str">
        <f ca="1">IF(F11&lt;V11,"considerar","esperar")</f>
        <v>considerar</v>
      </c>
      <c r="Y11" s="336">
        <f ca="1">+HABITAT!E3/INDICE!F11</f>
        <v>8.2152974504249299E-2</v>
      </c>
    </row>
    <row r="12" spans="1:27">
      <c r="B12" s="2">
        <v>34</v>
      </c>
      <c r="C12" s="1329" t="s">
        <v>198</v>
      </c>
      <c r="D12" s="2" t="s">
        <v>199</v>
      </c>
      <c r="F12" s="377">
        <f ca="1">+ENTEL!B3</f>
        <v>3756</v>
      </c>
      <c r="H12" s="372">
        <f>+MOLYMET!C46</f>
        <v>8.5536314022158097E-2</v>
      </c>
      <c r="I12" s="372"/>
      <c r="K12" s="536">
        <f>+ENTEL!C55</f>
        <v>6.5281793796964624E-2</v>
      </c>
      <c r="L12" s="536"/>
      <c r="M12" s="536">
        <f>+ENTEL!C51</f>
        <v>0.61392432343729864</v>
      </c>
      <c r="N12" s="536"/>
      <c r="O12" s="536">
        <f>+ENTEL!C53</f>
        <v>0.24783215619167909</v>
      </c>
      <c r="Q12" s="337" t="s">
        <v>200</v>
      </c>
      <c r="S12" s="331" t="str">
        <f ca="1">IF(F12&lt;Q12,"considerar","esperar")</f>
        <v>considerar</v>
      </c>
      <c r="T12" s="336">
        <f ca="1">+ENTEL!D3/INDICE!F12</f>
        <v>8.9013134540291083E-2</v>
      </c>
      <c r="U12" s="332"/>
      <c r="V12" s="337">
        <f>+ENTEL!E3/INDICE!$W$3</f>
        <v>9054.1666666666661</v>
      </c>
      <c r="X12" s="331" t="str">
        <f ca="1">IF(F12&lt;V12,"considerar","esperar")</f>
        <v>considerar</v>
      </c>
      <c r="Y12" s="336">
        <f ca="1">+ENTEL!E3/INDICE!F12</f>
        <v>0.19284700035498759</v>
      </c>
    </row>
    <row r="13" spans="1:27">
      <c r="B13" s="2">
        <v>13</v>
      </c>
      <c r="C13" s="1329" t="s">
        <v>23</v>
      </c>
      <c r="D13" s="2" t="s">
        <v>16</v>
      </c>
      <c r="F13" s="377">
        <f ca="1">+PEHUENCHE!B3</f>
        <v>2719.9</v>
      </c>
      <c r="H13" s="372">
        <f>+CMPC!C46</f>
        <v>8.6055535798205351E-2</v>
      </c>
      <c r="I13" s="372"/>
      <c r="K13" s="536">
        <f>+PEHUENCHE!C60</f>
        <v>7.3766171014277092E-6</v>
      </c>
      <c r="L13" s="536"/>
      <c r="M13" s="536">
        <f>+PEHUENCHE!C56</f>
        <v>0.99999202942207643</v>
      </c>
      <c r="N13" s="536"/>
      <c r="O13" s="536">
        <f>+PEHUENCHE!C58</f>
        <v>0.16072434792422655</v>
      </c>
      <c r="Q13" s="337">
        <f>+PEHUENCHE!D3/INDICE!$R$3</f>
        <v>3652.3952380952383</v>
      </c>
      <c r="S13" s="331" t="str">
        <f ca="1">IF(F13&lt;Q13,"considerar","esperar")</f>
        <v>considerar</v>
      </c>
      <c r="T13" s="336">
        <f ca="1">+PEHUENCHE!D3/INDICE!F13</f>
        <v>9.3998921528977791E-2</v>
      </c>
      <c r="U13" s="332"/>
      <c r="V13" s="337">
        <f>+PEHUENCHE!E3/INDICE!$W$3</f>
        <v>2796.0458333333336</v>
      </c>
      <c r="X13" s="331" t="str">
        <f ca="1">IF(F13&lt;V13,"considerar","esperar")</f>
        <v>considerar</v>
      </c>
      <c r="Y13" s="336">
        <f ca="1">+PEHUENCHE!E3/INDICE!F13</f>
        <v>8.2239665673983109E-2</v>
      </c>
    </row>
    <row r="14" spans="1:27">
      <c r="B14" s="2">
        <v>31</v>
      </c>
      <c r="C14" s="1329" t="s">
        <v>139</v>
      </c>
      <c r="D14" s="2" t="s">
        <v>35</v>
      </c>
      <c r="F14" s="377">
        <f ca="1">+QUINENCO!B3</f>
        <v>4290</v>
      </c>
      <c r="H14" s="372">
        <f>+'CAP (TIKR)'!C45</f>
        <v>9.2288715109180325E-2</v>
      </c>
      <c r="I14" s="372"/>
      <c r="K14" s="536">
        <f>+QUINENCO!C63</f>
        <v>0.11670464255531099</v>
      </c>
      <c r="L14" s="536"/>
      <c r="M14" s="536">
        <f>+QUINENCO!C59</f>
        <v>0.54782350721252071</v>
      </c>
      <c r="N14" s="536"/>
      <c r="O14" s="536">
        <f>+QUINENCO!C61</f>
        <v>0.14017127547683747</v>
      </c>
      <c r="Q14" s="337">
        <f>+QUINENCO!D3/INDICE!$R$3</f>
        <v>4876.3285714285712</v>
      </c>
      <c r="S14" s="331" t="str">
        <f ca="1">IF(F14&lt;Q14,"considerar","esperar")</f>
        <v>considerar</v>
      </c>
      <c r="T14" s="336">
        <f ca="1">+QUINENCO!D3/INDICE!F14</f>
        <v>7.9567132867132878E-2</v>
      </c>
      <c r="U14" s="332"/>
      <c r="V14" s="337">
        <f>+QUINENCO!E3/INDICE!$W$3</f>
        <v>5632.4833333333327</v>
      </c>
      <c r="X14" s="331" t="str">
        <f ca="1">IF(F14&lt;V14,"considerar","esperar")</f>
        <v>considerar</v>
      </c>
      <c r="Y14" s="336">
        <f ca="1">+QUINENCO!E3/INDICE!F14</f>
        <v>0.10503465423465422</v>
      </c>
    </row>
    <row r="15" spans="1:27">
      <c r="B15" s="2">
        <v>28</v>
      </c>
      <c r="C15" s="1329" t="s">
        <v>61</v>
      </c>
      <c r="D15" s="2" t="s">
        <v>60</v>
      </c>
      <c r="F15" s="377">
        <f ca="1">+SOQUICOM!B3</f>
        <v>379</v>
      </c>
      <c r="H15" s="372">
        <f>+'BESALCO (TIKR)'!C42</f>
        <v>9.698509656644605E-2</v>
      </c>
      <c r="I15" s="372"/>
      <c r="K15" s="536">
        <f>+SOQUICOM!C79</f>
        <v>-5.4531896647576908E-6</v>
      </c>
      <c r="L15" s="536"/>
      <c r="M15" s="536">
        <f>+SOQUICOM!C75</f>
        <v>1.0000339364782012</v>
      </c>
      <c r="N15" s="536"/>
      <c r="O15" s="536">
        <f>+SOQUICOM!C77</f>
        <v>0.12801361046196688</v>
      </c>
      <c r="Q15" s="337">
        <f>+SOQUICOM!D3/INDICE!$R$3</f>
        <v>539.89481571428564</v>
      </c>
      <c r="S15" s="331" t="str">
        <f ca="1">IF(F15&lt;Q15,"considerar","esperar")</f>
        <v>considerar</v>
      </c>
      <c r="T15" s="336">
        <f ca="1">+SOQUICOM!D3/INDICE!F15</f>
        <v>9.9716720580474941E-2</v>
      </c>
      <c r="U15" s="332"/>
      <c r="V15" s="337">
        <f>+SOQUICOM!E3/INDICE!$W$3</f>
        <v>472.40796375000002</v>
      </c>
      <c r="X15" s="331" t="str">
        <f ca="1">IF(F15&lt;V15,"considerar","esperar")</f>
        <v>considerar</v>
      </c>
      <c r="Y15" s="336">
        <f ca="1">+SOQUICOM!E3/INDICE!F15</f>
        <v>9.9716720580474941E-2</v>
      </c>
    </row>
    <row r="16" spans="1:27" hidden="1">
      <c r="B16" s="2">
        <v>14</v>
      </c>
      <c r="C16" s="1329" t="s">
        <v>65</v>
      </c>
      <c r="D16" s="2" t="s">
        <v>16</v>
      </c>
      <c r="F16" s="377">
        <f ca="1">+TRICAHUE!B3</f>
        <v>1480</v>
      </c>
      <c r="H16" s="532">
        <f>+ANASAC!C41</f>
        <v>9.9081063714829568E-2</v>
      </c>
      <c r="I16" s="532"/>
      <c r="K16" s="536">
        <f>+TRICAHUE!C61</f>
        <v>0.13353850695151884</v>
      </c>
      <c r="L16" s="536"/>
      <c r="M16" s="536">
        <f>+TRICAHUE!C57</f>
        <v>0.98374795912408342</v>
      </c>
      <c r="N16" s="536"/>
      <c r="O16" s="536">
        <f>+TRICAHUE!C59</f>
        <v>0.13568046399706568</v>
      </c>
      <c r="Q16" s="337">
        <f>+TRICAHUE!D3/INDICE!$R$3</f>
        <v>1263.2666666666667</v>
      </c>
      <c r="S16" s="331" t="str">
        <f ca="1">IF(F16&lt;Q16,"considerar","esperar")</f>
        <v>esperar</v>
      </c>
      <c r="T16" s="336">
        <f ca="1">+TRICAHUE!D3/INDICE!F16</f>
        <v>5.9749099099099104E-2</v>
      </c>
      <c r="U16" s="332"/>
      <c r="V16" s="337">
        <f>+TRICAHUE!E3/INDICE!$W$3</f>
        <v>1201.6820833333334</v>
      </c>
      <c r="X16" s="331" t="str">
        <f ca="1">IF(F16&lt;V16,"considerar","esperar")</f>
        <v>esperar</v>
      </c>
      <c r="Y16" s="336">
        <f ca="1">+TRICAHUE!E3/INDICE!F16</f>
        <v>6.4955788288288296E-2</v>
      </c>
    </row>
    <row r="17" spans="1:55" hidden="1">
      <c r="B17" s="2">
        <v>24</v>
      </c>
      <c r="C17" s="1329" t="s">
        <v>201</v>
      </c>
      <c r="D17" s="2" t="s">
        <v>11</v>
      </c>
      <c r="F17" s="1306">
        <f ca="1">'EMBONOR A'!B3</f>
        <v>1401</v>
      </c>
      <c r="G17" s="330"/>
      <c r="H17" s="373">
        <f>+PROVIDA!C45</f>
        <v>0.11139629821981584</v>
      </c>
      <c r="I17" s="373"/>
      <c r="J17" s="330"/>
      <c r="K17" s="544">
        <f>+'EMBONOR A'!C61</f>
        <v>9.0134721535525056E-2</v>
      </c>
      <c r="L17" s="544"/>
      <c r="M17" s="544">
        <f>+'EMBONOR A'!C57</f>
        <v>0.49741452024022753</v>
      </c>
      <c r="N17" s="544"/>
      <c r="O17" s="544">
        <f>+'EMBONOR A'!C59</f>
        <v>0.12033310139450644</v>
      </c>
      <c r="P17" s="330"/>
      <c r="Q17" s="337">
        <f>+'EMBONOR A'!D3/INDICE!$R$3</f>
        <v>717.69771428571426</v>
      </c>
      <c r="S17" s="331" t="str">
        <f ca="1">IF(F17&lt;Q17,"considerar","esperar")</f>
        <v>esperar</v>
      </c>
      <c r="T17" s="336">
        <f ca="1">+'EMBONOR A'!D3/INDICE!F17</f>
        <v>3.5859271948608142E-2</v>
      </c>
      <c r="U17" s="332"/>
      <c r="V17" s="337">
        <f>+'EMBONOR A'!E3/INDICE!$W$3</f>
        <v>1281.7436666666665</v>
      </c>
      <c r="X17" s="331" t="str">
        <f ca="1">IF(F17&lt;V17,"considerar","esperar")</f>
        <v>esperar</v>
      </c>
      <c r="Y17" s="336">
        <f ca="1">+'EMBONOR A'!E3/INDICE!F17</f>
        <v>7.3190216512015224E-2</v>
      </c>
    </row>
    <row r="18" spans="1:55">
      <c r="B18" s="2">
        <v>36</v>
      </c>
      <c r="C18" s="1329" t="s">
        <v>57</v>
      </c>
      <c r="D18" s="2" t="s">
        <v>56</v>
      </c>
      <c r="F18" s="378">
        <f ca="1">+SMU!B3</f>
        <v>130.83000000000001</v>
      </c>
      <c r="G18" s="330"/>
      <c r="H18" s="371">
        <f>+ITAU!C24</f>
        <v>0.10293300326795586</v>
      </c>
      <c r="I18" s="371"/>
      <c r="J18" s="330"/>
      <c r="K18" s="544">
        <f>+SMU!C61</f>
        <v>2.3285567586937578E-2</v>
      </c>
      <c r="L18" s="544"/>
      <c r="M18" s="544">
        <f>+SMU!C57</f>
        <v>0.70945222382404838</v>
      </c>
      <c r="N18" s="544"/>
      <c r="O18" s="544">
        <f>+SMU!C59</f>
        <v>6.0254466501976668E-2</v>
      </c>
      <c r="P18" s="330"/>
      <c r="Q18" s="337">
        <f>+SMU!D3/INDICE!$R$3</f>
        <v>136.67942857142853</v>
      </c>
      <c r="S18" s="331" t="str">
        <f ca="1">IF(F18&lt;Q18,"considerar","esperar")</f>
        <v>considerar</v>
      </c>
      <c r="T18" s="336">
        <f ca="1">+SMU!D3/INDICE!F18</f>
        <v>7.3129710311090709E-2</v>
      </c>
      <c r="U18" s="332"/>
      <c r="V18" s="337">
        <f>+SMU!E3/INDICE!$W$3</f>
        <v>119.59449999999998</v>
      </c>
      <c r="X18" s="331" t="str">
        <f ca="1">IF(F18&lt;V18,"considerar","esperar")</f>
        <v>esperar</v>
      </c>
      <c r="Y18" s="336">
        <f ca="1">+SMU!E3/INDICE!F18</f>
        <v>7.3129710311090709E-2</v>
      </c>
    </row>
    <row r="19" spans="1:55" hidden="1">
      <c r="B19" s="2">
        <v>32</v>
      </c>
      <c r="C19" s="1329" t="s">
        <v>71</v>
      </c>
      <c r="D19" s="2" t="s">
        <v>35</v>
      </c>
      <c r="F19" s="378">
        <f ca="1">+ILC!B3</f>
        <v>19999</v>
      </c>
      <c r="G19" s="330"/>
      <c r="H19" s="372">
        <f>+ENLASA!C46</f>
        <v>0.10791639555802539</v>
      </c>
      <c r="I19" s="372"/>
      <c r="J19" s="330"/>
      <c r="K19" s="544">
        <f>+ILC!C63</f>
        <v>9.930081867570556E-2</v>
      </c>
      <c r="L19" s="544"/>
      <c r="M19" s="544">
        <f>+ILC!C59</f>
        <v>0.35524405986935254</v>
      </c>
      <c r="N19" s="544"/>
      <c r="O19" s="544">
        <f>+ILC!C61</f>
        <v>0.10637525299134937</v>
      </c>
      <c r="P19" s="330"/>
      <c r="Q19" s="337">
        <f>+ILC!D3/INDICE!$R$3</f>
        <v>6333.2033333333329</v>
      </c>
      <c r="S19" s="331" t="str">
        <f ca="1">IF(F19&lt;Q19,"considerar","esperar")</f>
        <v>esperar</v>
      </c>
      <c r="T19" s="336">
        <f ca="1">+ILC!D3/INDICE!F19</f>
        <v>2.2167320032668299E-2</v>
      </c>
      <c r="U19" s="332"/>
      <c r="V19" s="337">
        <f>+ILC!E3/INDICE!$W$3</f>
        <v>5541.5529166666665</v>
      </c>
      <c r="X19" s="331" t="str">
        <f ca="1">IF(F19&lt;V19,"considerar","esperar")</f>
        <v>esperar</v>
      </c>
      <c r="Y19" s="336">
        <f ca="1">+ILC!E3/INDICE!F19</f>
        <v>2.2167320032668299E-2</v>
      </c>
    </row>
    <row r="20" spans="1:55" hidden="1">
      <c r="A20" s="381"/>
      <c r="B20" s="2">
        <v>35</v>
      </c>
      <c r="C20" s="1329" t="s">
        <v>202</v>
      </c>
      <c r="D20" s="2" t="s">
        <v>203</v>
      </c>
      <c r="F20" s="379">
        <v>12000</v>
      </c>
      <c r="G20" s="330"/>
      <c r="H20" s="371">
        <f>+CCU!C42</f>
        <v>0.10962881763054809</v>
      </c>
      <c r="I20" s="371"/>
      <c r="J20" s="330"/>
      <c r="K20" s="544">
        <f>+OXIQUIM!C57</f>
        <v>0.11351218672451513</v>
      </c>
      <c r="L20" s="544"/>
      <c r="M20" s="544">
        <f>+OXIQUIM!C53</f>
        <v>0.55696025619390988</v>
      </c>
      <c r="N20" s="544"/>
      <c r="O20" s="544">
        <f>+OXIQUIM!C55</f>
        <v>0.10158453977991637</v>
      </c>
      <c r="P20" s="330"/>
      <c r="Q20" s="337">
        <f>+OXIQUIM!D3/INDICE!$R$3</f>
        <v>8414.2857142857138</v>
      </c>
      <c r="S20" s="331" t="str">
        <f>IF(F20&lt;Q20,"considerar","esperar")</f>
        <v>esperar</v>
      </c>
      <c r="T20" s="336">
        <f>+OXIQUIM!D3/INDICE!F20</f>
        <v>4.9083333333333333E-2</v>
      </c>
      <c r="U20" s="332"/>
      <c r="V20" s="337">
        <f>+OXIQUIM!E3/INDICE!$W$3</f>
        <v>8200</v>
      </c>
      <c r="X20" s="331" t="str">
        <f>IF(F20&lt;V20,"considerar","esperar")</f>
        <v>esperar</v>
      </c>
      <c r="Y20" s="336">
        <f>+OXIQUIM!E3/INDICE!F20</f>
        <v>5.4666666666666669E-2</v>
      </c>
      <c r="Z20" s="381"/>
    </row>
    <row r="21" spans="1:55" hidden="1">
      <c r="B21" s="2">
        <v>12</v>
      </c>
      <c r="C21" s="1329" t="s">
        <v>34</v>
      </c>
      <c r="D21" s="2" t="s">
        <v>33</v>
      </c>
      <c r="F21" s="377">
        <f ca="1">+ZOFRI!B3</f>
        <v>1004.3</v>
      </c>
      <c r="H21" s="372">
        <f>+CONCHATORO!C42</f>
        <v>0.11030718910211945</v>
      </c>
      <c r="I21" s="372"/>
      <c r="K21" s="536">
        <f>+ZOFRI!C61</f>
        <v>4.0930350793269454E-2</v>
      </c>
      <c r="L21" s="536"/>
      <c r="M21" s="536">
        <f>+ZOFRI!C57</f>
        <v>0.86664405241283715</v>
      </c>
      <c r="N21" s="536"/>
      <c r="O21" s="536">
        <f>+ZOFRI!C59</f>
        <v>9.750390259859619E-2</v>
      </c>
      <c r="Q21" s="337">
        <f>+ZOFRI!D3/INDICE!$R$3</f>
        <v>946.3</v>
      </c>
      <c r="S21" s="331" t="str">
        <f ca="1">IF(F21&lt;Q21,"considerar","esperar")</f>
        <v>esperar</v>
      </c>
      <c r="T21" s="336">
        <f ca="1">+ZOFRI!D3/INDICE!F21</f>
        <v>6.5957383252016333E-2</v>
      </c>
      <c r="U21" s="332"/>
      <c r="V21" s="337">
        <f>+ZOFRI!E3/INDICE!$W$3</f>
        <v>828.01249999999993</v>
      </c>
      <c r="X21" s="331" t="str">
        <f ca="1">IF(F21&lt;V21,"considerar","esperar")</f>
        <v>esperar</v>
      </c>
      <c r="Y21" s="336">
        <f ca="1">+ZOFRI!E3/INDICE!F21</f>
        <v>6.5957383252016333E-2</v>
      </c>
    </row>
    <row r="22" spans="1:55" hidden="1">
      <c r="B22" s="2">
        <v>5</v>
      </c>
      <c r="C22" s="1329" t="s">
        <v>47</v>
      </c>
      <c r="D22" s="2" t="s">
        <v>28</v>
      </c>
      <c r="F22" s="377">
        <f ca="1">+AFPCAPITAL!B3</f>
        <v>272.25</v>
      </c>
      <c r="H22" s="373">
        <f>+CUPRUM!C45</f>
        <v>0.13499338751726583</v>
      </c>
      <c r="I22" s="373"/>
      <c r="K22" s="536">
        <f>+AFPCAPITAL!C64</f>
        <v>0.11298944517895022</v>
      </c>
      <c r="L22" s="536"/>
      <c r="M22" s="536">
        <f>+AFPCAPITAL!C60</f>
        <v>0.80625393948802382</v>
      </c>
      <c r="N22" s="536"/>
      <c r="O22" s="536">
        <f>+AFPCAPITAL!C62</f>
        <v>9.7456150849057857E-2</v>
      </c>
      <c r="Q22" s="337">
        <f>+CUPRUM!D3/INDICE!$R$3</f>
        <v>72.642857142857139</v>
      </c>
      <c r="S22" s="331" t="str">
        <f ca="1">IF(F22&lt;Q22,"considerar","esperar")</f>
        <v>esperar</v>
      </c>
      <c r="T22" s="336">
        <f ca="1">AFPCAPITAL!D3/INDICE!F22</f>
        <v>6.6010407101316199E-2</v>
      </c>
      <c r="U22" s="332"/>
      <c r="V22" s="337">
        <f>AFPCAPITAL!E3/INDICE!$W$3</f>
        <v>291.33333333333337</v>
      </c>
      <c r="X22" s="331" t="str">
        <f ca="1">IF(F22&lt;V22,"considerar","esperar")</f>
        <v>considerar</v>
      </c>
      <c r="Y22" s="336">
        <f ca="1">AFPCAPITAL!E3/INDICE!F22</f>
        <v>8.5607591062136529E-2</v>
      </c>
    </row>
    <row r="23" spans="1:55" hidden="1">
      <c r="B23" s="2">
        <v>20</v>
      </c>
      <c r="C23" s="1329" t="s">
        <v>31</v>
      </c>
      <c r="D23" s="2" t="s">
        <v>30</v>
      </c>
      <c r="F23" s="377">
        <f ca="1">+LIPIGAS!B3</f>
        <v>8145.9</v>
      </c>
      <c r="H23" s="373">
        <f>+MINERA!C46</f>
        <v>0.11849851443453345</v>
      </c>
      <c r="I23" s="373"/>
      <c r="K23" s="536">
        <f>+LIPIGAS!C61</f>
        <v>5.4783520876239479E-2</v>
      </c>
      <c r="L23" s="536"/>
      <c r="M23" s="536">
        <f>+LIPIGAS!C57</f>
        <v>0.77392456647810615</v>
      </c>
      <c r="N23" s="536"/>
      <c r="O23" s="536">
        <f>+LIPIGAS!C59</f>
        <v>9.5437373799370354E-2</v>
      </c>
      <c r="Q23" s="337">
        <f>+LIPIGAS!D3/INDICE!R3</f>
        <v>4357.1428571428569</v>
      </c>
      <c r="S23" s="331" t="str">
        <f ca="1">IF(F23&lt;Q23,"considerar","esperar")</f>
        <v>esperar</v>
      </c>
      <c r="T23" s="336">
        <f ca="1">+LIPIGAS!D3/INDICE!F24</f>
        <v>0.48958233009085361</v>
      </c>
      <c r="U23" s="332"/>
      <c r="V23" s="337">
        <f>+LIPIGAS!E3/INDICE!W3</f>
        <v>3883.3333333333335</v>
      </c>
      <c r="X23" s="331" t="str">
        <f ca="1">IF(F23&lt;V23,"considerar","esperar")</f>
        <v>esperar</v>
      </c>
      <c r="Y23" s="336">
        <f ca="1">+LIPIGAS!E3/INDICE!F24</f>
        <v>0.49867839524008262</v>
      </c>
      <c r="AA23" s="381"/>
      <c r="AB23" s="381"/>
      <c r="AC23" s="381"/>
      <c r="AD23" s="381"/>
      <c r="AE23" s="381"/>
      <c r="AF23" s="381"/>
      <c r="AG23" s="381"/>
      <c r="AH23" s="381"/>
      <c r="AI23" s="381"/>
      <c r="AJ23" s="381"/>
      <c r="AK23" s="381"/>
      <c r="AL23" s="381"/>
      <c r="AM23" s="381"/>
      <c r="AN23" s="381"/>
      <c r="AO23" s="381"/>
      <c r="AP23" s="381"/>
      <c r="AQ23" s="381"/>
      <c r="AR23" s="381"/>
      <c r="AS23" s="381"/>
      <c r="AT23" s="381"/>
      <c r="AU23" s="381"/>
      <c r="AV23" s="381"/>
      <c r="AW23" s="381"/>
      <c r="AX23" s="381"/>
      <c r="AY23" s="381"/>
      <c r="AZ23" s="381"/>
      <c r="BA23" s="381"/>
      <c r="BB23" s="381"/>
      <c r="BC23" s="381"/>
    </row>
    <row r="24" spans="1:55" s="381" customFormat="1" hidden="1">
      <c r="A24" s="2"/>
      <c r="B24" s="2">
        <v>21</v>
      </c>
      <c r="C24" s="1329" t="s">
        <v>50</v>
      </c>
      <c r="D24" s="2" t="s">
        <v>30</v>
      </c>
      <c r="E24" s="2"/>
      <c r="F24" s="377">
        <f ca="1">+NTGCLGAS!B3</f>
        <v>622.98</v>
      </c>
      <c r="G24" s="2"/>
      <c r="H24" s="369">
        <f>+'AGUAS-A'!C42</f>
        <v>0.12387201311644036</v>
      </c>
      <c r="I24" s="369"/>
      <c r="J24" s="2"/>
      <c r="K24" s="536">
        <f>+NTGCLGAS!C63</f>
        <v>3.1475039699189293E-2</v>
      </c>
      <c r="L24" s="536"/>
      <c r="M24" s="536">
        <f>+NTGCLGAS!C59</f>
        <v>0.2137537444781776</v>
      </c>
      <c r="N24" s="536"/>
      <c r="O24" s="536">
        <f>+NTGCLGAS!C61</f>
        <v>9.2860136917404357E-2</v>
      </c>
      <c r="P24" s="2"/>
      <c r="Q24" s="337">
        <f>+NTGCLGAS!D3/INDICE!$R$3</f>
        <v>166.66666666666663</v>
      </c>
      <c r="R24" s="2"/>
      <c r="S24" s="331" t="str">
        <f ca="1">IF(F24&lt;Q24,"considerar","esperar")</f>
        <v>esperar</v>
      </c>
      <c r="T24" s="336">
        <f ca="1">+NTGCLGAS!D3/INDICE!F25</f>
        <v>3.7921880925293893E-3</v>
      </c>
      <c r="U24" s="332"/>
      <c r="V24" s="337">
        <f>+NTGCLGAS!E3/INDICE!$W$3</f>
        <v>270.83333333333331</v>
      </c>
      <c r="W24" s="2"/>
      <c r="X24" s="331" t="str">
        <f ca="1">IF(F24&lt;V24,"considerar","esperar")</f>
        <v>esperar</v>
      </c>
      <c r="Y24" s="336">
        <f ca="1">+NTGCLGAS!E3/INDICE!F25</f>
        <v>7.042635028983152E-3</v>
      </c>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row>
    <row r="25" spans="1:55" hidden="1">
      <c r="B25" s="2">
        <v>39</v>
      </c>
      <c r="C25" s="1329" t="s">
        <v>204</v>
      </c>
      <c r="D25" s="2" t="s">
        <v>203</v>
      </c>
      <c r="F25" s="378">
        <f ca="1">+VOLCAN!B3</f>
        <v>3076.5</v>
      </c>
      <c r="H25" s="383">
        <f>+'AGUAS-B'!C42</f>
        <v>0.12387201311644036</v>
      </c>
      <c r="I25" s="383"/>
      <c r="K25" s="536">
        <f>+VOLCAN!C55</f>
        <v>0.10319442561237051</v>
      </c>
      <c r="L25" s="536"/>
      <c r="M25" s="536">
        <f>+VOLCAN!C51</f>
        <v>0.31356836172633068</v>
      </c>
      <c r="N25" s="536"/>
      <c r="O25" s="536">
        <f>+VOLCAN!C53</f>
        <v>8.5020849056603773E-2</v>
      </c>
      <c r="Q25" s="337">
        <f>VOLCAN!D3/INDICE!$R$3</f>
        <v>2460.9952380952377</v>
      </c>
      <c r="S25" s="331" t="str">
        <f ca="1">IF(F25&lt;Q25,"considerar","esperar")</f>
        <v>esperar</v>
      </c>
      <c r="T25" s="367">
        <f ca="1">VOLCAN!D3/INDICE!F26</f>
        <v>0.51577744510978041</v>
      </c>
      <c r="U25" s="332"/>
      <c r="V25" s="337">
        <f>VOLCAN!E3/INDICE!$W$3</f>
        <v>2157.125</v>
      </c>
      <c r="X25" s="331" t="str">
        <f ca="1">IF(F25&lt;V25,"considerar","esperar")</f>
        <v>esperar</v>
      </c>
      <c r="Y25" s="367">
        <f ca="1">VOLCAN!E3/INDICE!F26</f>
        <v>0.51667664670658686</v>
      </c>
    </row>
    <row r="26" spans="1:55" hidden="1">
      <c r="B26" s="2">
        <v>11</v>
      </c>
      <c r="C26" s="1329" t="s">
        <v>205</v>
      </c>
      <c r="D26" s="2" t="s">
        <v>18</v>
      </c>
      <c r="F26" s="378">
        <f ca="1">+SECURITY!B3</f>
        <v>334</v>
      </c>
      <c r="G26" s="330"/>
      <c r="H26" s="374">
        <f>+SMU!C42</f>
        <v>0.12554186153351263</v>
      </c>
      <c r="I26" s="374"/>
      <c r="J26" s="330"/>
      <c r="K26" s="544">
        <f>+SECURITY!C26</f>
        <v>5.8561577519586759E-2</v>
      </c>
      <c r="L26" s="544"/>
      <c r="M26" s="544">
        <f>+SECURITY!C19</f>
        <v>0.61461699911468859</v>
      </c>
      <c r="N26" s="544"/>
      <c r="O26" s="544">
        <f>+SECURITY!C28</f>
        <v>8.3499539192968861E-2</v>
      </c>
      <c r="P26" s="330"/>
      <c r="Q26" s="337">
        <f>SECURITY!D3/INDICE!$R$3</f>
        <v>213.09523809523807</v>
      </c>
      <c r="S26" s="331" t="str">
        <f ca="1">IF(F26&lt;Q26,"considerar","esperar")</f>
        <v>esperar</v>
      </c>
      <c r="T26" s="336">
        <f ca="1">SECURITY!D3/INDICE!F27</f>
        <v>9.7494553376906313E-3</v>
      </c>
      <c r="U26" s="332"/>
      <c r="V26" s="337">
        <f>SECURITY!D3/INDICE!$W$3</f>
        <v>186.45833333333331</v>
      </c>
      <c r="X26" s="331" t="str">
        <f ca="1">IF(F26&lt;V26,"considerar","esperar")</f>
        <v>esperar</v>
      </c>
      <c r="Y26" s="336">
        <f ca="1">SECURITY!E3/INDICE!F27</f>
        <v>9.7494553376906313E-3</v>
      </c>
    </row>
    <row r="27" spans="1:55" hidden="1">
      <c r="B27" s="2">
        <v>25</v>
      </c>
      <c r="C27" s="1329" t="s">
        <v>206</v>
      </c>
      <c r="D27" s="2" t="s">
        <v>11</v>
      </c>
      <c r="F27" s="377">
        <f ca="1">+'EMBONOR B'!B3</f>
        <v>1530</v>
      </c>
      <c r="H27" s="373">
        <f>+ENTEL!C42</f>
        <v>0.13214857479216621</v>
      </c>
      <c r="I27" s="373"/>
      <c r="K27" s="536">
        <f>+'EMBONOR B'!C61</f>
        <v>8.6046793975091698E-2</v>
      </c>
      <c r="L27" s="536"/>
      <c r="M27" s="536">
        <f>+'EMBONOR B'!C57</f>
        <v>0.55905954100347377</v>
      </c>
      <c r="N27" s="536"/>
      <c r="O27" s="536">
        <f>+'EMBONOR B'!C59</f>
        <v>7.7328583990939004E-2</v>
      </c>
      <c r="Q27" s="337">
        <f>+'EMBONOR B'!D3/INDICE!$R$3</f>
        <v>1045.8209047619048</v>
      </c>
      <c r="S27" s="331" t="str">
        <f ca="1">IF(F27&lt;Q27,"considerar","esperar")</f>
        <v>esperar</v>
      </c>
      <c r="T27" s="336">
        <f ca="1">+'EMBONOR B'!D3/INDICE!F28</f>
        <v>0.2109725168107589</v>
      </c>
      <c r="U27" s="332"/>
      <c r="V27" s="337">
        <f>+'EMBONOR B'!E3/INDICE!$W$3</f>
        <v>1191.6666666666665</v>
      </c>
      <c r="X27" s="331" t="str">
        <f ca="1">IF(F27&lt;V27,"considerar","esperar")</f>
        <v>esperar</v>
      </c>
      <c r="Y27" s="336">
        <f ca="1">+'EMBONOR B'!E3/INDICE!F28</f>
        <v>0.27473583093179632</v>
      </c>
      <c r="BC27" s="1289" t="s">
        <v>207</v>
      </c>
    </row>
    <row r="28" spans="1:55" hidden="1">
      <c r="B28" s="2">
        <v>18</v>
      </c>
      <c r="C28" s="1329" t="s">
        <v>208</v>
      </c>
      <c r="D28" s="2" t="s">
        <v>209</v>
      </c>
      <c r="F28" s="377">
        <f ca="1">+'AGUAS-A'!B3</f>
        <v>347</v>
      </c>
      <c r="H28" s="371">
        <f>+BCI!C25</f>
        <v>0.1333446904712704</v>
      </c>
      <c r="I28" s="371"/>
      <c r="K28" s="536">
        <f>+'AGUAS-A'!C55</f>
        <v>3.1457807191542862E-2</v>
      </c>
      <c r="L28" s="536"/>
      <c r="M28" s="536">
        <f>+'AGUAS-A'!C51</f>
        <v>0.82247371702674965</v>
      </c>
      <c r="N28" s="536"/>
      <c r="O28" s="536">
        <f>+'AGUAS-A'!C53</f>
        <v>7.5918711901145644E-2</v>
      </c>
      <c r="Q28" s="337">
        <f>+'AGUAS-A'!D3/INDICE!$R$3</f>
        <v>128.60004761904759</v>
      </c>
      <c r="S28" s="331" t="str">
        <f ca="1">IF(F28&lt;Q28,"considerar","esperar")</f>
        <v>esperar</v>
      </c>
      <c r="T28" s="336">
        <f>+'AGUAS-A'!D3/INDICE!F29</f>
        <v>6.001335555555555E-2</v>
      </c>
      <c r="U28" s="332"/>
      <c r="V28" s="337">
        <f>+'AGUAS-A'!E3/INDICE!$R$3</f>
        <v>212.7857619047619</v>
      </c>
      <c r="X28" s="331" t="str">
        <f ca="1">IF(F28&lt;V28,"considerar","esperar")</f>
        <v>esperar</v>
      </c>
      <c r="Y28" s="336">
        <f>+'AGUAS-A'!E3/INDICE!F29</f>
        <v>9.9300022222222228E-2</v>
      </c>
    </row>
    <row r="29" spans="1:55" hidden="1">
      <c r="A29" s="381"/>
      <c r="B29" s="2">
        <v>19</v>
      </c>
      <c r="C29" s="1329" t="s">
        <v>210</v>
      </c>
      <c r="D29" s="2" t="s">
        <v>209</v>
      </c>
      <c r="F29" s="384">
        <v>150</v>
      </c>
      <c r="G29" s="330"/>
      <c r="H29" s="374">
        <f>+COLBÚN!C44</f>
        <v>0.1466840848498222</v>
      </c>
      <c r="I29" s="374"/>
      <c r="J29" s="330"/>
      <c r="K29" s="544">
        <f>+'AGUAS-B'!C55</f>
        <v>3.1456908614431796E-2</v>
      </c>
      <c r="L29" s="544"/>
      <c r="M29" s="544">
        <f>+'AGUAS-B'!C51</f>
        <v>0.82248220356391577</v>
      </c>
      <c r="N29" s="544"/>
      <c r="O29" s="544">
        <f>+'AGUAS-B'!C53</f>
        <v>7.5895141157425058E-2</v>
      </c>
      <c r="P29" s="330"/>
      <c r="Q29" s="337">
        <f>+'AGUAS-B'!D3/INDICE!$R$3</f>
        <v>128.60019047619045</v>
      </c>
      <c r="S29" s="331" t="str">
        <f>IF(F29&lt;Q29,"considerar","esperar")</f>
        <v>esperar</v>
      </c>
      <c r="T29" s="336">
        <f ca="1">+'AGUAS-B'!D3/INDICE!F30</f>
        <v>0.12732692126355491</v>
      </c>
      <c r="U29" s="332"/>
      <c r="V29" s="337">
        <f>+'AGUAS-B'!E3/INDICE!$W$3</f>
        <v>186.18908333333331</v>
      </c>
      <c r="X29" s="331" t="str">
        <f>IF(F29&lt;V29,"considerar","esperar")</f>
        <v>considerar</v>
      </c>
      <c r="Y29" s="336">
        <f ca="1">+'AGUAS-B'!E3/INDICE!F30</f>
        <v>0.21068071664309285</v>
      </c>
      <c r="Z29" s="381"/>
    </row>
    <row r="30" spans="1:55" hidden="1">
      <c r="B30" s="2">
        <v>16</v>
      </c>
      <c r="C30" s="1329" t="s">
        <v>54</v>
      </c>
      <c r="D30" s="2" t="s">
        <v>16</v>
      </c>
      <c r="F30" s="377">
        <f ca="1">+ENELCHILE!B3</f>
        <v>70.7</v>
      </c>
      <c r="H30" s="372">
        <f>+VOLCAN!C42</f>
        <v>0.14678967467748302</v>
      </c>
      <c r="I30" s="372"/>
      <c r="K30" s="536">
        <f>+ENELCHILE!C62</f>
        <v>0.107764664856854</v>
      </c>
      <c r="L30" s="536"/>
      <c r="M30" s="536">
        <f>+ENELCHILE!C58</f>
        <v>1.039796543272135</v>
      </c>
      <c r="N30" s="536"/>
      <c r="O30" s="536">
        <f>+ENELCHILE!C60</f>
        <v>6.9092385347974627E-2</v>
      </c>
      <c r="Q30" s="337">
        <f>+ENELCHILE!D3/INDICE!$R$3</f>
        <v>42.271428571428565</v>
      </c>
      <c r="S30" s="331" t="str">
        <f ca="1">IF(F30&lt;Q30,"considerar","esperar")</f>
        <v>esperar</v>
      </c>
      <c r="T30" s="336">
        <f ca="1">+ENELCHILE!D3/INDICE!F31</f>
        <v>2.8183636536813027E-4</v>
      </c>
      <c r="U30" s="332"/>
      <c r="V30" s="337">
        <f>+ENELCHILE!E3/INDICE!$W$3</f>
        <v>36.987499999999997</v>
      </c>
      <c r="X30" s="331" t="str">
        <f ca="1">IF(F30&lt;V30,"considerar","esperar")</f>
        <v>esperar</v>
      </c>
      <c r="Y30" s="336">
        <f ca="1">+ENELCHILE!E3/INDICE!F31</f>
        <v>2.8183636536813027E-4</v>
      </c>
    </row>
    <row r="31" spans="1:55" hidden="1">
      <c r="B31" s="2">
        <v>38</v>
      </c>
      <c r="C31" s="1329" t="s">
        <v>211</v>
      </c>
      <c r="D31" s="2" t="s">
        <v>203</v>
      </c>
      <c r="F31" s="377">
        <f ca="1">+MOLYMET!B3</f>
        <v>10499</v>
      </c>
      <c r="H31" s="371">
        <f>+SECURITY!C24</f>
        <v>0.14923316785660454</v>
      </c>
      <c r="I31" s="371"/>
      <c r="K31" s="536">
        <f>+MOLYMET!C59</f>
        <v>5.341733376992152E-2</v>
      </c>
      <c r="L31" s="536"/>
      <c r="M31" s="536">
        <f>+MOLYMET!C55</f>
        <v>0.49466283672730088</v>
      </c>
      <c r="N31" s="536"/>
      <c r="O31" s="536">
        <f>+MOLYMET!C57</f>
        <v>6.4150056241032996E-2</v>
      </c>
      <c r="Q31" s="337">
        <f>MOLYMET!D3/INDICE!$R$3</f>
        <v>2059.8523809523804</v>
      </c>
      <c r="S31" s="331" t="str">
        <f ca="1">IF(F31&lt;Q31,"considerar","esperar")</f>
        <v>esperar</v>
      </c>
      <c r="T31" s="367">
        <f ca="1">MOLYMET!D3/INDICE!F32</f>
        <v>2.858070697059795E-2</v>
      </c>
      <c r="U31" s="332"/>
      <c r="V31" s="337">
        <f>MOLYMET!E3/INDICE!$W$3</f>
        <v>3010.6916666666662</v>
      </c>
      <c r="X31" s="331" t="str">
        <f ca="1">IF(F31&lt;V31,"considerar","esperar")</f>
        <v>esperar</v>
      </c>
      <c r="Y31" s="367">
        <f ca="1">MOLYMET!E3/INDICE!F32</f>
        <v>4.7741394119590351E-2</v>
      </c>
    </row>
    <row r="32" spans="1:55" hidden="1">
      <c r="B32" s="2">
        <v>26</v>
      </c>
      <c r="C32" s="1329" t="s">
        <v>52</v>
      </c>
      <c r="D32" s="2" t="s">
        <v>11</v>
      </c>
      <c r="F32" s="379">
        <f ca="1">CCU!B3</f>
        <v>5045</v>
      </c>
      <c r="G32" s="330"/>
      <c r="H32" s="371">
        <f>+ILC!C44</f>
        <v>0.15240495163592852</v>
      </c>
      <c r="I32" s="371"/>
      <c r="J32" s="330"/>
      <c r="K32" s="544">
        <f>+CCU!C61</f>
        <v>3.963141656521E-2</v>
      </c>
      <c r="L32" s="544"/>
      <c r="M32" s="544">
        <f>+CCU!C57</f>
        <v>0.61404159303249994</v>
      </c>
      <c r="N32" s="544"/>
      <c r="O32" s="544">
        <f>+CCU!C59</f>
        <v>3.470480978762662E-2</v>
      </c>
      <c r="P32" s="330"/>
      <c r="Q32" s="337" t="e">
        <f>+CCU!D3/INDICE!$R$3</f>
        <v>#REF!</v>
      </c>
      <c r="S32" s="331" t="e">
        <f ca="1">IF(F32&lt;Q32,"considerar","esperar")</f>
        <v>#REF!</v>
      </c>
      <c r="T32" s="336" t="e">
        <f ca="1">+CCU!E3/INDICE!F33</f>
        <v>#REF!</v>
      </c>
      <c r="U32" s="332"/>
      <c r="V32" s="337" t="e">
        <f>+CCU!E3/INDICE!$W$3</f>
        <v>#REF!</v>
      </c>
      <c r="X32" s="331" t="e">
        <f ca="1">IF(F32&lt;V32,"considerar","esperar")</f>
        <v>#REF!</v>
      </c>
      <c r="Y32" s="336" t="e">
        <f ca="1">+CCU!E3/INDICE!F33</f>
        <v>#REF!</v>
      </c>
    </row>
    <row r="33" spans="1:55" hidden="1">
      <c r="B33" s="2">
        <v>8</v>
      </c>
      <c r="C33" s="1329" t="s">
        <v>212</v>
      </c>
      <c r="D33" s="2" t="s">
        <v>18</v>
      </c>
      <c r="F33" s="377">
        <f ca="1">+SANTANDER!B3</f>
        <v>74.8</v>
      </c>
      <c r="H33" s="372">
        <f>+TRICAHUE!C42</f>
        <v>0.15533900100772946</v>
      </c>
      <c r="I33" s="372"/>
      <c r="K33" s="536">
        <f>+SANTANDER!D39</f>
        <v>6.5266442052463944E-2</v>
      </c>
      <c r="L33" s="536"/>
      <c r="M33" s="536">
        <f>+SANTANDER!D31</f>
        <v>0.66713322153132049</v>
      </c>
      <c r="N33" s="536"/>
      <c r="O33" s="536">
        <f>+SANTANDER!D41</f>
        <v>6.0412853209742545E-2</v>
      </c>
      <c r="Q33" s="337">
        <f>+SANTANDER!E3/INDICE!$R$3</f>
        <v>32.789999999999992</v>
      </c>
      <c r="S33" s="331" t="str">
        <f ca="1">IF(F33&lt;Q33,"considerar","esperar")</f>
        <v>esperar</v>
      </c>
      <c r="T33" s="336">
        <f ca="1">+SANTANDER!E3/INDICE!F34</f>
        <v>1.3662499999999998E-2</v>
      </c>
      <c r="U33" s="332"/>
      <c r="V33" s="337">
        <f>+SANTANDER!F3/INDICE!$W$3</f>
        <v>28.691249999999997</v>
      </c>
      <c r="X33" s="331" t="str">
        <f ca="1">IF(F33&lt;V33,"considerar","esperar")</f>
        <v>esperar</v>
      </c>
      <c r="Y33" s="336">
        <f ca="1">+SANTANDER!F3/INDICE!F34</f>
        <v>1.3662499999999998E-2</v>
      </c>
    </row>
    <row r="34" spans="1:55" hidden="1">
      <c r="B34" s="2">
        <v>7</v>
      </c>
      <c r="C34" s="1329" t="s">
        <v>135</v>
      </c>
      <c r="D34" s="2" t="s">
        <v>18</v>
      </c>
      <c r="F34" s="377">
        <f ca="1">+CHILE!B3</f>
        <v>168</v>
      </c>
      <c r="H34" s="372">
        <f>+ENELCHILE!C42</f>
        <v>0.15851919782578566</v>
      </c>
      <c r="I34" s="372"/>
      <c r="K34" s="536">
        <f>+CHILE!D39</f>
        <v>8.6165807471250785E-2</v>
      </c>
      <c r="L34" s="536"/>
      <c r="M34" s="536">
        <f>+CHILE!D31</f>
        <v>0.64984822721603408</v>
      </c>
      <c r="N34" s="536"/>
      <c r="O34" s="536">
        <f>+CHILE!D41</f>
        <v>5.8619969444912233E-2</v>
      </c>
      <c r="Q34" s="337">
        <f>+CHILE!E3/INDICE!$R$3</f>
        <v>104.50077556476189</v>
      </c>
      <c r="S34" s="331" t="str">
        <f ca="1">IF(F34&lt;Q34,"considerar","esperar")</f>
        <v>esperar</v>
      </c>
      <c r="T34" s="336">
        <f ca="1">+CHILE!E3/INDICE!F35</f>
        <v>6.1834778440687521E-2</v>
      </c>
      <c r="U34" s="332"/>
      <c r="V34" s="337">
        <f>+CHILE!F3/INDICE!$W$3</f>
        <v>91.438178619166663</v>
      </c>
      <c r="X34" s="331" t="str">
        <f ca="1">IF(F34&lt;V34,"considerar","esperar")</f>
        <v>esperar</v>
      </c>
      <c r="Y34" s="336">
        <f ca="1">+CHILE!F3/INDICE!F35</f>
        <v>6.1834778440687521E-2</v>
      </c>
    </row>
    <row r="35" spans="1:55" hidden="1">
      <c r="B35" s="2">
        <v>37</v>
      </c>
      <c r="C35" s="1329" t="s">
        <v>213</v>
      </c>
      <c r="D35" s="2" t="s">
        <v>214</v>
      </c>
      <c r="F35" s="378">
        <f ca="1">+MANQUEHUE!B3</f>
        <v>118.3</v>
      </c>
      <c r="H35" s="369">
        <f>+'ANDINA A'!C42</f>
        <v>0.16433704750469733</v>
      </c>
      <c r="I35" s="369"/>
      <c r="K35" s="536">
        <f>+MANQUEHUE!C55</f>
        <v>3.5795706363754246E-2</v>
      </c>
      <c r="L35" s="536"/>
      <c r="M35" s="536">
        <f>+MANQUEHUE!C51</f>
        <v>0.46550612369167843</v>
      </c>
      <c r="N35" s="536"/>
      <c r="O35" s="536">
        <f>+MANQUEHUE!C53</f>
        <v>5.3625640486548887E-2</v>
      </c>
      <c r="Q35" s="337">
        <f>MANQUEHUE!D3/INDICE!$R$3</f>
        <v>45.238095238095234</v>
      </c>
      <c r="S35" s="331" t="str">
        <f ca="1">IF(F35&lt;Q35,"considerar","esperar")</f>
        <v>esperar</v>
      </c>
      <c r="T35" s="336">
        <f ca="1">MANQUEHUE!D3/INDICE!F36</f>
        <v>5.2341597796143247E-5</v>
      </c>
      <c r="U35" s="332"/>
      <c r="V35" s="337">
        <f>+MANQUEHUE!E3/INDICE!$W$3</f>
        <v>45.791666666666671</v>
      </c>
      <c r="X35" s="331" t="str">
        <f ca="1">IF(F35&lt;V35,"considerar","esperar")</f>
        <v>esperar</v>
      </c>
      <c r="Y35" s="336">
        <f ca="1">MANQUEHUE!E3/INDICE!F36</f>
        <v>6.0550964187327826E-5</v>
      </c>
    </row>
    <row r="36" spans="1:55" hidden="1">
      <c r="B36" s="2">
        <v>9</v>
      </c>
      <c r="C36" s="1329" t="s">
        <v>215</v>
      </c>
      <c r="D36" s="2" t="s">
        <v>18</v>
      </c>
      <c r="F36" s="378">
        <f ca="1">+BCI!B3</f>
        <v>60500</v>
      </c>
      <c r="G36" s="330"/>
      <c r="H36" s="372">
        <f>+FORUS!C42</f>
        <v>0.1660704409624876</v>
      </c>
      <c r="I36" s="372"/>
      <c r="J36" s="330"/>
      <c r="K36" s="544">
        <f>+BCI!C27</f>
        <v>9.0565075233749126E-2</v>
      </c>
      <c r="L36" s="544"/>
      <c r="M36" s="544">
        <f>+BCI!C19</f>
        <v>0.32755118346958684</v>
      </c>
      <c r="N36" s="544"/>
      <c r="O36" s="544">
        <f>+BCI!C29</f>
        <v>4.8002980120813492E-2</v>
      </c>
      <c r="P36" s="330"/>
      <c r="Q36" s="337">
        <f>+BCI!D3/INDICE!$R$3</f>
        <v>15285.714285714284</v>
      </c>
      <c r="S36" s="331" t="str">
        <f ca="1">IF(F36&lt;Q36,"considerar","esperar")</f>
        <v>esperar</v>
      </c>
      <c r="T36" s="336">
        <f ca="1">+BCI!D3/INDICE!F37</f>
        <v>1.2557948477202043</v>
      </c>
      <c r="U36" s="332"/>
      <c r="V36" s="337">
        <f>+BCI!E3/INDICE!$W$3</f>
        <v>13375</v>
      </c>
      <c r="X36" s="331" t="str">
        <f ca="1">IF(F36&lt;V36,"considerar","esperar")</f>
        <v>esperar</v>
      </c>
      <c r="Y36" s="336">
        <f ca="1">+BCI!E3/INDICE!F37</f>
        <v>1.2557948477202043</v>
      </c>
    </row>
    <row r="37" spans="1:55" hidden="1">
      <c r="B37" s="2">
        <v>27</v>
      </c>
      <c r="C37" s="1329" t="s">
        <v>216</v>
      </c>
      <c r="D37" s="2" t="s">
        <v>11</v>
      </c>
      <c r="F37" s="377">
        <f ca="1">+CONCHATORO!B3</f>
        <v>852.05</v>
      </c>
      <c r="H37" s="372">
        <f>+EDELMAG!C40</f>
        <v>0.17027680458011907</v>
      </c>
      <c r="I37" s="372"/>
      <c r="K37" s="536">
        <f>+CONCHATORO!C55</f>
        <v>6.6166196981679665E-2</v>
      </c>
      <c r="L37" s="536"/>
      <c r="M37" s="536">
        <f>+CONCHATORO!C51</f>
        <v>0.39718170509348122</v>
      </c>
      <c r="N37" s="536"/>
      <c r="O37" s="536">
        <f>+CONCHATORO!C53</f>
        <v>3.9811527602343959E-2</v>
      </c>
      <c r="Q37" s="337">
        <f>+CONCHATORO!D3/INDICE!$R$3</f>
        <v>661.42857142857122</v>
      </c>
      <c r="S37" s="331" t="str">
        <f ca="1">IF(F37&lt;Q37,"considerar","esperar")</f>
        <v>esperar</v>
      </c>
      <c r="T37" s="336">
        <f ca="1">+CONCHATORO!D3/INDICE!F38</f>
        <v>0.12861111111111109</v>
      </c>
      <c r="U37" s="332"/>
      <c r="V37" s="337">
        <f>+CONCHATORO!E3/INDICE!$W$3</f>
        <v>578.74999999999989</v>
      </c>
      <c r="X37" s="331" t="str">
        <f ca="1">IF(F37&lt;V37,"considerar","esperar")</f>
        <v>esperar</v>
      </c>
      <c r="Y37" s="336">
        <f ca="1">+CONCHATORO!E3/INDICE!F38</f>
        <v>0.12861111111111109</v>
      </c>
    </row>
    <row r="38" spans="1:55" hidden="1">
      <c r="B38" s="2">
        <v>40</v>
      </c>
      <c r="C38" s="1329" t="s">
        <v>217</v>
      </c>
      <c r="D38" s="2" t="s">
        <v>203</v>
      </c>
      <c r="F38" s="378">
        <f ca="1">FOSFOROS!B3</f>
        <v>360</v>
      </c>
      <c r="H38" s="371">
        <f>+'EMBONOR A'!C42</f>
        <v>0.17189375005477756</v>
      </c>
      <c r="I38" s="371"/>
      <c r="K38" s="536">
        <f>+FOSFOROS!C55</f>
        <v>5.7335833108031224E-3</v>
      </c>
      <c r="L38" s="536"/>
      <c r="M38" s="536">
        <f>+FOSFOROS!C51</f>
        <v>0.61069473314975775</v>
      </c>
      <c r="N38" s="536"/>
      <c r="O38" s="536">
        <f>+FOSFOROS!C53</f>
        <v>2.0310091541055817E-2</v>
      </c>
      <c r="Q38" s="337">
        <f>FOSFOROS!D3/INDICE!$R$3</f>
        <v>256.54285714285709</v>
      </c>
      <c r="S38" s="331" t="str">
        <f ca="1">IF(F38&lt;Q38,"considerar","esperar")</f>
        <v>esperar</v>
      </c>
      <c r="T38" s="367">
        <f ca="1">FOSFOROS!D3/INDICE!F39</f>
        <v>6.6511111111111104E-2</v>
      </c>
      <c r="U38" s="332"/>
      <c r="V38" s="337">
        <f>FOSFOROS!E3/INDICE!$W$3</f>
        <v>224.47499999999997</v>
      </c>
      <c r="X38" s="331" t="str">
        <f ca="1">IF(F38&lt;V38,"considerar","esperar")</f>
        <v>esperar</v>
      </c>
      <c r="Y38" s="367">
        <f ca="1">FOSFOROS!E3/INDICE!F39</f>
        <v>6.6511111111111104E-2</v>
      </c>
      <c r="AA38" s="381"/>
      <c r="AB38" s="381"/>
      <c r="AC38" s="381"/>
      <c r="AD38" s="381"/>
      <c r="AE38" s="381"/>
      <c r="AF38" s="381"/>
      <c r="AG38" s="381"/>
      <c r="AH38" s="381"/>
      <c r="AI38" s="381"/>
      <c r="AJ38" s="381"/>
      <c r="AK38" s="381"/>
      <c r="AL38" s="381"/>
      <c r="AM38" s="381"/>
      <c r="AN38" s="381"/>
      <c r="AO38" s="381"/>
      <c r="AP38" s="381"/>
      <c r="AQ38" s="381"/>
      <c r="AR38" s="381"/>
      <c r="AS38" s="381"/>
      <c r="AT38" s="381"/>
      <c r="AU38" s="381"/>
      <c r="AV38" s="381"/>
      <c r="AW38" s="381"/>
      <c r="AX38" s="381"/>
      <c r="AY38" s="381"/>
      <c r="AZ38" s="381"/>
      <c r="BA38" s="381"/>
      <c r="BB38" s="381"/>
      <c r="BC38" s="381"/>
    </row>
    <row r="39" spans="1:55" s="381" customFormat="1" hidden="1">
      <c r="A39" s="2"/>
      <c r="B39" s="2">
        <v>17</v>
      </c>
      <c r="C39" s="1329" t="s">
        <v>48</v>
      </c>
      <c r="D39" s="2" t="s">
        <v>16</v>
      </c>
      <c r="E39" s="2"/>
      <c r="F39" s="378">
        <f ca="1">CGE!B3</f>
        <v>270</v>
      </c>
      <c r="G39" s="330"/>
      <c r="H39" s="372">
        <f>+'EMBONOR B'!C42</f>
        <v>0.17189375005477756</v>
      </c>
      <c r="I39" s="372"/>
      <c r="J39" s="330"/>
      <c r="K39" s="544">
        <f>+CGE!C61</f>
        <v>9.4653230820669048E-3</v>
      </c>
      <c r="L39" s="544"/>
      <c r="M39" s="544">
        <f>+CGE!C57</f>
        <v>0.30013992232257836</v>
      </c>
      <c r="N39" s="544"/>
      <c r="O39" s="544">
        <f>+CGE!C59</f>
        <v>7.4732157493932862E-3</v>
      </c>
      <c r="P39" s="330"/>
      <c r="Q39" s="337">
        <f>+CGE!D3/INDICE!$R$3</f>
        <v>39.528571428571425</v>
      </c>
      <c r="R39" s="2"/>
      <c r="S39" s="331" t="str">
        <f ca="1">IF(F39&lt;Q39,"considerar","esperar")</f>
        <v>esperar</v>
      </c>
      <c r="T39" s="336">
        <f ca="1">+CGE!D3/INDICE!F40</f>
        <v>1.4553965916263412E-4</v>
      </c>
      <c r="U39" s="332"/>
      <c r="V39" s="337">
        <f>+CGE!E3/INDICE!$W$3</f>
        <v>34.587499999999999</v>
      </c>
      <c r="W39" s="2"/>
      <c r="X39" s="331" t="str">
        <f ca="1">IF(F39&lt;V39,"considerar","esperar")</f>
        <v>esperar</v>
      </c>
      <c r="Y39" s="336">
        <f ca="1">+CGE!E3/INDICE!F40</f>
        <v>1.4553965916263412E-4</v>
      </c>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row>
    <row r="40" spans="1:55" hidden="1">
      <c r="B40" s="2">
        <v>10</v>
      </c>
      <c r="C40" s="1329" t="s">
        <v>218</v>
      </c>
      <c r="D40" s="2" t="s">
        <v>18</v>
      </c>
      <c r="F40" s="378">
        <f ca="1">+ITAU!B3</f>
        <v>19012</v>
      </c>
      <c r="G40" s="330"/>
      <c r="H40" s="369">
        <f>+SANTANDER!D37</f>
        <v>0.17232311100911621</v>
      </c>
      <c r="I40" s="369"/>
      <c r="J40" s="330"/>
      <c r="K40" s="544">
        <f>+ITAU!C26</f>
        <v>9.4895127200125287E-2</v>
      </c>
      <c r="L40" s="544"/>
      <c r="M40" s="551">
        <f>+ITAU!C19</f>
        <v>6.1527813807821706E-2</v>
      </c>
      <c r="N40" s="544"/>
      <c r="O40" s="544">
        <f>+ITAU!C28</f>
        <v>8.5686347307621162E-6</v>
      </c>
      <c r="P40" s="330"/>
      <c r="Q40" s="337">
        <f>ITAU!D3/INDICE!$R$3</f>
        <v>1.0441514285714286</v>
      </c>
      <c r="S40" s="331" t="str">
        <f ca="1">IF(F40&lt;Q40,"considerar","esperar")</f>
        <v>esperar</v>
      </c>
      <c r="T40" s="336">
        <f ca="1">ITAU!D3/INDICE!F41</f>
        <v>1.9133664921465969E-4</v>
      </c>
      <c r="U40" s="332"/>
      <c r="V40" s="337">
        <f>ITAU!E3/INDICE!$W$3</f>
        <v>0.91363250000000007</v>
      </c>
      <c r="X40" s="331" t="str">
        <f ca="1">IF(F40&lt;V40,"considerar","esperar")</f>
        <v>esperar</v>
      </c>
      <c r="Y40" s="336">
        <f ca="1">ITAU!D3/INDICE!F41</f>
        <v>1.9133664921465969E-4</v>
      </c>
    </row>
    <row r="41" spans="1:55" hidden="1">
      <c r="B41" s="2">
        <v>6</v>
      </c>
      <c r="C41" s="1329" t="s">
        <v>32</v>
      </c>
      <c r="D41" s="2" t="s">
        <v>28</v>
      </c>
      <c r="F41" s="377">
        <f ca="1">+AAISA!B3</f>
        <v>382</v>
      </c>
      <c r="H41" s="372" t="s">
        <v>219</v>
      </c>
      <c r="I41" s="372"/>
      <c r="Q41" s="337">
        <f>+AAISA!H3/INDICE!$R$3</f>
        <v>83.928571428571416</v>
      </c>
      <c r="S41" s="331" t="str">
        <f ca="1">IF(F41&lt;Q41,"considerar","esperar")</f>
        <v>esperar</v>
      </c>
      <c r="T41" s="336">
        <f ca="1">+AAISA!H3/INDICE!F42</f>
        <v>2.2596153846153847E-3</v>
      </c>
      <c r="U41" s="332"/>
      <c r="V41" s="337">
        <f>+AAISA!I3/INDICE!$W$3</f>
        <v>73.4375</v>
      </c>
      <c r="X41" s="331" t="str">
        <f ca="1">IF(F41&lt;V41,"considerar","esperar")</f>
        <v>esperar</v>
      </c>
      <c r="Y41" s="336">
        <f ca="1">+AAISA!I3/INDICE!F42</f>
        <v>2.2596153846153847E-3</v>
      </c>
    </row>
    <row r="42" spans="1:55" hidden="1">
      <c r="B42" s="2">
        <v>29</v>
      </c>
      <c r="C42" s="1330" t="s">
        <v>220</v>
      </c>
      <c r="D42" s="338" t="s">
        <v>60</v>
      </c>
      <c r="E42" s="338"/>
      <c r="F42" s="380">
        <f ca="1">+ANASAC!B3</f>
        <v>2600</v>
      </c>
      <c r="G42" s="339"/>
      <c r="H42" s="372">
        <f>+SOQUICOM!C47</f>
        <v>0.19525774353370354</v>
      </c>
      <c r="I42" s="372"/>
      <c r="J42" s="339"/>
      <c r="K42" s="550">
        <v>0</v>
      </c>
      <c r="L42" s="550"/>
      <c r="M42" s="550"/>
      <c r="N42" s="550"/>
      <c r="O42" s="550"/>
      <c r="P42" s="339"/>
      <c r="Q42" s="340">
        <f>+ANASAC!D3/INDICE!$R$3</f>
        <v>2334.3693877551013</v>
      </c>
      <c r="R42" s="338"/>
      <c r="S42" s="341" t="str">
        <f ca="1">IF(F42&lt;Q42,"considerar","esperar")</f>
        <v>esperar</v>
      </c>
      <c r="T42" s="342">
        <f ca="1">+ANASAC!D3/INDICE!F43</f>
        <v>0.40547359092520374</v>
      </c>
      <c r="U42" s="343"/>
      <c r="V42" s="340">
        <f>+ANASAC!E3/INDICE!$W$3</f>
        <v>2903.2125000000001</v>
      </c>
      <c r="W42" s="338"/>
      <c r="X42" s="341" t="str">
        <f ca="1">IF(F42&lt;V42,"considerar","esperar")</f>
        <v>considerar</v>
      </c>
      <c r="Y42" s="342">
        <f ca="1">+ANASAC!E3/INDICE!F43</f>
        <v>0.57632009925558314</v>
      </c>
    </row>
    <row r="43" spans="1:55">
      <c r="B43" s="2">
        <v>30</v>
      </c>
      <c r="C43" s="1330" t="s">
        <v>221</v>
      </c>
      <c r="D43" s="338" t="s">
        <v>67</v>
      </c>
      <c r="E43" s="338"/>
      <c r="F43" s="380">
        <f ca="1">+'BOLSA STGO'!B3</f>
        <v>403</v>
      </c>
      <c r="G43" s="339"/>
      <c r="H43" s="373">
        <f>+AFPCAPITAL!C45</f>
        <v>0.20632988843054498</v>
      </c>
      <c r="I43" s="373"/>
      <c r="J43" s="339"/>
      <c r="K43" s="550">
        <v>0</v>
      </c>
      <c r="L43" s="550"/>
      <c r="M43" s="550"/>
      <c r="N43" s="550"/>
      <c r="O43" s="550"/>
      <c r="P43" s="339"/>
      <c r="Q43" s="340">
        <f>+'BOLSA STGO'!D3/INDICE!$R$3</f>
        <v>1680.6938775510203</v>
      </c>
      <c r="R43" s="338"/>
      <c r="S43" s="341" t="str">
        <f ca="1">IF(F43&lt;Q43,"considerar","esperar")</f>
        <v>considerar</v>
      </c>
      <c r="T43" s="342">
        <f ca="1">+'BOLSA STGO'!D3/INDICE!F44</f>
        <v>4.7863535975822389</v>
      </c>
      <c r="U43" s="343"/>
      <c r="V43" s="340">
        <f>+'BOLSA STGO'!E3/INDICE!$W$3</f>
        <v>1470.6071428571429</v>
      </c>
      <c r="W43" s="338"/>
      <c r="X43" s="341" t="str">
        <f ca="1">IF(F43&lt;V43,"considerar","esperar")</f>
        <v>considerar</v>
      </c>
      <c r="Y43" s="342">
        <f ca="1">+'BOLSA STGO'!E3/INDICE!F44</f>
        <v>4.7863535975822389</v>
      </c>
      <c r="Z43" s="338"/>
    </row>
    <row r="44" spans="1:55" hidden="1">
      <c r="B44" s="2">
        <v>33</v>
      </c>
      <c r="C44" s="1329" t="s">
        <v>222</v>
      </c>
      <c r="D44" s="2" t="s">
        <v>35</v>
      </c>
      <c r="F44" s="377">
        <f ca="1">+ALMENDRAL!B3</f>
        <v>24.58</v>
      </c>
      <c r="H44" s="370">
        <f>+'BOLSA STGO'!C42</f>
        <v>0.21021970079688526</v>
      </c>
      <c r="I44" s="370"/>
      <c r="K44" s="550">
        <v>0</v>
      </c>
      <c r="L44" s="550"/>
      <c r="M44" s="550"/>
      <c r="N44" s="550"/>
      <c r="O44" s="550"/>
      <c r="Q44" s="337"/>
      <c r="S44" s="331" t="str">
        <f ca="1">IF(F44&lt;Q44,"considerar","esperar")</f>
        <v>esperar</v>
      </c>
      <c r="T44" s="336"/>
      <c r="U44" s="332"/>
      <c r="V44" s="337"/>
      <c r="X44" s="331" t="str">
        <f ca="1">IF(F44&lt;V44,"considerar","esperar")</f>
        <v>esperar</v>
      </c>
      <c r="Y44" s="336"/>
    </row>
    <row r="45" spans="1:55">
      <c r="C45" s="1329"/>
      <c r="F45" s="377"/>
      <c r="H45" s="373"/>
      <c r="I45" s="373"/>
      <c r="K45" s="536"/>
      <c r="L45" s="536"/>
      <c r="M45" s="536"/>
      <c r="N45" s="536"/>
      <c r="O45" s="536"/>
      <c r="Q45" s="337"/>
      <c r="S45" s="331"/>
      <c r="T45" s="336"/>
      <c r="U45" s="332"/>
      <c r="V45" s="337"/>
      <c r="X45" s="331"/>
      <c r="Y45" s="336"/>
    </row>
    <row r="46" spans="1:55">
      <c r="C46" s="1329"/>
      <c r="F46" s="377"/>
      <c r="H46" s="369">
        <f>+QUINENCO!C44</f>
        <v>0.21926271231585523</v>
      </c>
      <c r="I46" s="369"/>
      <c r="K46" s="536"/>
      <c r="L46" s="536"/>
      <c r="M46" s="536"/>
      <c r="N46" s="536"/>
      <c r="O46" s="536"/>
      <c r="Q46" s="337"/>
      <c r="S46" s="331"/>
      <c r="T46" s="367"/>
      <c r="U46" s="332"/>
      <c r="V46" s="337"/>
      <c r="X46" s="331"/>
      <c r="Y46" s="367"/>
    </row>
    <row r="47" spans="1:55">
      <c r="B47" s="2">
        <v>42</v>
      </c>
      <c r="C47" s="1329" t="s">
        <v>49</v>
      </c>
      <c r="D47" s="2" t="s">
        <v>16</v>
      </c>
      <c r="F47" s="378">
        <f ca="1">+EDELMAG!B3</f>
        <v>6221</v>
      </c>
      <c r="H47" s="372">
        <f>+BANVIDA!C37</f>
        <v>0.22884409082370602</v>
      </c>
      <c r="I47" s="372"/>
      <c r="K47" s="536">
        <f>+MINERA!C59</f>
        <v>3.8926328008378593E-2</v>
      </c>
      <c r="L47" s="536"/>
      <c r="M47" s="536">
        <f>+EDELMAG!C55</f>
        <v>0</v>
      </c>
      <c r="N47" s="536"/>
      <c r="O47" s="536">
        <f>+EDELMAG!C57</f>
        <v>7.3931454740978536E-2</v>
      </c>
      <c r="Q47" s="337">
        <f>EDELMAG!D3/INDICE!$R$3</f>
        <v>2452.3809523809518</v>
      </c>
      <c r="S47" s="331" t="str">
        <f t="shared" ref="S47:S61" ca="1" si="0">IF(F47&lt;Q47,"considerar","esperar")</f>
        <v>esperar</v>
      </c>
      <c r="T47" s="367">
        <f ca="1">EDELMAG!D3/INDICE!F47</f>
        <v>2.7594706102984513E-2</v>
      </c>
      <c r="U47" s="332"/>
      <c r="V47" s="337">
        <f>EDELMAG!E3/INDICE!$W$3</f>
        <v>5012.5</v>
      </c>
      <c r="X47" s="331" t="str">
        <f t="shared" ref="X47:X61" ca="1" si="1">IF(F47&lt;V47,"considerar","esperar")</f>
        <v>esperar</v>
      </c>
      <c r="Y47" s="367">
        <f ca="1">EDELMAG!E3/INDICE!F47</f>
        <v>6.4459090178427908E-2</v>
      </c>
    </row>
    <row r="48" spans="1:55">
      <c r="B48" s="2">
        <v>43</v>
      </c>
      <c r="C48" s="1329" t="s">
        <v>223</v>
      </c>
      <c r="D48" s="2" t="s">
        <v>224</v>
      </c>
      <c r="F48" s="378">
        <f ca="1">+FORUS!B3</f>
        <v>2300</v>
      </c>
      <c r="H48" s="369">
        <f>+LIPIGAS!C42</f>
        <v>0.23398218951934072</v>
      </c>
      <c r="I48" s="369"/>
      <c r="K48" s="536">
        <f>+FORUS!C55</f>
        <v>9.9642176708869254E-2</v>
      </c>
      <c r="L48" s="536"/>
      <c r="M48" s="536">
        <f>+FORUS!C51</f>
        <v>0.40000044773335142</v>
      </c>
      <c r="N48" s="536"/>
      <c r="O48" s="536">
        <f>+FORUS!C53</f>
        <v>0.13105030713297355</v>
      </c>
      <c r="Q48" s="337">
        <f>FORUS!D3/INDICE!$R$3</f>
        <v>621.59290476190472</v>
      </c>
      <c r="S48" s="331" t="str">
        <f t="shared" ca="1" si="0"/>
        <v>esperar</v>
      </c>
      <c r="T48" s="367">
        <f ca="1">FORUS!D3/INDICE!F48</f>
        <v>1.8918044927536234E-2</v>
      </c>
      <c r="U48" s="332"/>
      <c r="V48" s="337">
        <f>FORUS!E3/INDICE!$W$3</f>
        <v>1918.8937916666666</v>
      </c>
      <c r="X48" s="331" t="str">
        <f t="shared" ca="1" si="1"/>
        <v>esperar</v>
      </c>
      <c r="Y48" s="367">
        <f ca="1">FORUS!E3/INDICE!F48</f>
        <v>6.6744131884057978E-2</v>
      </c>
    </row>
    <row r="49" spans="2:25">
      <c r="B49" s="2">
        <v>44</v>
      </c>
      <c r="C49" s="1329" t="s">
        <v>225</v>
      </c>
      <c r="D49" s="2" t="s">
        <v>199</v>
      </c>
      <c r="F49" s="378">
        <f ca="1">+SONDA!B3</f>
        <v>290</v>
      </c>
      <c r="H49" s="369">
        <f>+CHILE!D37</f>
        <v>0.23844248611784483</v>
      </c>
      <c r="I49" s="369"/>
      <c r="K49" s="536">
        <f>+SONDA!C55</f>
        <v>2.812760126569681E-2</v>
      </c>
      <c r="L49" s="536"/>
      <c r="M49" s="536">
        <f>+SONDA!C51</f>
        <v>0.58533629627305206</v>
      </c>
      <c r="N49" s="536"/>
      <c r="O49" s="536">
        <f>+SONDA!C53</f>
        <v>6.7315468142960536E-2</v>
      </c>
      <c r="Q49" s="337">
        <f>SONDA!D3/INDICE!$R$3</f>
        <v>285.97142857142853</v>
      </c>
      <c r="S49" s="331" t="str">
        <f t="shared" ca="1" si="0"/>
        <v>esperar</v>
      </c>
      <c r="T49" s="367">
        <f ca="1">SONDA!D3/INDICE!F49</f>
        <v>6.9027586206896557E-2</v>
      </c>
      <c r="U49" s="332"/>
      <c r="V49" s="337">
        <f>SONDA!E3/INDICE!$W$3</f>
        <v>250.22499999999999</v>
      </c>
      <c r="X49" s="331" t="str">
        <f t="shared" ca="1" si="1"/>
        <v>esperar</v>
      </c>
      <c r="Y49" s="367">
        <f ca="1">SONDA!E3/INDICE!F49</f>
        <v>6.9027586206896557E-2</v>
      </c>
    </row>
    <row r="50" spans="2:25">
      <c r="B50" s="2">
        <v>45</v>
      </c>
      <c r="C50" s="1329" t="s">
        <v>226</v>
      </c>
      <c r="D50" s="2" t="s">
        <v>16</v>
      </c>
      <c r="F50" s="378">
        <f ca="1">+ENELAM!B3</f>
        <v>77.5</v>
      </c>
      <c r="H50" s="383">
        <f>+OXIQUIM!C43</f>
        <v>0.25338623289208978</v>
      </c>
      <c r="I50" s="383"/>
      <c r="K50" s="536">
        <f>+ENELAM!C58</f>
        <v>2.3920145699960954E-2</v>
      </c>
      <c r="L50" s="536"/>
      <c r="M50" s="536">
        <f>+ENELAM!C54</f>
        <v>-0.46386404109679885</v>
      </c>
      <c r="N50" s="536"/>
      <c r="O50" s="536">
        <f>+ENELAM!C56</f>
        <v>1.5535644571592191E-2</v>
      </c>
      <c r="Q50" s="337">
        <f>ENELAM!D3/INDICE!$R$3</f>
        <v>16.866666666666664</v>
      </c>
      <c r="S50" s="331" t="str">
        <f t="shared" ca="1" si="0"/>
        <v>esperar</v>
      </c>
      <c r="T50" s="367">
        <f ca="1">ENELAM!D3/INDICE!F50</f>
        <v>1.5234408602150536E-2</v>
      </c>
      <c r="U50" s="332"/>
      <c r="V50" s="337">
        <f>ENELAM!E3/INDICE!$W$3</f>
        <v>19.341666666666669</v>
      </c>
      <c r="X50" s="331" t="str">
        <f t="shared" ca="1" si="1"/>
        <v>esperar</v>
      </c>
      <c r="Y50" s="367">
        <f ca="1">ENELAM!E3/INDICE!F50</f>
        <v>1.9965591397849463E-2</v>
      </c>
    </row>
    <row r="51" spans="2:25">
      <c r="B51" s="2">
        <v>46</v>
      </c>
      <c r="C51" s="1329" t="s">
        <v>41</v>
      </c>
      <c r="D51" s="2" t="s">
        <v>16</v>
      </c>
      <c r="F51" s="378">
        <f ca="1">+ENELGXCH!B3</f>
        <v>519</v>
      </c>
      <c r="H51" s="369">
        <f>+ZOFRI!C42</f>
        <v>0.31287340581335593</v>
      </c>
      <c r="I51" s="369"/>
      <c r="K51" s="536">
        <f>+ENELGXCH!C61</f>
        <v>0.11412166900249328</v>
      </c>
      <c r="L51" s="536"/>
      <c r="M51" s="536">
        <f>+ENELGXCH!C57</f>
        <v>0.39996528620472444</v>
      </c>
      <c r="N51" s="536"/>
      <c r="O51" s="536">
        <f>+ENELGXCH!C59</f>
        <v>8.70034644566577E-2</v>
      </c>
      <c r="Q51" s="337">
        <f>ENELGXCH!D3/INDICE!$R$3</f>
        <v>546.80619047619052</v>
      </c>
      <c r="S51" s="331" t="str">
        <f t="shared" ca="1" si="0"/>
        <v>considerar</v>
      </c>
      <c r="T51" s="367">
        <f ca="1">ENELGXCH!D3/INDICE!F51</f>
        <v>7.3750353243416833E-2</v>
      </c>
      <c r="U51" s="332"/>
      <c r="V51" s="337">
        <f>ENELGXCH!E3/INDICE!$W$3</f>
        <v>352.90958333333333</v>
      </c>
      <c r="X51" s="331" t="str">
        <f t="shared" ca="1" si="1"/>
        <v>esperar</v>
      </c>
      <c r="Y51" s="367">
        <f ca="1">ENELGXCH!E3/INDICE!F51</f>
        <v>5.4398394348105332E-2</v>
      </c>
    </row>
    <row r="52" spans="2:25">
      <c r="B52" s="2">
        <v>47</v>
      </c>
      <c r="C52" s="1329" t="s">
        <v>227</v>
      </c>
      <c r="D52" s="2" t="s">
        <v>209</v>
      </c>
      <c r="F52" s="378">
        <f ca="1">+IAM!B3</f>
        <v>985</v>
      </c>
      <c r="H52" s="369">
        <f>+HABITAT!C46</f>
        <v>0.40456939104989503</v>
      </c>
      <c r="I52" s="369"/>
      <c r="K52" s="536">
        <f>+IAM!C55</f>
        <v>1.802365909446688E-2</v>
      </c>
      <c r="L52" s="536"/>
      <c r="M52" s="536">
        <f>+IAM!C51</f>
        <v>0.69696991625814819</v>
      </c>
      <c r="N52" s="536"/>
      <c r="O52" s="536">
        <f>+IAM!C53</f>
        <v>9.1614824312860457E-2</v>
      </c>
      <c r="Q52" s="337">
        <f>IAM!D3/INDICE!$R$3</f>
        <v>482.59999999999991</v>
      </c>
      <c r="S52" s="331" t="str">
        <f t="shared" ca="1" si="0"/>
        <v>esperar</v>
      </c>
      <c r="T52" s="367">
        <f ca="1">IAM!D3/INDICE!F52</f>
        <v>3.4296446700507612E-2</v>
      </c>
      <c r="U52" s="332"/>
      <c r="V52" s="337">
        <f>IAM!E3/INDICE!$W$3</f>
        <v>556.76666666666665</v>
      </c>
      <c r="X52" s="331" t="str">
        <f t="shared" ca="1" si="1"/>
        <v>esperar</v>
      </c>
      <c r="Y52" s="367">
        <f ca="1">IAM!E3/INDICE!F52</f>
        <v>4.5219627749576989E-2</v>
      </c>
    </row>
    <row r="53" spans="2:25">
      <c r="B53" s="2">
        <v>48</v>
      </c>
      <c r="C53" s="1329" t="s">
        <v>228</v>
      </c>
      <c r="D53" s="2" t="s">
        <v>203</v>
      </c>
      <c r="F53" s="378">
        <f ca="1">+ELECMETAL!B3</f>
        <v>14961</v>
      </c>
      <c r="H53" s="369">
        <f>+PLANVITAL!C46</f>
        <v>0.431958511002902</v>
      </c>
      <c r="I53" s="369"/>
      <c r="K53" s="536">
        <f>+ELECMETAL!C55</f>
        <v>4.822681589450848E-2</v>
      </c>
      <c r="L53" s="536"/>
      <c r="M53" s="536">
        <f>+ELECMETAL!C51</f>
        <v>0.41754158583518092</v>
      </c>
      <c r="N53" s="536"/>
      <c r="O53" s="536">
        <f>+ELECMETAL!C53</f>
        <v>2.809387669143169E-2</v>
      </c>
      <c r="Q53" s="337">
        <f>ELECMETAL!D3/INDICE!$R$3</f>
        <v>4687.4285714285706</v>
      </c>
      <c r="S53" s="331" t="str">
        <f t="shared" ca="1" si="0"/>
        <v>esperar</v>
      </c>
      <c r="T53" s="367">
        <f ca="1">ELECMETAL!D3/INDICE!F53</f>
        <v>2.1931689058218028E-2</v>
      </c>
      <c r="U53" s="332"/>
      <c r="V53" s="337">
        <f>ELECMETAL!E3/INDICE!$W$3</f>
        <v>4101.4999999999991</v>
      </c>
      <c r="X53" s="331" t="str">
        <f t="shared" ca="1" si="1"/>
        <v>esperar</v>
      </c>
      <c r="Y53" s="367">
        <f ca="1">ELECMETAL!E3/INDICE!F53</f>
        <v>2.1931689058218028E-2</v>
      </c>
    </row>
    <row r="54" spans="2:25">
      <c r="B54" s="2">
        <v>49</v>
      </c>
      <c r="C54" s="1329" t="s">
        <v>51</v>
      </c>
      <c r="D54" s="2" t="s">
        <v>30</v>
      </c>
      <c r="F54" s="378">
        <f ca="1">+GASCO!B3</f>
        <v>1500</v>
      </c>
      <c r="H54" s="369">
        <f>+PEHUENCHE!C41</f>
        <v>0.90514574976727946</v>
      </c>
      <c r="I54" s="369"/>
      <c r="K54" s="536">
        <f>+GASCO!C61</f>
        <v>1.7930266967388132E-2</v>
      </c>
      <c r="L54" s="536"/>
      <c r="M54" s="536">
        <f>+GASCO!C57</f>
        <v>0.61253842949291881</v>
      </c>
      <c r="N54" s="536"/>
      <c r="O54" s="536">
        <f>+GASCO!C59</f>
        <v>7.1379380853065069E-2</v>
      </c>
      <c r="Q54" s="337">
        <f>GASCO!D3/INDICE!$R$3</f>
        <v>1496.1904761904761</v>
      </c>
      <c r="S54" s="331" t="str">
        <f t="shared" ca="1" si="0"/>
        <v>esperar</v>
      </c>
      <c r="T54" s="367">
        <f ca="1">GASCO!D3/INDICE!F54</f>
        <v>6.9822222222222216E-2</v>
      </c>
      <c r="U54" s="332"/>
      <c r="V54" s="337">
        <f>GASCO!E3/INDICE!$W$3</f>
        <v>1496.6666666666667</v>
      </c>
      <c r="X54" s="331" t="str">
        <f t="shared" ca="1" si="1"/>
        <v>esperar</v>
      </c>
      <c r="Y54" s="367">
        <f ca="1">GASCO!E3/INDICE!F54</f>
        <v>7.9822222222222225E-2</v>
      </c>
    </row>
    <row r="55" spans="2:25">
      <c r="B55" s="2">
        <v>50</v>
      </c>
      <c r="C55" s="1329" t="s">
        <v>229</v>
      </c>
      <c r="D55" s="2" t="s">
        <v>230</v>
      </c>
      <c r="F55" s="378">
        <f ca="1">+CMPC!B3</f>
        <v>1160</v>
      </c>
      <c r="H55" s="1" t="s">
        <v>160</v>
      </c>
      <c r="I55" s="1"/>
      <c r="K55" s="536">
        <f>+CMPC!C59</f>
        <v>3.9482652261406244E-2</v>
      </c>
      <c r="L55" s="536"/>
      <c r="M55" s="536">
        <f>+CMPC!C55</f>
        <v>0.50138636217289878</v>
      </c>
      <c r="N55" s="536"/>
      <c r="O55" s="536">
        <f>+CMPC!C57</f>
        <v>9.2280843848366989E-2</v>
      </c>
      <c r="Q55" s="337">
        <f>CMPC!D3/INDICE!$R$3</f>
        <v>1886.4619047619046</v>
      </c>
      <c r="S55" s="331" t="str">
        <f t="shared" ca="1" si="0"/>
        <v>considerar</v>
      </c>
      <c r="T55" s="367">
        <f ca="1">CMPC!D3/INDICE!F55</f>
        <v>0.1138382183908046</v>
      </c>
      <c r="U55" s="332"/>
      <c r="V55" s="337">
        <f>CMPC!E3/INDICE!$W$3</f>
        <v>1688.1541666666667</v>
      </c>
      <c r="X55" s="331" t="str">
        <f t="shared" ca="1" si="1"/>
        <v>considerar</v>
      </c>
      <c r="Y55" s="367">
        <f ca="1">CMPC!E3/INDICE!F55</f>
        <v>0.11642442528735633</v>
      </c>
    </row>
    <row r="56" spans="2:25">
      <c r="B56" s="2">
        <v>51</v>
      </c>
      <c r="C56" s="1329" t="s">
        <v>231</v>
      </c>
      <c r="D56" s="2" t="s">
        <v>16</v>
      </c>
      <c r="F56" s="378">
        <f ca="1">+ENLASA!B3</f>
        <v>945</v>
      </c>
      <c r="G56" s="375"/>
      <c r="K56" s="536">
        <f>+ENLASA!C59</f>
        <v>1.4130447280840447E-2</v>
      </c>
      <c r="L56" s="536"/>
      <c r="M56" s="536">
        <f>+ENLASA!C55</f>
        <v>0.80635943324751524</v>
      </c>
      <c r="N56" s="536"/>
      <c r="O56" s="536">
        <f>+ENLASA!C57</f>
        <v>0.16435457817453947</v>
      </c>
      <c r="Q56" s="337">
        <f>ENLASA!D3/INDICE!$R$3</f>
        <v>1302.6571428571426</v>
      </c>
      <c r="S56" s="331" t="str">
        <f t="shared" ca="1" si="0"/>
        <v>considerar</v>
      </c>
      <c r="T56" s="367">
        <f ca="1">ENLASA!D3/INDICE!F56</f>
        <v>9.6493121693121686E-2</v>
      </c>
      <c r="U56" s="332"/>
      <c r="V56" s="337">
        <f>ENLASA!E3/INDICE!$W$3</f>
        <v>1576.3874999999998</v>
      </c>
      <c r="X56" s="331" t="str">
        <f t="shared" ca="1" si="1"/>
        <v>considerar</v>
      </c>
      <c r="Y56" s="367">
        <f ca="1">ENLASA!E3/INDICE!F56</f>
        <v>0.13345079365079365</v>
      </c>
    </row>
    <row r="57" spans="2:25">
      <c r="B57" s="2">
        <v>52</v>
      </c>
      <c r="C57" s="1329" t="s">
        <v>232</v>
      </c>
      <c r="D57" s="2" t="s">
        <v>233</v>
      </c>
      <c r="F57" s="378">
        <f ca="1">+'CAP (TIKR)'!B3</f>
        <v>6460</v>
      </c>
      <c r="G57" s="375"/>
      <c r="K57" s="536">
        <f>+'CAP (TIKR)'!C58</f>
        <v>3.8623589248470154E-2</v>
      </c>
      <c r="L57" s="536"/>
      <c r="M57" s="536">
        <f>+'CAP (TIKR)'!C54</f>
        <v>0.37047805403579276</v>
      </c>
      <c r="N57" s="536"/>
      <c r="O57" s="536">
        <f>+'CAP (TIKR)'!C56</f>
        <v>0.1018288085899325</v>
      </c>
      <c r="Q57" s="337">
        <f>'CAP (TIKR)'!D3/INDICE!$R$3</f>
        <v>8155.9428571428552</v>
      </c>
      <c r="S57" s="331" t="str">
        <f t="shared" ca="1" si="0"/>
        <v>considerar</v>
      </c>
      <c r="T57" s="367">
        <f ca="1">'CAP (TIKR)'!D3/INDICE!F57</f>
        <v>8.8377089783281723E-2</v>
      </c>
      <c r="U57" s="332"/>
      <c r="V57" s="337">
        <f>'CAP (TIKR)'!E3/INDICE!$W$3</f>
        <v>8235.7437499999996</v>
      </c>
      <c r="X57" s="331" t="str">
        <f ca="1">IF(F57&lt;V57,"considerar","esperar")</f>
        <v>considerar</v>
      </c>
      <c r="Y57" s="367">
        <f ca="1">'CAP (TIKR)'!E3/INDICE!F57</f>
        <v>0.1019906346749226</v>
      </c>
    </row>
    <row r="58" spans="2:25">
      <c r="B58" s="2">
        <v>53</v>
      </c>
      <c r="C58" s="1329" t="s">
        <v>234</v>
      </c>
      <c r="D58" s="2" t="s">
        <v>235</v>
      </c>
      <c r="F58" s="2">
        <f ca="1">+'BESALCO (TIKR)'!B3</f>
        <v>1270</v>
      </c>
      <c r="K58" s="536">
        <f>+'BESALCO (TIKR)'!C55</f>
        <v>6.0221103735802903E-2</v>
      </c>
      <c r="L58" s="536"/>
      <c r="M58" s="536">
        <f>+'BESALCO (TIKR)'!C51</f>
        <v>0.40760211014220571</v>
      </c>
      <c r="N58" s="536"/>
      <c r="O58" s="536">
        <f>+'BESALCO (TIKR)'!C53</f>
        <v>3.3938067094471183E-2</v>
      </c>
      <c r="Q58" s="337">
        <f>'BESALCO (TIKR)'!D3/INDICE!$R$3</f>
        <v>153.4928571428571</v>
      </c>
      <c r="S58" s="331" t="str">
        <f t="shared" ca="1" si="0"/>
        <v>esperar</v>
      </c>
      <c r="T58" s="367">
        <f ca="1">'BESALCO (TIKR)'!D3/INDICE!F58</f>
        <v>8.4602362204724401E-3</v>
      </c>
      <c r="U58" s="332"/>
      <c r="V58" s="337">
        <f>'BESALCO (TIKR)'!E3/INDICE!$W$3</f>
        <v>168.90625</v>
      </c>
      <c r="X58" s="331" t="str">
        <f t="shared" ca="1" si="1"/>
        <v>esperar</v>
      </c>
      <c r="Y58" s="367">
        <f ca="1">'BESALCO (TIKR)'!E3/INDICE!F58</f>
        <v>1.0639763779527559E-2</v>
      </c>
    </row>
    <row r="59" spans="2:25">
      <c r="B59" s="2">
        <v>54</v>
      </c>
      <c r="C59" s="1329" t="s">
        <v>236</v>
      </c>
      <c r="D59" s="2" t="s">
        <v>235</v>
      </c>
      <c r="F59" s="2">
        <f ca="1">+'SALFACORP (TIKR)'!B3</f>
        <v>1300</v>
      </c>
      <c r="H59" s="368"/>
      <c r="I59" s="368"/>
      <c r="K59" s="536">
        <f>+'SALFACORP (TIKR)'!C55</f>
        <v>4.8795896382447766E-2</v>
      </c>
      <c r="L59" s="536"/>
      <c r="M59" s="536">
        <f>+'SALFACORP (TIKR)'!C51</f>
        <v>0.29229272909266596</v>
      </c>
      <c r="N59" s="536"/>
      <c r="O59" s="536">
        <f>+'SALFACORP (TIKR)'!C53</f>
        <v>3.714556546170826E-2</v>
      </c>
      <c r="Q59" s="337">
        <f>'SALFACORP (TIKR)'!D3/INDICE!$R$3</f>
        <v>246.89285714285711</v>
      </c>
      <c r="S59" s="331" t="str">
        <f t="shared" ca="1" si="0"/>
        <v>esperar</v>
      </c>
      <c r="T59" s="367">
        <f ca="1">'SALFACORP (TIKR)'!D3/INDICE!F59</f>
        <v>1.3294230769230768E-2</v>
      </c>
      <c r="U59" s="332"/>
      <c r="V59" s="337">
        <f>'SALFACORP (TIKR)'!E3/INDICE!$W$3</f>
        <v>216.03124999999997</v>
      </c>
      <c r="X59" s="331" t="str">
        <f t="shared" ca="1" si="1"/>
        <v>esperar</v>
      </c>
      <c r="Y59" s="367">
        <f ca="1">'SALFACORP (TIKR)'!E3/INDICE!F59</f>
        <v>1.3294230769230768E-2</v>
      </c>
    </row>
    <row r="60" spans="2:25">
      <c r="B60" s="2">
        <v>55</v>
      </c>
      <c r="C60" s="1329" t="s">
        <v>237</v>
      </c>
      <c r="D60" s="2" t="s">
        <v>235</v>
      </c>
      <c r="F60" s="2">
        <f ca="1">+'EISA (TIKR)'!B3</f>
        <v>474</v>
      </c>
      <c r="H60" s="368"/>
      <c r="I60" s="368"/>
      <c r="K60" s="536">
        <f>+'EISA (TIKR)'!C55</f>
        <v>4.9902521903522366E-2</v>
      </c>
      <c r="L60" s="536"/>
      <c r="M60" s="536">
        <f>+'EISA (TIKR)'!C51</f>
        <v>0.34696146644280235</v>
      </c>
      <c r="N60" s="536"/>
      <c r="O60" s="536">
        <f>+'EISA (TIKR)'!C53</f>
        <v>3.8213945559935604E-2</v>
      </c>
      <c r="Q60" s="337">
        <f>'EISA (TIKR)'!D3/INDICE!$R$3</f>
        <v>83.3642857142857</v>
      </c>
      <c r="S60" s="331" t="str">
        <f t="shared" ca="1" si="0"/>
        <v>esperar</v>
      </c>
      <c r="T60" s="367">
        <f ca="1">'EISA (TIKR)'!D3/INDICE!F60</f>
        <v>1.2311181434599156E-2</v>
      </c>
      <c r="U60" s="332"/>
      <c r="V60" s="337">
        <f>'EISA (TIKR)'!E3/INDICE!$W$3</f>
        <v>72.943749999999994</v>
      </c>
      <c r="X60" s="331" t="str">
        <f t="shared" ca="1" si="1"/>
        <v>esperar</v>
      </c>
      <c r="Y60" s="367">
        <f ca="1">'EISA (TIKR)'!E3/INDICE!F60</f>
        <v>1.2311181434599156E-2</v>
      </c>
    </row>
    <row r="61" spans="2:25">
      <c r="B61" s="2">
        <v>56</v>
      </c>
      <c r="C61" s="1329" t="s">
        <v>238</v>
      </c>
      <c r="D61" s="2" t="s">
        <v>239</v>
      </c>
      <c r="F61" s="2">
        <f ca="1">+BANVIDA!B3</f>
        <v>720.08</v>
      </c>
      <c r="H61" s="373"/>
      <c r="I61" s="373"/>
      <c r="K61" s="536">
        <f>+BANVIDA!C50</f>
        <v>0.10194032446660957</v>
      </c>
      <c r="M61" s="536">
        <f>+BANVIDA!C46</f>
        <v>0.53247576222966053</v>
      </c>
      <c r="O61" s="536">
        <f>+BANVIDA!C48</f>
        <v>0.14023856178624194</v>
      </c>
      <c r="Q61" s="337">
        <f>BANVIDA!D3/INDICE!$R$3</f>
        <v>446.27142857142854</v>
      </c>
      <c r="S61" s="331" t="str">
        <f t="shared" ca="1" si="0"/>
        <v>esperar</v>
      </c>
      <c r="T61" s="367">
        <f ca="1">BANVIDA!D3/INDICE!F61</f>
        <v>4.3382679702255303E-2</v>
      </c>
      <c r="U61" s="332"/>
      <c r="V61" s="337">
        <f>BANVIDA!E3/INDICE!$W$3</f>
        <v>424.86562500000008</v>
      </c>
      <c r="X61" s="331" t="str">
        <f t="shared" ca="1" si="1"/>
        <v>esperar</v>
      </c>
      <c r="Y61" s="367">
        <f ca="1">BANVIDA!E3/INDICE!F61</f>
        <v>4.7202046994778361E-2</v>
      </c>
    </row>
    <row r="62" spans="2:25">
      <c r="B62" s="2">
        <v>57</v>
      </c>
      <c r="C62" s="1327" t="s">
        <v>240</v>
      </c>
      <c r="D62" s="2" t="s">
        <v>235</v>
      </c>
      <c r="H62" s="372"/>
      <c r="I62" s="372"/>
    </row>
    <row r="63" spans="2:25">
      <c r="B63" s="2">
        <v>58</v>
      </c>
      <c r="C63" s="1327" t="s">
        <v>241</v>
      </c>
      <c r="D63" s="2" t="s">
        <v>235</v>
      </c>
      <c r="H63" s="372"/>
      <c r="I63" s="372"/>
    </row>
    <row r="64" spans="2:25">
      <c r="B64" s="2">
        <v>59</v>
      </c>
      <c r="C64" s="1327" t="s">
        <v>242</v>
      </c>
      <c r="D64" s="2" t="s">
        <v>235</v>
      </c>
      <c r="H64" s="372"/>
      <c r="I64" s="372"/>
    </row>
    <row r="65" spans="2:9">
      <c r="B65" s="2">
        <v>60</v>
      </c>
      <c r="C65" s="1327" t="s">
        <v>243</v>
      </c>
      <c r="D65" s="2" t="s">
        <v>230</v>
      </c>
      <c r="H65" s="372"/>
      <c r="I65" s="372"/>
    </row>
    <row r="66" spans="2:9">
      <c r="B66" s="2">
        <v>61</v>
      </c>
      <c r="C66" s="1327" t="s">
        <v>40</v>
      </c>
      <c r="D66" s="2" t="s">
        <v>39</v>
      </c>
      <c r="H66" s="372"/>
      <c r="I66" s="372"/>
    </row>
    <row r="67" spans="2:9">
      <c r="B67" s="2">
        <v>62</v>
      </c>
      <c r="C67" s="1327" t="s">
        <v>59</v>
      </c>
      <c r="D67" s="2" t="s">
        <v>39</v>
      </c>
      <c r="H67" s="372"/>
      <c r="I67" s="372"/>
    </row>
    <row r="68" spans="2:9">
      <c r="B68" s="2">
        <v>63</v>
      </c>
      <c r="C68" s="1327" t="s">
        <v>58</v>
      </c>
      <c r="D68" s="2" t="s">
        <v>39</v>
      </c>
    </row>
    <row r="73" spans="2:9">
      <c r="C73" s="1328" t="s">
        <v>244</v>
      </c>
    </row>
    <row r="74" spans="2:9">
      <c r="C74" s="1327" t="s">
        <v>245</v>
      </c>
      <c r="D74" s="2" t="s">
        <v>246</v>
      </c>
    </row>
    <row r="75" spans="2:9">
      <c r="C75" s="1327" t="s">
        <v>247</v>
      </c>
      <c r="D75" s="2" t="s">
        <v>246</v>
      </c>
    </row>
    <row r="76" spans="2:9">
      <c r="C76" s="1327" t="s">
        <v>248</v>
      </c>
      <c r="D76" s="2" t="s">
        <v>246</v>
      </c>
    </row>
    <row r="77" spans="2:9">
      <c r="C77" s="1327" t="s">
        <v>249</v>
      </c>
      <c r="D77" s="2" t="s">
        <v>246</v>
      </c>
    </row>
    <row r="78" spans="2:9">
      <c r="C78" s="1327" t="s">
        <v>250</v>
      </c>
      <c r="D78" s="2" t="s">
        <v>251</v>
      </c>
    </row>
    <row r="79" spans="2:9">
      <c r="C79" s="1327" t="s">
        <v>252</v>
      </c>
      <c r="D79" s="2" t="s">
        <v>251</v>
      </c>
    </row>
    <row r="80" spans="2:9">
      <c r="C80" s="1327" t="s">
        <v>253</v>
      </c>
    </row>
    <row r="81" spans="3:4">
      <c r="C81" s="1327" t="s">
        <v>254</v>
      </c>
      <c r="D81" s="2" t="s">
        <v>251</v>
      </c>
    </row>
    <row r="82" spans="3:4">
      <c r="C82" s="1327" t="s">
        <v>255</v>
      </c>
      <c r="D82" s="2" t="s">
        <v>233</v>
      </c>
    </row>
    <row r="83" spans="3:4">
      <c r="C83" s="1327" t="s">
        <v>256</v>
      </c>
      <c r="D83" s="2" t="s">
        <v>233</v>
      </c>
    </row>
    <row r="84" spans="3:4">
      <c r="C84" s="1327" t="s">
        <v>257</v>
      </c>
      <c r="D84" s="2" t="s">
        <v>233</v>
      </c>
    </row>
    <row r="85" spans="3:4">
      <c r="C85" s="1327" t="s">
        <v>72</v>
      </c>
      <c r="D85" s="2" t="s">
        <v>258</v>
      </c>
    </row>
    <row r="86" spans="3:4">
      <c r="C86" s="1327" t="s">
        <v>259</v>
      </c>
      <c r="D86" s="2" t="s">
        <v>258</v>
      </c>
    </row>
    <row r="87" spans="3:4">
      <c r="C87" s="1327" t="s">
        <v>260</v>
      </c>
      <c r="D87" s="2" t="s">
        <v>258</v>
      </c>
    </row>
    <row r="88" spans="3:4">
      <c r="C88" s="1331" t="s">
        <v>261</v>
      </c>
      <c r="D88" s="2" t="s">
        <v>262</v>
      </c>
    </row>
    <row r="89" spans="3:4">
      <c r="C89" s="1327" t="s">
        <v>263</v>
      </c>
      <c r="D89" s="2" t="s">
        <v>233</v>
      </c>
    </row>
    <row r="194" spans="55:55">
      <c r="BC194" s="2" t="s">
        <v>264</v>
      </c>
    </row>
  </sheetData>
  <autoFilter ref="A4:BC44" xr:uid="{7A4BFF54-8C0E-4A5E-969C-C58F4B190250}">
    <filterColumn colId="18">
      <filters>
        <filter val="considerar"/>
      </filters>
    </filterColumn>
  </autoFilter>
  <sortState xmlns:xlrd2="http://schemas.microsoft.com/office/spreadsheetml/2017/richdata2" ref="H3:H1048576">
    <sortCondition ref="H3:H1048576"/>
  </sortState>
  <mergeCells count="2">
    <mergeCell ref="Q2:T2"/>
    <mergeCell ref="V2:Y2"/>
  </mergeCells>
  <conditionalFormatting sqref="H5:I10 H11 H12:I67">
    <cfRule type="cellIs" dxfId="299" priority="1" operator="lessThan">
      <formula>0.1</formula>
    </cfRule>
    <cfRule type="cellIs" dxfId="298" priority="2" operator="between">
      <formula>0.15</formula>
      <formula>0.1</formula>
    </cfRule>
    <cfRule type="cellIs" dxfId="297" priority="3" operator="greaterThan">
      <formula>0.15</formula>
    </cfRule>
  </conditionalFormatting>
  <conditionalFormatting sqref="S5:S61 X5:X61">
    <cfRule type="containsText" dxfId="296" priority="4" operator="containsText" text="esperar">
      <formula>NOT(ISERROR(SEARCH("esperar",S5)))</formula>
    </cfRule>
    <cfRule type="containsText" dxfId="295" priority="5" operator="containsText" text="considerar">
      <formula>NOT(ISERROR(SEARCH("considerar",S5)))</formula>
    </cfRule>
  </conditionalFormatting>
  <hyperlinks>
    <hyperlink ref="C11" location="HABITAT!A1" display="HABITAT" xr:uid="{03DB979B-129A-4EBE-AE66-30363BEE2DAD}"/>
    <hyperlink ref="C6" location="PROVIDA!A1" display="PROVIDA" xr:uid="{709FBA38-9E2A-4E3F-9978-7C327D528381}"/>
    <hyperlink ref="C8" location="PLANVITAL!A1" display="PLANVITAL" xr:uid="{3524A2D5-ABB8-4AFB-9420-DB3CECC7D7A9}"/>
    <hyperlink ref="C10" location="CUPRUM!A1" display="CUPRUM" xr:uid="{20069E3C-9C7A-4D0D-B8D1-BBF4903C6D47}"/>
    <hyperlink ref="C41" location="AAISA!A1" display="AAISA" xr:uid="{878CCC15-193F-42EE-B004-24A28587B4DE}"/>
    <hyperlink ref="C21" location="ZOFRI!A1" display="ZOFRI" xr:uid="{0DACA671-11DE-4D23-BFC8-8480CF18F732}"/>
    <hyperlink ref="C13" location="PEHUENCHE!A1" display="PEHUENCHE" xr:uid="{6F62C923-CFF5-43DE-95C7-18C9743DCB8F}"/>
    <hyperlink ref="C27" location="'EMBONOR B'!A1" display="EMBONOR B" xr:uid="{706D76E0-8A84-4268-9C53-473CD6139DDA}"/>
    <hyperlink ref="C17" location="'EMBONOR A'!A1" display="EMBONOR A" xr:uid="{38A8C91F-3C4D-4FA4-B439-17AFE5FC2832}"/>
    <hyperlink ref="C15" location="SOQUICOM!A1" display="SOQUICOM" xr:uid="{3A67DF4F-AA40-4611-A58E-A5037689E3A6}"/>
    <hyperlink ref="C23" location="LIPIGAS!A1" display="LIPIGAS" xr:uid="{208A3B6A-A8E9-464E-A4E1-F20F574472C2}"/>
    <hyperlink ref="C7" location="COLBÚN!A1" display="COLBÚN" xr:uid="{982783E1-C7B4-47A1-9568-54ED83E31334}"/>
    <hyperlink ref="C30" location="ENELCHILE!A1" display="ENELCHILE" xr:uid="{6298EF30-4F36-440E-A264-BD321D8E3B93}"/>
    <hyperlink ref="C42" location="ANASAC!A1" display="ANASAC" xr:uid="{8AFD6473-9FC3-4300-B1A6-F0EE6806D966}"/>
    <hyperlink ref="C44" location="ALMENDRAL!A1" display="ALMENDRAL" xr:uid="{02376042-4872-4651-8BBC-39DB83890D5F}"/>
    <hyperlink ref="C24" location="NTGCLGAS!A1" display="NTGCLGAS" xr:uid="{B6AABC33-8E99-4325-81B1-9EAF71E9EB72}"/>
    <hyperlink ref="C20" location="OXIQUIM!A1" display="OXIQUIM" xr:uid="{8AC1D101-565D-4E03-B1EA-C7FEF78A7C95}"/>
    <hyperlink ref="C32" location="CCU!A1" display="CCU" xr:uid="{5858EDCD-5602-489E-A9F4-5129140F7C0E}"/>
    <hyperlink ref="C12" location="ENTEL!A1" display="ENTEL" xr:uid="{130E30F2-483B-448C-B30B-87ABFE053728}"/>
    <hyperlink ref="C16" location="TRICAHUE!A1" display="TRICAHUE" xr:uid="{DCFA9B57-316C-4383-B751-6C2B989E7CC0}"/>
    <hyperlink ref="C14" location="QUINENCO!A1" display="QUIÑENCO" xr:uid="{8B9103ED-8EE6-480B-A77C-F279E8305769}"/>
    <hyperlink ref="C43" location="'BOLSA STGO'!A1" display="BOLSASTGO" xr:uid="{7630D0B1-8DCA-4988-8E2A-2519B24D4ACF}"/>
    <hyperlink ref="C37" location="CONCHATORO!A1" display="CONCHATORO" xr:uid="{E9345F9A-158F-43CB-A694-AC71F15CF4AF}"/>
    <hyperlink ref="C19" location="ILC!A1" display="ILC" xr:uid="{C85D51D7-6D6F-4D27-A2E4-9753F3F3DCE2}"/>
    <hyperlink ref="C5" location="'ANDINA A'!A1" display="ANDINA A" xr:uid="{F0674A6E-BB86-4027-A4D0-549A7A0B122A}"/>
    <hyperlink ref="C28" location="'AGUAS ANDINA - A'!A1" display="AGUAS ANDINA - A" xr:uid="{362FDDC6-D4F7-4576-82D0-19F87DBC74E5}"/>
    <hyperlink ref="C29" location="'AGUAS ANDINA - B'!A1" display="AGUAS ANDINA - B" xr:uid="{C43747BD-CAB2-4403-BD04-EBD4D0A3F8DB}"/>
    <hyperlink ref="C39" location="CGE!A1" display="CGE" xr:uid="{4B3AFD9C-714B-4721-81CC-803C42D773B7}"/>
    <hyperlink ref="C34" location="'BANCO DE CHILE'!A1" display="BCHILE" xr:uid="{9480F8BA-F1E7-46F6-9853-4BB6CCDDAEB0}"/>
    <hyperlink ref="C33" location="SANTANDER!A1" display="SANTANDER" xr:uid="{66D043C7-B9D0-4462-BAD0-77864C5536D9}"/>
    <hyperlink ref="C36" location="BCI!A1" display="BCI (?)" xr:uid="{ADE1EC0F-A66E-45FB-B1F1-45C54F7CC661}"/>
    <hyperlink ref="C18" location="SMU!A1" display="SMU" xr:uid="{C33B8421-2FEC-4818-BFCA-D49FFCD29F1C}"/>
    <hyperlink ref="C35" location="MANQUEHUE!A1" display="MANQUEHUE" xr:uid="{25E6A4C3-1E49-4BE7-853F-0703D00D6B21}"/>
    <hyperlink ref="C9" location="'MINERA VALPARAISO'!A1" display="MINERA VALPARAISO" xr:uid="{C1EB6014-D4F7-432F-B689-B09819AFEA66}"/>
    <hyperlink ref="C38" location="FOSFOROS!A1" display="FOSFOROS" xr:uid="{45AE70AA-3E40-4BA5-ADC8-4824C22CB9C2}"/>
    <hyperlink ref="C25" location="VOLCAN!A1" display="VOLCAN" xr:uid="{4FA6AA82-0C4D-475B-8317-BB82DADB4E16}"/>
    <hyperlink ref="C47" location="EDELMAG!A1" display="EDELMAG" xr:uid="{1E1BDEB8-9946-4026-BF96-512F31F7A1DE}"/>
    <hyperlink ref="C49" location="SONDA!A1" display="SONDA" xr:uid="{B7430EF7-5E19-4E54-AB44-8B91B5DBDA72}"/>
    <hyperlink ref="C22" location="AFPCAPITAL!A1" display="AFPCAPITAL" xr:uid="{558A51FD-2D54-4349-9774-5531B9C4153B}"/>
    <hyperlink ref="C40" location="ITAU!A1" display="ITAUCL" xr:uid="{8788A927-DD60-40A0-8150-F91FDA0A96A0}"/>
    <hyperlink ref="C26" location="SECURITY!A1" display="SECURITY" xr:uid="{17751C29-A03B-47E0-91B4-8B1F83A850FD}"/>
    <hyperlink ref="C53" location="ELECMETAL!A1" display="ELECMETAL" xr:uid="{280EE4D0-7DA6-4318-B501-B5F973C4C524}"/>
    <hyperlink ref="C52" location="IAM!A1" display="IAM" xr:uid="{DC04830D-96BF-4B24-BA31-E82FE335BEA2}"/>
    <hyperlink ref="C50" location="ENELAM!A1" display="ENELAM" xr:uid="{69C51ADC-CB9C-400F-80B3-23FCAA267672}"/>
    <hyperlink ref="C54" location="GASCO!A1" display="GASCO" xr:uid="{03C9785A-2165-4874-BB3A-DB52509C96DF}"/>
    <hyperlink ref="C55" location="CMPC!A1" display="CMPC" xr:uid="{17E1870B-6E41-4BB8-969D-5B4CEE83E84E}"/>
    <hyperlink ref="C56" location="ENLASA!A1" display="ENLASA" xr:uid="{9E09563B-0FBF-4EF4-8F06-2D579F5B5B4E}"/>
    <hyperlink ref="C58" location="'BESALCO (TIKR)'!A1" display="BESALCO" xr:uid="{BB68E283-96A1-4B33-B638-9F8DEAF39596}"/>
    <hyperlink ref="C57" location="'CAP (TIKR)'!A1" display="CAP" xr:uid="{3D2DB7FB-388C-4DF2-BBDB-FDA4BEBC1635}"/>
    <hyperlink ref="C59" location="'SALFACORP (TIKR)'!A1" display="SALFACORP" xr:uid="{1DF85CF0-98CF-41BA-9428-B8E5DCAF5594}"/>
    <hyperlink ref="C60" location="'EISA (TIKR)'!A1" display="EISA" xr:uid="{9B1E956E-9F61-487B-9EFF-95520399E995}"/>
    <hyperlink ref="C51" location="ENELGXCH!A1" display="ENELGXCH" xr:uid="{92F8A933-54AC-4869-882B-1412F3986213}"/>
    <hyperlink ref="C48" location="FORUS!A1" display="FORUS" xr:uid="{28781F10-607C-4D1B-9316-1261AD33314A}"/>
    <hyperlink ref="C61" location="BANVIDA!A1" display="BANVIDA" xr:uid="{B55C53EF-4C18-4BA9-B7EA-996C719641B9}"/>
  </hyperlink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2DEAF-ABC0-4EF2-B3C0-5B81477B1958}">
  <sheetPr codeName="Hoja6"/>
  <dimension ref="B2:L64"/>
  <sheetViews>
    <sheetView zoomScale="85" zoomScaleNormal="85" workbookViewId="0">
      <pane xSplit="2" ySplit="3" topLeftCell="C11" activePane="bottomRight" state="frozen"/>
      <selection pane="bottomRight"/>
      <selection pane="bottomLeft" activeCell="B1" sqref="B1"/>
      <selection pane="topRight"/>
    </sheetView>
  </sheetViews>
  <sheetFormatPr defaultColWidth="10.7109375" defaultRowHeight="15" customHeight="1"/>
  <cols>
    <col min="1" max="1" width="3.28515625" customWidth="1"/>
    <col min="2" max="2" width="44.7109375" bestFit="1" customWidth="1"/>
    <col min="3" max="6" width="44.7109375" customWidth="1"/>
    <col min="7" max="7" width="33.28515625" bestFit="1" customWidth="1"/>
    <col min="8" max="8" width="37" bestFit="1" customWidth="1"/>
    <col min="9" max="10" width="33.28515625" bestFit="1" customWidth="1"/>
    <col min="11" max="11" width="38.28515625" customWidth="1"/>
    <col min="12" max="13" width="17.140625" customWidth="1"/>
  </cols>
  <sheetData>
    <row r="2" spans="2:12" ht="21">
      <c r="B2" s="313">
        <f ca="1">TODAY()-1</f>
        <v>46105</v>
      </c>
      <c r="C2" s="786"/>
      <c r="D2" s="786"/>
      <c r="E2" s="786"/>
      <c r="F2" s="786"/>
      <c r="G2" s="314"/>
      <c r="H2" s="344" t="s">
        <v>265</v>
      </c>
      <c r="I2" s="345" t="s">
        <v>266</v>
      </c>
    </row>
    <row r="3" spans="2:12" ht="25.5">
      <c r="B3" s="376" cm="1">
        <f t="array" aca="1" ref="B3" ca="1">_FV(B6,"Precio")</f>
        <v>382</v>
      </c>
      <c r="C3" s="787"/>
      <c r="D3" s="787"/>
      <c r="E3" s="787"/>
      <c r="F3" s="787"/>
      <c r="G3" s="316"/>
      <c r="H3" s="346">
        <f>AVERAGE(G49:K49)</f>
        <v>5.875</v>
      </c>
      <c r="I3" s="346">
        <f>AVERAGE(G48:K48)</f>
        <v>5.875</v>
      </c>
    </row>
    <row r="4" spans="2:12" ht="28.5">
      <c r="B4" s="319"/>
      <c r="C4" s="788"/>
      <c r="D4" s="788"/>
      <c r="E4" s="788"/>
      <c r="F4" s="788"/>
      <c r="G4" s="320"/>
      <c r="H4" s="328"/>
      <c r="I4" s="328"/>
    </row>
    <row r="6" spans="2:12" ht="33.75">
      <c r="B6" s="124" t="e" vm="1">
        <v>#VALUE!</v>
      </c>
      <c r="C6" s="97">
        <v>2017</v>
      </c>
      <c r="D6" s="97">
        <v>2018</v>
      </c>
      <c r="E6" s="97">
        <v>2019</v>
      </c>
      <c r="F6" s="97">
        <v>2020</v>
      </c>
      <c r="G6" s="97">
        <v>2021</v>
      </c>
      <c r="H6" s="97">
        <v>2022</v>
      </c>
      <c r="I6" s="97">
        <v>2023</v>
      </c>
      <c r="J6" s="97">
        <v>2024</v>
      </c>
      <c r="K6" s="97">
        <v>2025</v>
      </c>
      <c r="L6" s="97">
        <v>2026</v>
      </c>
    </row>
    <row r="7" spans="2:12" ht="26.25">
      <c r="B7" s="4" t="s">
        <v>267</v>
      </c>
      <c r="C7" s="4"/>
      <c r="D7" s="4"/>
      <c r="E7" s="4"/>
      <c r="F7" s="4"/>
      <c r="G7" s="5">
        <v>105219190000</v>
      </c>
      <c r="H7" s="5">
        <v>89200440000</v>
      </c>
      <c r="I7" s="5">
        <v>101399288000</v>
      </c>
      <c r="J7" s="5">
        <v>132432966000</v>
      </c>
      <c r="K7" s="5"/>
      <c r="L7" s="5"/>
    </row>
    <row r="8" spans="2:12" ht="26.25">
      <c r="B8" s="6" t="s">
        <v>268</v>
      </c>
      <c r="C8" s="6"/>
      <c r="D8" s="6"/>
      <c r="E8" s="6"/>
      <c r="F8" s="6"/>
      <c r="G8" s="7">
        <v>0</v>
      </c>
      <c r="H8" s="7"/>
      <c r="I8" s="7"/>
      <c r="J8" s="7"/>
      <c r="K8" s="7"/>
      <c r="L8" s="7"/>
    </row>
    <row r="9" spans="2:12" ht="26.25">
      <c r="B9" s="4" t="s">
        <v>269</v>
      </c>
      <c r="C9" s="4"/>
      <c r="D9" s="4"/>
      <c r="E9" s="4"/>
      <c r="F9" s="4"/>
      <c r="G9" s="5">
        <v>200385323000</v>
      </c>
      <c r="H9" s="5">
        <v>196482993000</v>
      </c>
      <c r="I9" s="5">
        <v>259862269000</v>
      </c>
      <c r="J9" s="5">
        <v>362584935000</v>
      </c>
      <c r="K9" s="5"/>
      <c r="L9" s="5"/>
    </row>
    <row r="10" spans="2:12" ht="26.25">
      <c r="B10" s="6" t="s">
        <v>270</v>
      </c>
      <c r="C10" s="6"/>
      <c r="D10" s="6"/>
      <c r="E10" s="6"/>
      <c r="F10" s="6"/>
      <c r="G10" s="7">
        <v>132001721000</v>
      </c>
      <c r="H10" s="7">
        <v>124042038000</v>
      </c>
      <c r="I10" s="7">
        <v>178709698000</v>
      </c>
      <c r="J10" s="7">
        <v>274487986000</v>
      </c>
      <c r="K10" s="7"/>
      <c r="L10" s="7"/>
    </row>
    <row r="11" spans="2:12" ht="26.25">
      <c r="B11" s="6" t="s">
        <v>271</v>
      </c>
      <c r="C11" s="6"/>
      <c r="D11" s="6"/>
      <c r="E11" s="6"/>
      <c r="F11" s="6"/>
      <c r="G11" s="7">
        <v>30790564000</v>
      </c>
      <c r="H11" s="7">
        <v>31787542000</v>
      </c>
      <c r="I11" s="7">
        <v>31564610000</v>
      </c>
      <c r="J11" s="7">
        <v>31638900000</v>
      </c>
      <c r="K11" s="7">
        <v>34477442000</v>
      </c>
      <c r="L11" s="7"/>
    </row>
    <row r="12" spans="2:12" ht="26.25">
      <c r="B12" s="8" t="s">
        <v>272</v>
      </c>
      <c r="C12" s="8"/>
      <c r="D12" s="8"/>
      <c r="E12" s="8"/>
      <c r="F12" s="8"/>
      <c r="G12" s="9">
        <f>+G9+G7</f>
        <v>305604513000</v>
      </c>
      <c r="H12" s="9">
        <v>285683433000</v>
      </c>
      <c r="I12" s="9">
        <v>361261557000</v>
      </c>
      <c r="J12" s="9">
        <f>+J9+J7</f>
        <v>495017901000</v>
      </c>
      <c r="K12" s="9"/>
      <c r="L12" s="9"/>
    </row>
    <row r="13" spans="2:12" ht="26.25">
      <c r="B13" s="10" t="s">
        <v>273</v>
      </c>
      <c r="C13" s="10"/>
      <c r="D13" s="10"/>
      <c r="E13" s="10"/>
      <c r="F13" s="10"/>
      <c r="G13" s="11">
        <v>40978160000</v>
      </c>
      <c r="H13" s="11">
        <v>31633208000</v>
      </c>
      <c r="I13" s="11">
        <v>32025455000</v>
      </c>
      <c r="J13" s="11">
        <v>37677165000</v>
      </c>
      <c r="K13" s="11"/>
      <c r="L13" s="11"/>
    </row>
    <row r="14" spans="2:12" ht="26.25">
      <c r="B14" s="10" t="s">
        <v>274</v>
      </c>
      <c r="C14" s="10"/>
      <c r="D14" s="10"/>
      <c r="E14" s="10"/>
      <c r="F14" s="10"/>
      <c r="G14" s="11">
        <v>18392022000</v>
      </c>
      <c r="H14" s="11">
        <v>14187174000</v>
      </c>
      <c r="I14" s="11">
        <v>36820323000</v>
      </c>
      <c r="J14" s="11">
        <v>135225198000</v>
      </c>
      <c r="K14" s="11"/>
      <c r="L14" s="11"/>
    </row>
    <row r="15" spans="2:12" ht="26.25">
      <c r="B15" s="12" t="s">
        <v>275</v>
      </c>
      <c r="C15" s="12"/>
      <c r="D15" s="12"/>
      <c r="E15" s="12"/>
      <c r="F15" s="12"/>
      <c r="G15" s="13">
        <f>+G14+G13</f>
        <v>59370182000</v>
      </c>
      <c r="H15" s="13">
        <v>45820382000</v>
      </c>
      <c r="I15" s="13">
        <f>+I13+I14</f>
        <v>68845778000</v>
      </c>
      <c r="J15" s="13">
        <f>+J13+J14</f>
        <v>172902363000</v>
      </c>
      <c r="K15" s="13"/>
      <c r="L15" s="13"/>
    </row>
    <row r="16" spans="2:12" ht="26.25">
      <c r="B16" s="14" t="s">
        <v>276</v>
      </c>
      <c r="C16" s="14"/>
      <c r="D16" s="14"/>
      <c r="E16" s="14"/>
      <c r="F16" s="14"/>
      <c r="G16" s="15">
        <v>246234331000</v>
      </c>
      <c r="H16" s="15">
        <v>239863051000</v>
      </c>
      <c r="I16" s="15">
        <f>+I12-I15</f>
        <v>292415779000</v>
      </c>
      <c r="J16" s="15">
        <f>+J12-J15</f>
        <v>322115538000</v>
      </c>
      <c r="K16" s="15"/>
      <c r="L16" s="15"/>
    </row>
    <row r="17" spans="2:12" ht="26.25">
      <c r="B17" s="16" t="s">
        <v>277</v>
      </c>
      <c r="C17" s="16"/>
      <c r="D17" s="16"/>
      <c r="E17" s="16"/>
      <c r="F17" s="16"/>
      <c r="G17" s="17">
        <f>+G16-G11</f>
        <v>215443767000</v>
      </c>
      <c r="H17" s="17">
        <f t="shared" ref="H17" si="0">+H16-H11</f>
        <v>208075509000</v>
      </c>
      <c r="I17" s="17">
        <f>+I16-I11</f>
        <v>260851169000</v>
      </c>
      <c r="J17" s="17">
        <f>+J16-J11</f>
        <v>290476638000</v>
      </c>
      <c r="K17" s="17"/>
      <c r="L17" s="17"/>
    </row>
    <row r="18" spans="2:12" ht="26.25">
      <c r="B18" s="79" t="s">
        <v>278</v>
      </c>
      <c r="C18" s="79"/>
      <c r="D18" s="79"/>
      <c r="E18" s="79"/>
      <c r="F18" s="79"/>
      <c r="G18" s="80">
        <v>1000000000</v>
      </c>
      <c r="H18" s="80">
        <v>1000000000</v>
      </c>
      <c r="I18" s="80">
        <v>1000000000</v>
      </c>
      <c r="J18" s="80">
        <v>1000000000</v>
      </c>
      <c r="K18" s="80"/>
      <c r="L18" s="80"/>
    </row>
    <row r="20" spans="2:12" ht="26.25">
      <c r="B20" s="18" t="s">
        <v>279</v>
      </c>
      <c r="C20" s="18"/>
      <c r="D20" s="18"/>
      <c r="E20" s="18"/>
      <c r="F20" s="18"/>
      <c r="G20" s="19">
        <f t="shared" ref="G20:I20" si="1">(G16/G18)</f>
        <v>246.234331</v>
      </c>
      <c r="H20" s="19">
        <f t="shared" si="1"/>
        <v>239.86305100000001</v>
      </c>
      <c r="I20" s="19">
        <f t="shared" si="1"/>
        <v>292.41577899999999</v>
      </c>
      <c r="J20" s="19">
        <f>(J16/J18)</f>
        <v>322.11553800000002</v>
      </c>
      <c r="K20" s="19"/>
      <c r="L20" s="736"/>
    </row>
    <row r="21" spans="2:12" ht="26.25">
      <c r="B21" s="20" t="s">
        <v>280</v>
      </c>
      <c r="C21" s="20"/>
      <c r="D21" s="20"/>
      <c r="E21" s="20"/>
      <c r="F21" s="20"/>
      <c r="G21" s="21">
        <f t="shared" ref="G21:J21" si="2">+G17/G18</f>
        <v>215.44376700000001</v>
      </c>
      <c r="H21" s="21">
        <f t="shared" si="2"/>
        <v>208.07550900000001</v>
      </c>
      <c r="I21" s="21">
        <f t="shared" si="2"/>
        <v>260.85116900000003</v>
      </c>
      <c r="J21" s="21">
        <f t="shared" si="2"/>
        <v>290.47663799999998</v>
      </c>
      <c r="K21" s="21"/>
      <c r="L21" s="1334"/>
    </row>
    <row r="22" spans="2:12" ht="26.25">
      <c r="B22" s="20" t="s">
        <v>281</v>
      </c>
      <c r="C22" s="20"/>
      <c r="D22" s="20"/>
      <c r="E22" s="20"/>
      <c r="F22" s="20"/>
      <c r="G22" s="21">
        <f t="shared" ref="G22:J22" si="3">+G10/G18</f>
        <v>132.001721</v>
      </c>
      <c r="H22" s="21">
        <f t="shared" si="3"/>
        <v>124.04203800000001</v>
      </c>
      <c r="I22" s="21">
        <f t="shared" si="3"/>
        <v>178.709698</v>
      </c>
      <c r="J22" s="21">
        <f t="shared" si="3"/>
        <v>274.48798599999998</v>
      </c>
      <c r="K22" s="21"/>
      <c r="L22" s="1334"/>
    </row>
    <row r="23" spans="2:12" ht="26.25">
      <c r="B23" s="76" t="s">
        <v>282</v>
      </c>
      <c r="C23" s="76"/>
      <c r="D23" s="76"/>
      <c r="E23" s="76"/>
      <c r="F23" s="76"/>
      <c r="G23" s="77"/>
      <c r="H23" s="77">
        <v>132.1</v>
      </c>
      <c r="I23" s="77">
        <v>191.26</v>
      </c>
      <c r="J23" s="77">
        <v>214.94</v>
      </c>
      <c r="K23" s="77"/>
      <c r="L23" s="735"/>
    </row>
    <row r="24" spans="2:12" ht="26.25">
      <c r="B24" s="18" t="s">
        <v>283</v>
      </c>
      <c r="C24" s="18"/>
      <c r="D24" s="18"/>
      <c r="E24" s="18"/>
      <c r="F24" s="18"/>
      <c r="G24" s="22">
        <f>+G23/G45</f>
        <v>0</v>
      </c>
      <c r="H24" s="22">
        <f>+H23/H44</f>
        <v>6.6049999999999995</v>
      </c>
      <c r="I24" s="22">
        <f>+I23/I44</f>
        <v>6.1372182658709953</v>
      </c>
      <c r="J24" s="22">
        <f>+J23/J44</f>
        <v>5.7473159160301472</v>
      </c>
      <c r="K24" s="22"/>
      <c r="L24" s="734"/>
    </row>
    <row r="25" spans="2:12" ht="26.25">
      <c r="B25" s="18" t="s">
        <v>284</v>
      </c>
      <c r="C25" s="18"/>
      <c r="D25" s="18"/>
      <c r="E25" s="18"/>
      <c r="F25" s="18"/>
      <c r="G25" s="22">
        <f t="shared" ref="G25:I25" si="4">+G23/G20</f>
        <v>0</v>
      </c>
      <c r="H25" s="22">
        <f>+H23/H20</f>
        <v>0.55073092520615019</v>
      </c>
      <c r="I25" s="22">
        <f t="shared" si="4"/>
        <v>0.65406867117112721</v>
      </c>
      <c r="J25" s="22">
        <f>+J23/J20</f>
        <v>0.66727610016751193</v>
      </c>
      <c r="K25" s="22"/>
      <c r="L25" s="734"/>
    </row>
    <row r="26" spans="2:12" ht="26.25">
      <c r="B26" s="18" t="s">
        <v>285</v>
      </c>
      <c r="C26" s="18"/>
      <c r="D26" s="18"/>
      <c r="E26" s="18"/>
      <c r="F26" s="18"/>
      <c r="G26" s="22">
        <f>+G24*G25</f>
        <v>0</v>
      </c>
      <c r="H26" s="22">
        <f t="shared" ref="H26:I26" si="5">+H24*H25</f>
        <v>3.6375777609866216</v>
      </c>
      <c r="I26" s="22">
        <f t="shared" si="5"/>
        <v>4.0141621958454117</v>
      </c>
      <c r="J26" s="22">
        <f>+J24*J25</f>
        <v>3.8350465508792682</v>
      </c>
      <c r="K26" s="22"/>
      <c r="L26" s="734"/>
    </row>
    <row r="27" spans="2:12" ht="26.25">
      <c r="B27" s="23" t="s">
        <v>286</v>
      </c>
      <c r="C27" s="23"/>
      <c r="D27" s="23"/>
      <c r="E27" s="23"/>
      <c r="F27" s="23"/>
      <c r="G27" s="24">
        <v>0</v>
      </c>
      <c r="H27" s="24">
        <v>0</v>
      </c>
      <c r="I27" s="24">
        <v>0</v>
      </c>
      <c r="J27" s="24">
        <v>0</v>
      </c>
      <c r="K27" s="24"/>
      <c r="L27" s="733"/>
    </row>
    <row r="28" spans="2:12" ht="26.25">
      <c r="B28" s="23" t="s">
        <v>287</v>
      </c>
      <c r="C28" s="23"/>
      <c r="D28" s="23"/>
      <c r="E28" s="23"/>
      <c r="F28" s="23"/>
      <c r="G28" s="24">
        <v>1</v>
      </c>
      <c r="H28" s="24">
        <v>1</v>
      </c>
      <c r="I28" s="24">
        <v>1</v>
      </c>
      <c r="J28" s="24">
        <v>1</v>
      </c>
      <c r="K28" s="24"/>
      <c r="L28" s="733"/>
    </row>
    <row r="29" spans="2:12" ht="26.25">
      <c r="B29" s="25" t="s">
        <v>288</v>
      </c>
      <c r="C29" s="25"/>
      <c r="D29" s="25"/>
      <c r="E29" s="25"/>
      <c r="F29" s="25"/>
      <c r="G29" s="26">
        <f>+G27*G20</f>
        <v>0</v>
      </c>
      <c r="H29" s="26">
        <f t="shared" ref="H29:J29" si="6">+H27*H20</f>
        <v>0</v>
      </c>
      <c r="I29" s="26">
        <f t="shared" si="6"/>
        <v>0</v>
      </c>
      <c r="J29" s="26">
        <f t="shared" si="6"/>
        <v>0</v>
      </c>
      <c r="K29" s="26"/>
      <c r="L29" s="732"/>
    </row>
    <row r="30" spans="2:12" ht="26.25">
      <c r="B30" s="25" t="s">
        <v>289</v>
      </c>
      <c r="C30" s="25"/>
      <c r="D30" s="25"/>
      <c r="E30" s="25"/>
      <c r="F30" s="25"/>
      <c r="G30" s="26">
        <f>AVERAGE(G29,G31)</f>
        <v>123.1171655</v>
      </c>
      <c r="H30" s="26">
        <f t="shared" ref="H30:I30" si="7">AVERAGE(H29,H31)</f>
        <v>119.93152550000001</v>
      </c>
      <c r="I30" s="26">
        <f t="shared" si="7"/>
        <v>146.20788949999999</v>
      </c>
      <c r="J30" s="26">
        <f>AVERAGE(J29,J31)</f>
        <v>161.05776900000001</v>
      </c>
      <c r="K30" s="26"/>
      <c r="L30" s="732"/>
    </row>
    <row r="31" spans="2:12" ht="26.25">
      <c r="B31" s="25" t="s">
        <v>290</v>
      </c>
      <c r="C31" s="25"/>
      <c r="D31" s="25"/>
      <c r="E31" s="25"/>
      <c r="F31" s="25"/>
      <c r="G31" s="26">
        <f>+G20*G28</f>
        <v>246.234331</v>
      </c>
      <c r="H31" s="26">
        <f t="shared" ref="H31:J31" si="8">+H20*H28</f>
        <v>239.86305100000001</v>
      </c>
      <c r="I31" s="26">
        <f t="shared" si="8"/>
        <v>292.41577899999999</v>
      </c>
      <c r="J31" s="26">
        <f t="shared" si="8"/>
        <v>322.11553800000002</v>
      </c>
      <c r="K31" s="26"/>
      <c r="L31" s="732"/>
    </row>
    <row r="33" spans="2:12" ht="26.25">
      <c r="B33" s="27" t="s">
        <v>291</v>
      </c>
      <c r="C33" s="27"/>
      <c r="D33" s="27"/>
      <c r="E33" s="27"/>
      <c r="F33" s="27"/>
      <c r="G33" s="28">
        <f t="shared" ref="G33:J33" si="9">G7-G13</f>
        <v>64241030000</v>
      </c>
      <c r="H33" s="28">
        <f t="shared" si="9"/>
        <v>57567232000</v>
      </c>
      <c r="I33" s="28">
        <f t="shared" si="9"/>
        <v>69373833000</v>
      </c>
      <c r="J33" s="28">
        <f t="shared" si="9"/>
        <v>94755801000</v>
      </c>
      <c r="K33" s="28"/>
      <c r="L33" s="28"/>
    </row>
    <row r="34" spans="2:12" ht="26.25">
      <c r="B34" s="30" t="s">
        <v>149</v>
      </c>
      <c r="C34" s="30"/>
      <c r="D34" s="30"/>
      <c r="E34" s="30"/>
      <c r="F34" s="30"/>
      <c r="G34" s="31">
        <f t="shared" ref="G34:J34" si="10">G7/G13</f>
        <v>2.5676894716600258</v>
      </c>
      <c r="H34" s="31">
        <f t="shared" si="10"/>
        <v>2.8198354084100479</v>
      </c>
      <c r="I34" s="31">
        <f t="shared" si="10"/>
        <v>3.1662091295814534</v>
      </c>
      <c r="J34" s="31">
        <f t="shared" si="10"/>
        <v>3.5149397785104055</v>
      </c>
      <c r="K34" s="31"/>
      <c r="L34" s="31"/>
    </row>
    <row r="35" spans="2:12" ht="26.25">
      <c r="B35" s="30" t="s">
        <v>292</v>
      </c>
      <c r="C35" s="30"/>
      <c r="D35" s="30"/>
      <c r="E35" s="30"/>
      <c r="F35" s="30"/>
      <c r="G35" s="31">
        <f>+(G7-G8)/G13</f>
        <v>2.5676894716600258</v>
      </c>
      <c r="H35" s="31">
        <f t="shared" ref="H35:J35" si="11">+(H7-H8)/H13</f>
        <v>2.8198354084100479</v>
      </c>
      <c r="I35" s="31">
        <f t="shared" si="11"/>
        <v>3.1662091295814534</v>
      </c>
      <c r="J35" s="31">
        <f t="shared" si="11"/>
        <v>3.5149397785104055</v>
      </c>
      <c r="K35" s="31"/>
      <c r="L35" s="31"/>
    </row>
    <row r="36" spans="2:12" ht="26.25">
      <c r="B36" s="32" t="s">
        <v>153</v>
      </c>
      <c r="C36" s="32"/>
      <c r="D36" s="32"/>
      <c r="E36" s="32"/>
      <c r="F36" s="32"/>
      <c r="G36" s="33">
        <f t="shared" ref="G36:I36" si="12">G15/G12</f>
        <v>0.19427128682487749</v>
      </c>
      <c r="H36" s="33">
        <f t="shared" si="12"/>
        <v>0.16038865648887662</v>
      </c>
      <c r="I36" s="33">
        <f t="shared" si="12"/>
        <v>0.19057045142503221</v>
      </c>
      <c r="J36" s="33">
        <f>J15/J12</f>
        <v>0.34928507161198602</v>
      </c>
      <c r="K36" s="33"/>
      <c r="L36" s="33"/>
    </row>
    <row r="39" spans="2:12" ht="26.25">
      <c r="B39" s="35" t="s">
        <v>293</v>
      </c>
      <c r="C39" s="35"/>
      <c r="D39" s="35"/>
      <c r="E39" s="35"/>
      <c r="F39" s="35"/>
      <c r="G39" s="36">
        <v>10040660000</v>
      </c>
      <c r="H39" s="36">
        <v>68082093000</v>
      </c>
      <c r="I39" s="36">
        <v>111180751000</v>
      </c>
      <c r="J39" s="36">
        <v>148071321000</v>
      </c>
      <c r="K39" s="36"/>
      <c r="L39" s="36"/>
    </row>
    <row r="40" spans="2:12" ht="26.25">
      <c r="B40" s="39" t="s">
        <v>181</v>
      </c>
      <c r="C40" s="39"/>
      <c r="D40" s="39"/>
      <c r="E40" s="39"/>
      <c r="F40" s="39"/>
      <c r="G40" s="40">
        <f>+G39-4829551000</f>
        <v>5211109000</v>
      </c>
      <c r="H40" s="40">
        <v>19553316000</v>
      </c>
      <c r="I40" s="40">
        <v>40368677000</v>
      </c>
      <c r="J40" s="40">
        <v>50410265000</v>
      </c>
      <c r="K40" s="40"/>
      <c r="L40" s="40"/>
    </row>
    <row r="41" spans="2:12" ht="26.25">
      <c r="B41" s="35" t="s">
        <v>294</v>
      </c>
      <c r="C41" s="35"/>
      <c r="D41" s="35"/>
      <c r="E41" s="35"/>
      <c r="F41" s="35"/>
      <c r="G41" s="41">
        <f>G40/G39</f>
        <v>0.51900064338400065</v>
      </c>
      <c r="H41" s="41">
        <f t="shared" ref="H41:J41" si="13">H40/H39</f>
        <v>0.2872020400430404</v>
      </c>
      <c r="I41" s="41">
        <f t="shared" si="13"/>
        <v>0.36309052274705356</v>
      </c>
      <c r="J41" s="41">
        <f t="shared" si="13"/>
        <v>0.34044583825925345</v>
      </c>
      <c r="K41" s="41"/>
      <c r="L41" s="41"/>
    </row>
    <row r="42" spans="2:12" ht="26.25">
      <c r="B42" s="43" t="s">
        <v>295</v>
      </c>
      <c r="C42" s="43"/>
      <c r="D42" s="43"/>
      <c r="E42" s="43"/>
      <c r="F42" s="43"/>
      <c r="G42" s="44">
        <v>3897736000</v>
      </c>
      <c r="H42" s="44">
        <v>20154682000</v>
      </c>
      <c r="I42" s="44">
        <v>31163956000</v>
      </c>
      <c r="J42" s="44">
        <v>37398327000</v>
      </c>
      <c r="K42" s="44"/>
      <c r="L42" s="44"/>
    </row>
    <row r="43" spans="2:12" ht="26.25">
      <c r="B43" s="30" t="s">
        <v>296</v>
      </c>
      <c r="C43" s="30"/>
      <c r="D43" s="30"/>
      <c r="E43" s="30"/>
      <c r="F43" s="30"/>
      <c r="G43" s="45">
        <f>G42/G39</f>
        <v>0.38819519832361615</v>
      </c>
      <c r="H43" s="45">
        <f t="shared" ref="H43:J43" si="14">H42/H39</f>
        <v>0.29603499410630635</v>
      </c>
      <c r="I43" s="45">
        <f t="shared" si="14"/>
        <v>0.28029992350024691</v>
      </c>
      <c r="J43" s="45">
        <f t="shared" si="14"/>
        <v>0.25256968565844023</v>
      </c>
      <c r="K43" s="45"/>
      <c r="L43" s="45"/>
    </row>
    <row r="44" spans="2:12" ht="26.25">
      <c r="B44" s="46" t="s">
        <v>159</v>
      </c>
      <c r="C44" s="46"/>
      <c r="D44" s="46"/>
      <c r="E44" s="46"/>
      <c r="F44" s="46"/>
      <c r="G44" s="127">
        <f>4*1000</f>
        <v>4000</v>
      </c>
      <c r="H44" s="127">
        <v>20</v>
      </c>
      <c r="I44" s="127">
        <f>+I42/I18</f>
        <v>31.163955999999999</v>
      </c>
      <c r="J44" s="127">
        <f>+J42/J18</f>
        <v>37.398327000000002</v>
      </c>
      <c r="K44" s="127"/>
      <c r="L44" s="127"/>
    </row>
    <row r="45" spans="2:12" ht="26.25">
      <c r="B45" s="48" t="s">
        <v>160</v>
      </c>
      <c r="C45" s="48"/>
      <c r="D45" s="48"/>
      <c r="E45" s="48"/>
      <c r="F45" s="48"/>
      <c r="G45" s="49">
        <f t="shared" ref="G45:J45" si="15">G42/G16</f>
        <v>1.5829376773623009E-2</v>
      </c>
      <c r="H45" s="49">
        <f t="shared" si="15"/>
        <v>8.4025788532140364E-2</v>
      </c>
      <c r="I45" s="49">
        <f t="shared" si="15"/>
        <v>0.1065741257416892</v>
      </c>
      <c r="J45" s="49">
        <f t="shared" si="15"/>
        <v>0.11610221361007428</v>
      </c>
      <c r="K45" s="49"/>
      <c r="L45" s="49"/>
    </row>
    <row r="46" spans="2:12" ht="26.25">
      <c r="B46" s="48" t="s">
        <v>297</v>
      </c>
      <c r="C46" s="48"/>
      <c r="D46" s="48"/>
      <c r="E46" s="48"/>
      <c r="F46" s="48"/>
      <c r="G46" s="49" t="e">
        <f t="shared" ref="G46:I46" si="16">+G45/G25</f>
        <v>#DIV/0!</v>
      </c>
      <c r="H46" s="49">
        <f t="shared" si="16"/>
        <v>0.15257140045420137</v>
      </c>
      <c r="I46" s="49">
        <f t="shared" si="16"/>
        <v>0.16294026978981491</v>
      </c>
      <c r="J46" s="49">
        <f>+J45/J25</f>
        <v>0.17399426351539965</v>
      </c>
      <c r="K46" s="49"/>
      <c r="L46" s="49"/>
    </row>
    <row r="47" spans="2:12" ht="26.25">
      <c r="B47" s="48" t="s">
        <v>298</v>
      </c>
      <c r="C47" s="48"/>
      <c r="D47" s="48"/>
      <c r="E47" s="48"/>
      <c r="F47" s="48"/>
      <c r="G47" s="49"/>
      <c r="H47" s="782">
        <v>14167891000</v>
      </c>
      <c r="I47" s="783">
        <v>21107849000</v>
      </c>
      <c r="J47" s="783">
        <v>114613969000</v>
      </c>
      <c r="K47" s="783"/>
      <c r="L47" s="1335"/>
    </row>
    <row r="48" spans="2:12" ht="26.25">
      <c r="B48" s="51" t="s">
        <v>111</v>
      </c>
      <c r="C48" s="51"/>
      <c r="D48" s="51"/>
      <c r="E48" s="51"/>
      <c r="F48" s="51"/>
      <c r="G48" s="51">
        <f>SUM(G50:G54)</f>
        <v>0</v>
      </c>
      <c r="H48" s="51">
        <f t="shared" ref="H48:J48" si="17">SUM(H50:H54)</f>
        <v>3.5</v>
      </c>
      <c r="I48" s="51">
        <f t="shared" si="17"/>
        <v>10</v>
      </c>
      <c r="J48" s="51">
        <f t="shared" si="17"/>
        <v>10</v>
      </c>
      <c r="K48" s="51"/>
      <c r="L48" s="51"/>
    </row>
    <row r="49" spans="2:12" ht="26.25">
      <c r="B49" s="51" t="s">
        <v>112</v>
      </c>
      <c r="C49" s="51"/>
      <c r="D49" s="51"/>
      <c r="E49" s="51"/>
      <c r="F49" s="51"/>
      <c r="G49" s="51">
        <f>+G50+G51+G52+G53</f>
        <v>0</v>
      </c>
      <c r="H49" s="51">
        <f t="shared" ref="H49:J49" si="18">+H50+H51+H52+H53</f>
        <v>3.5</v>
      </c>
      <c r="I49" s="51">
        <f t="shared" si="18"/>
        <v>10</v>
      </c>
      <c r="J49" s="51">
        <f t="shared" si="18"/>
        <v>10</v>
      </c>
      <c r="K49" s="51"/>
      <c r="L49" s="51"/>
    </row>
    <row r="50" spans="2:12" ht="18.75">
      <c r="B50" s="135" t="s">
        <v>114</v>
      </c>
      <c r="C50" s="135"/>
      <c r="D50" s="135"/>
      <c r="E50" s="135"/>
      <c r="F50" s="135"/>
      <c r="G50" s="94"/>
      <c r="H50" s="94">
        <v>3.5</v>
      </c>
      <c r="I50" s="94">
        <v>10</v>
      </c>
      <c r="J50" s="94">
        <v>10</v>
      </c>
      <c r="K50" s="94">
        <v>11.5</v>
      </c>
      <c r="L50" s="94"/>
    </row>
    <row r="51" spans="2:12" ht="18">
      <c r="B51" s="135" t="s">
        <v>115</v>
      </c>
      <c r="C51" s="135"/>
      <c r="D51" s="135"/>
      <c r="E51" s="135"/>
      <c r="F51" s="135"/>
      <c r="G51" s="94"/>
      <c r="H51" s="94"/>
      <c r="I51" s="94"/>
      <c r="J51" s="94"/>
      <c r="K51" s="94"/>
      <c r="L51" s="94"/>
    </row>
    <row r="52" spans="2:12" ht="18">
      <c r="B52" s="135" t="s">
        <v>116</v>
      </c>
      <c r="C52" s="135"/>
      <c r="D52" s="135"/>
      <c r="E52" s="135"/>
      <c r="F52" s="135"/>
      <c r="G52" s="94"/>
      <c r="H52" s="94"/>
      <c r="I52" s="94"/>
      <c r="J52" s="94"/>
      <c r="K52" s="94"/>
      <c r="L52" s="94"/>
    </row>
    <row r="53" spans="2:12" ht="18">
      <c r="B53" s="135" t="s">
        <v>117</v>
      </c>
      <c r="C53" s="135"/>
      <c r="D53" s="135"/>
      <c r="E53" s="135"/>
      <c r="F53" s="135"/>
      <c r="G53" s="94"/>
      <c r="H53" s="94"/>
      <c r="I53" s="94"/>
      <c r="J53" s="94"/>
      <c r="K53" s="94"/>
      <c r="L53" s="94"/>
    </row>
    <row r="54" spans="2:12" ht="25.5">
      <c r="B54" s="51" t="s">
        <v>119</v>
      </c>
      <c r="C54" s="51"/>
      <c r="D54" s="51"/>
      <c r="E54" s="51"/>
      <c r="F54" s="51"/>
      <c r="G54" s="94"/>
      <c r="H54" s="94"/>
      <c r="I54" s="94"/>
      <c r="J54" s="94"/>
      <c r="K54" s="94"/>
      <c r="L54" s="94"/>
    </row>
    <row r="55" spans="2:12" ht="25.5">
      <c r="B55" s="51" t="s">
        <v>120</v>
      </c>
      <c r="C55" s="51"/>
      <c r="D55" s="51"/>
      <c r="E55" s="51"/>
      <c r="F55" s="51"/>
      <c r="G55" s="94"/>
      <c r="H55" s="94"/>
      <c r="I55" s="94"/>
      <c r="J55" s="94"/>
      <c r="K55" s="94"/>
      <c r="L55" s="94"/>
    </row>
    <row r="56" spans="2:12" ht="18">
      <c r="B56" s="135" t="s">
        <v>121</v>
      </c>
      <c r="C56" s="135"/>
      <c r="D56" s="135"/>
      <c r="E56" s="135"/>
      <c r="F56" s="135"/>
      <c r="G56" s="94"/>
      <c r="H56" s="94">
        <v>10</v>
      </c>
      <c r="I56" s="94">
        <v>10</v>
      </c>
      <c r="J56" s="94">
        <v>11.5</v>
      </c>
      <c r="K56" s="94"/>
      <c r="L56" s="94"/>
    </row>
    <row r="57" spans="2:12" ht="18">
      <c r="B57" s="135" t="s">
        <v>122</v>
      </c>
      <c r="C57" s="135"/>
      <c r="D57" s="135"/>
      <c r="E57" s="135"/>
      <c r="F57" s="135"/>
      <c r="G57" s="94"/>
      <c r="H57" s="94"/>
      <c r="I57" s="94"/>
      <c r="J57" s="94"/>
      <c r="K57" s="94"/>
      <c r="L57" s="94"/>
    </row>
    <row r="58" spans="2:12" ht="18">
      <c r="B58" s="135" t="s">
        <v>123</v>
      </c>
      <c r="C58" s="135"/>
      <c r="D58" s="135"/>
      <c r="E58" s="135"/>
      <c r="F58" s="135"/>
      <c r="G58" s="94"/>
      <c r="H58" s="94"/>
      <c r="I58" s="94"/>
      <c r="J58" s="94"/>
      <c r="K58" s="94"/>
      <c r="L58" s="94"/>
    </row>
    <row r="59" spans="2:12" ht="18">
      <c r="B59" s="135" t="s">
        <v>124</v>
      </c>
      <c r="C59" s="135"/>
      <c r="D59" s="135"/>
      <c r="E59" s="135"/>
      <c r="F59" s="135"/>
      <c r="G59" s="94"/>
      <c r="H59" s="94"/>
      <c r="I59" s="94"/>
      <c r="J59" s="94"/>
      <c r="K59" s="94"/>
      <c r="L59" s="94"/>
    </row>
    <row r="60" spans="2:12" ht="14.25">
      <c r="B60" s="95"/>
      <c r="C60" s="95"/>
      <c r="D60" s="95"/>
      <c r="E60" s="95"/>
      <c r="F60" s="95"/>
      <c r="G60" s="94"/>
      <c r="H60" s="94"/>
      <c r="I60" s="94"/>
      <c r="J60" s="94"/>
      <c r="K60" s="94"/>
      <c r="L60" s="94"/>
    </row>
    <row r="61" spans="2:12" ht="28.5">
      <c r="B61" s="53" t="s">
        <v>167</v>
      </c>
      <c r="C61" s="53"/>
      <c r="D61" s="53"/>
      <c r="E61" s="53"/>
      <c r="F61" s="53"/>
      <c r="G61" s="54">
        <f>(G51+G52+G53+H50)/G44</f>
        <v>8.7500000000000002E-4</v>
      </c>
      <c r="H61" s="54">
        <f t="shared" ref="H61:I61" si="19">(H51+H52+H53+I50)/H44</f>
        <v>0.5</v>
      </c>
      <c r="I61" s="54">
        <f t="shared" si="19"/>
        <v>0.32088352326001229</v>
      </c>
      <c r="J61" s="54">
        <f>(J51+J52+J53+K50)/J44</f>
        <v>0.30750038631407228</v>
      </c>
      <c r="K61" s="54"/>
      <c r="L61" s="54"/>
    </row>
    <row r="62" spans="2:12" ht="26.25">
      <c r="B62" s="30" t="s">
        <v>299</v>
      </c>
      <c r="C62" s="30"/>
      <c r="D62" s="30"/>
      <c r="E62" s="30"/>
      <c r="F62" s="30"/>
      <c r="G62" s="45" t="e">
        <f t="shared" ref="G62:J62" si="20">+G48/G23</f>
        <v>#DIV/0!</v>
      </c>
      <c r="H62" s="45">
        <f t="shared" si="20"/>
        <v>2.6495079485238458E-2</v>
      </c>
      <c r="I62" s="45">
        <f t="shared" si="20"/>
        <v>5.2284847851092754E-2</v>
      </c>
      <c r="J62" s="45">
        <f t="shared" si="20"/>
        <v>4.652461151949381E-2</v>
      </c>
      <c r="K62" s="45"/>
      <c r="L62" s="45"/>
    </row>
    <row r="63" spans="2:12" ht="26.25">
      <c r="B63" s="30" t="s">
        <v>176</v>
      </c>
      <c r="C63" s="30"/>
      <c r="D63" s="30"/>
      <c r="E63" s="30"/>
      <c r="F63" s="30"/>
      <c r="G63" s="45"/>
      <c r="H63" s="45">
        <f>+H45*(1-H61)</f>
        <v>4.2012894266070182E-2</v>
      </c>
      <c r="I63" s="45">
        <f t="shared" ref="I63" si="21">+I45*(1-I61)</f>
        <v>7.237624478534041E-2</v>
      </c>
      <c r="J63" s="784">
        <f>+J45*(1-J61)</f>
        <v>8.0400738073057504E-2</v>
      </c>
      <c r="K63" s="784"/>
      <c r="L63" s="784"/>
    </row>
    <row r="64" spans="2:12" ht="26.25">
      <c r="B64" s="30" t="s">
        <v>300</v>
      </c>
      <c r="C64" s="785">
        <f ca="1">B3</f>
        <v>382</v>
      </c>
      <c r="D64" s="354"/>
      <c r="E64" s="354"/>
      <c r="F64" s="354"/>
    </row>
  </sheetData>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3F7A1-E024-46B0-A2C8-01FD336C6701}">
  <dimension ref="B2:N148"/>
  <sheetViews>
    <sheetView zoomScale="70" zoomScaleNormal="70" workbookViewId="0">
      <pane xSplit="2" topLeftCell="C95" activePane="topRight" state="frozen"/>
      <selection pane="topRight" activeCell="B3" sqref="B3"/>
    </sheetView>
  </sheetViews>
  <sheetFormatPr defaultColWidth="11.42578125" defaultRowHeight="14.25"/>
  <cols>
    <col min="1" max="1" width="5.28515625" customWidth="1"/>
    <col min="2" max="2" width="44.7109375" bestFit="1" customWidth="1"/>
    <col min="3" max="7" width="33.28515625" customWidth="1"/>
    <col min="8" max="9" width="32.7109375" bestFit="1" customWidth="1"/>
    <col min="10" max="10" width="32.7109375" style="414" bestFit="1" customWidth="1"/>
    <col min="11" max="14" width="32.7109375" bestFit="1" customWidth="1"/>
  </cols>
  <sheetData>
    <row r="2" spans="2:14" ht="21">
      <c r="B2" s="313">
        <f ca="1">TODAY()-1</f>
        <v>46105</v>
      </c>
      <c r="C2" s="314"/>
      <c r="D2" s="344" t="s">
        <v>265</v>
      </c>
      <c r="E2" s="345" t="s">
        <v>266</v>
      </c>
    </row>
    <row r="3" spans="2:14" ht="25.5">
      <c r="B3" s="376" cm="1">
        <f t="array" aca="1" ref="B3" ca="1">_FV(B6,"Precio")</f>
        <v>272.25</v>
      </c>
      <c r="C3" s="316"/>
      <c r="D3" s="346">
        <f>AVERAGE(G48:I48)</f>
        <v>17.971333333333334</v>
      </c>
      <c r="E3" s="346">
        <f>AVERAGE(G47:I47)</f>
        <v>23.306666666666668</v>
      </c>
    </row>
    <row r="4" spans="2:14" ht="28.5">
      <c r="B4" s="319"/>
      <c r="C4" s="320"/>
      <c r="D4" s="328"/>
      <c r="E4" s="328"/>
    </row>
    <row r="6" spans="2:14" ht="33.4">
      <c r="B6" s="3" t="e" vm="2">
        <v>#VALUE!</v>
      </c>
      <c r="C6" s="3">
        <v>2017</v>
      </c>
      <c r="D6" s="3">
        <v>2018</v>
      </c>
      <c r="E6" s="3">
        <v>2019</v>
      </c>
      <c r="F6" s="3">
        <v>2020</v>
      </c>
      <c r="G6" s="3">
        <v>2021</v>
      </c>
      <c r="H6" s="3">
        <v>2022</v>
      </c>
      <c r="I6" s="3">
        <v>2023</v>
      </c>
      <c r="J6" s="459">
        <v>2024</v>
      </c>
      <c r="K6" s="3">
        <v>2025</v>
      </c>
      <c r="L6" s="3">
        <v>2026</v>
      </c>
      <c r="M6" s="3">
        <v>2027</v>
      </c>
      <c r="N6" s="3">
        <v>2028</v>
      </c>
    </row>
    <row r="7" spans="2:14" ht="25.5">
      <c r="B7" s="4" t="s">
        <v>267</v>
      </c>
      <c r="C7" s="5">
        <f>+C71</f>
        <v>106835735000</v>
      </c>
      <c r="D7" s="5">
        <f t="shared" ref="D7:I7" si="0">+D71</f>
        <v>74152970000</v>
      </c>
      <c r="E7" s="5">
        <f t="shared" si="0"/>
        <v>75692564000</v>
      </c>
      <c r="F7" s="5">
        <f t="shared" si="0"/>
        <v>90664627000</v>
      </c>
      <c r="G7" s="5">
        <f t="shared" si="0"/>
        <v>63045514000</v>
      </c>
      <c r="H7" s="5">
        <f t="shared" si="0"/>
        <v>47079707000</v>
      </c>
      <c r="I7" s="5">
        <f t="shared" si="0"/>
        <v>95023798000</v>
      </c>
      <c r="J7" s="416">
        <f t="shared" ref="J7:N7" si="1">+J71</f>
        <v>122681361000</v>
      </c>
      <c r="K7" s="387">
        <f t="shared" si="1"/>
        <v>0</v>
      </c>
      <c r="L7" s="5">
        <f t="shared" si="1"/>
        <v>0</v>
      </c>
      <c r="M7" s="5">
        <f t="shared" si="1"/>
        <v>0</v>
      </c>
      <c r="N7" s="5">
        <f t="shared" si="1"/>
        <v>0</v>
      </c>
    </row>
    <row r="8" spans="2:14" ht="25.5">
      <c r="B8" s="6" t="s">
        <v>268</v>
      </c>
      <c r="C8" s="7">
        <v>0</v>
      </c>
      <c r="D8" s="7">
        <v>0</v>
      </c>
      <c r="E8" s="7">
        <v>0</v>
      </c>
      <c r="F8" s="7">
        <v>0</v>
      </c>
      <c r="G8" s="7">
        <v>0</v>
      </c>
      <c r="H8" s="7">
        <v>0</v>
      </c>
      <c r="I8" s="7">
        <v>0</v>
      </c>
      <c r="J8" s="417">
        <v>0</v>
      </c>
      <c r="K8" s="388">
        <v>0</v>
      </c>
      <c r="L8" s="7">
        <v>0</v>
      </c>
      <c r="M8" s="7">
        <v>0</v>
      </c>
      <c r="N8" s="7">
        <v>0</v>
      </c>
    </row>
    <row r="9" spans="2:14" ht="25.5">
      <c r="B9" s="4" t="s">
        <v>269</v>
      </c>
      <c r="C9" s="5">
        <f>+C80</f>
        <v>452454294000</v>
      </c>
      <c r="D9" s="5">
        <f t="shared" ref="D9:I10" si="2">+D80</f>
        <v>457699233000</v>
      </c>
      <c r="E9" s="5">
        <f t="shared" si="2"/>
        <v>516817122000</v>
      </c>
      <c r="F9" s="5">
        <f t="shared" si="2"/>
        <v>521204053000</v>
      </c>
      <c r="G9" s="5">
        <f t="shared" si="2"/>
        <v>494282056000</v>
      </c>
      <c r="H9" s="5">
        <f t="shared" si="2"/>
        <v>499374563000</v>
      </c>
      <c r="I9" s="5">
        <f t="shared" si="2"/>
        <v>522497691000</v>
      </c>
      <c r="J9" s="416">
        <f t="shared" ref="J9:N9" si="3">+J80</f>
        <v>555132195000</v>
      </c>
      <c r="K9" s="387">
        <f t="shared" si="3"/>
        <v>0</v>
      </c>
      <c r="L9" s="5">
        <f t="shared" si="3"/>
        <v>0</v>
      </c>
      <c r="M9" s="5">
        <f t="shared" si="3"/>
        <v>0</v>
      </c>
      <c r="N9" s="5">
        <f t="shared" si="3"/>
        <v>0</v>
      </c>
    </row>
    <row r="10" spans="2:14" ht="25.5">
      <c r="B10" s="6" t="s">
        <v>270</v>
      </c>
      <c r="C10" s="7">
        <f>+C81</f>
        <v>247403057000</v>
      </c>
      <c r="D10" s="7">
        <f t="shared" si="2"/>
        <v>254201735000</v>
      </c>
      <c r="E10" s="7">
        <f t="shared" si="2"/>
        <v>305961667000</v>
      </c>
      <c r="F10" s="7">
        <f t="shared" si="2"/>
        <v>308725396000</v>
      </c>
      <c r="G10" s="7">
        <f t="shared" si="2"/>
        <v>284461896000</v>
      </c>
      <c r="H10" s="7">
        <f t="shared" si="2"/>
        <v>295637992000</v>
      </c>
      <c r="I10" s="7">
        <f t="shared" si="2"/>
        <v>321203585000</v>
      </c>
      <c r="J10" s="417">
        <f t="shared" ref="J10:N10" si="4">+J81</f>
        <v>346285329000</v>
      </c>
      <c r="K10" s="388">
        <f t="shared" si="4"/>
        <v>0</v>
      </c>
      <c r="L10" s="7">
        <f t="shared" si="4"/>
        <v>0</v>
      </c>
      <c r="M10" s="7">
        <f t="shared" si="4"/>
        <v>0</v>
      </c>
      <c r="N10" s="7">
        <f t="shared" si="4"/>
        <v>0</v>
      </c>
    </row>
    <row r="11" spans="2:14" ht="25.5">
      <c r="B11" s="6" t="s">
        <v>271</v>
      </c>
      <c r="C11" s="7">
        <f>+C84</f>
        <v>187962187000</v>
      </c>
      <c r="D11" s="7">
        <f t="shared" ref="D11:I11" si="5">+D84</f>
        <v>187572055000</v>
      </c>
      <c r="E11" s="7">
        <f t="shared" si="5"/>
        <v>187542539000</v>
      </c>
      <c r="F11" s="7">
        <f t="shared" si="5"/>
        <v>188298526000</v>
      </c>
      <c r="G11" s="7">
        <f t="shared" si="5"/>
        <v>188191450000</v>
      </c>
      <c r="H11" s="7">
        <f t="shared" si="5"/>
        <v>188000173000</v>
      </c>
      <c r="I11" s="7">
        <f t="shared" si="5"/>
        <v>188488444000</v>
      </c>
      <c r="J11" s="417">
        <f t="shared" ref="J11:N11" si="6">+J84</f>
        <v>187630376000</v>
      </c>
      <c r="K11" s="388">
        <f t="shared" si="6"/>
        <v>0</v>
      </c>
      <c r="L11" s="7">
        <f t="shared" si="6"/>
        <v>0</v>
      </c>
      <c r="M11" s="7">
        <f t="shared" si="6"/>
        <v>0</v>
      </c>
      <c r="N11" s="7">
        <f t="shared" si="6"/>
        <v>0</v>
      </c>
    </row>
    <row r="12" spans="2:14" ht="25.5">
      <c r="B12" s="8" t="s">
        <v>272</v>
      </c>
      <c r="C12" s="9">
        <f>+C7+C9</f>
        <v>559290029000</v>
      </c>
      <c r="D12" s="9">
        <f t="shared" ref="D12:I12" si="7">+D7+D9</f>
        <v>531852203000</v>
      </c>
      <c r="E12" s="9">
        <f t="shared" si="7"/>
        <v>592509686000</v>
      </c>
      <c r="F12" s="9">
        <f t="shared" si="7"/>
        <v>611868680000</v>
      </c>
      <c r="G12" s="9">
        <f t="shared" si="7"/>
        <v>557327570000</v>
      </c>
      <c r="H12" s="9">
        <f t="shared" si="7"/>
        <v>546454270000</v>
      </c>
      <c r="I12" s="9">
        <f t="shared" si="7"/>
        <v>617521489000</v>
      </c>
      <c r="J12" s="418">
        <f t="shared" ref="J12:N12" si="8">+J7+J9</f>
        <v>677813556000</v>
      </c>
      <c r="K12" s="389">
        <f t="shared" si="8"/>
        <v>0</v>
      </c>
      <c r="L12" s="9">
        <f t="shared" si="8"/>
        <v>0</v>
      </c>
      <c r="M12" s="9">
        <f t="shared" si="8"/>
        <v>0</v>
      </c>
      <c r="N12" s="9">
        <f t="shared" si="8"/>
        <v>0</v>
      </c>
    </row>
    <row r="13" spans="2:14" ht="25.5">
      <c r="B13" s="10" t="s">
        <v>273</v>
      </c>
      <c r="C13" s="11">
        <f>+C93</f>
        <v>49180754000</v>
      </c>
      <c r="D13" s="11">
        <f t="shared" ref="D13:I13" si="9">+D93</f>
        <v>51453291000</v>
      </c>
      <c r="E13" s="11">
        <f t="shared" si="9"/>
        <v>62973146000</v>
      </c>
      <c r="F13" s="11">
        <f t="shared" si="9"/>
        <v>122980590000</v>
      </c>
      <c r="G13" s="11">
        <f t="shared" si="9"/>
        <v>75496876000</v>
      </c>
      <c r="H13" s="11">
        <f t="shared" si="9"/>
        <v>55396016000</v>
      </c>
      <c r="I13" s="11">
        <f t="shared" si="9"/>
        <v>95915328000</v>
      </c>
      <c r="J13" s="419">
        <f t="shared" ref="J13:N13" si="10">+J93</f>
        <v>121562114000</v>
      </c>
      <c r="K13" s="390">
        <f t="shared" si="10"/>
        <v>0</v>
      </c>
      <c r="L13" s="11">
        <f t="shared" si="10"/>
        <v>0</v>
      </c>
      <c r="M13" s="11">
        <f t="shared" si="10"/>
        <v>0</v>
      </c>
      <c r="N13" s="11">
        <f t="shared" si="10"/>
        <v>0</v>
      </c>
    </row>
    <row r="14" spans="2:14" ht="25.5">
      <c r="B14" s="10" t="s">
        <v>274</v>
      </c>
      <c r="C14" s="11">
        <f>+C102</f>
        <v>50100031000</v>
      </c>
      <c r="D14" s="11">
        <f t="shared" ref="D14:I14" si="11">+D102</f>
        <v>51014275000</v>
      </c>
      <c r="E14" s="11">
        <f t="shared" si="11"/>
        <v>69621044000</v>
      </c>
      <c r="F14" s="11">
        <f t="shared" si="11"/>
        <v>72124110000</v>
      </c>
      <c r="G14" s="11">
        <f t="shared" si="11"/>
        <v>66972919000</v>
      </c>
      <c r="H14" s="11">
        <f t="shared" si="11"/>
        <v>64324540000</v>
      </c>
      <c r="I14" s="11">
        <f t="shared" si="11"/>
        <v>69239170000</v>
      </c>
      <c r="J14" s="419">
        <f t="shared" ref="J14:N14" si="12">+J102</f>
        <v>81498345000</v>
      </c>
      <c r="K14" s="390">
        <f t="shared" si="12"/>
        <v>0</v>
      </c>
      <c r="L14" s="11">
        <f t="shared" si="12"/>
        <v>0</v>
      </c>
      <c r="M14" s="11">
        <f t="shared" si="12"/>
        <v>0</v>
      </c>
      <c r="N14" s="11">
        <f t="shared" si="12"/>
        <v>0</v>
      </c>
    </row>
    <row r="15" spans="2:14" ht="25.5">
      <c r="B15" s="12" t="s">
        <v>275</v>
      </c>
      <c r="C15" s="13">
        <f>+C14+C13</f>
        <v>99280785000</v>
      </c>
      <c r="D15" s="13">
        <f t="shared" ref="D15:I15" si="13">+D14+D13</f>
        <v>102467566000</v>
      </c>
      <c r="E15" s="13">
        <f t="shared" si="13"/>
        <v>132594190000</v>
      </c>
      <c r="F15" s="13">
        <f t="shared" si="13"/>
        <v>195104700000</v>
      </c>
      <c r="G15" s="13">
        <f t="shared" si="13"/>
        <v>142469795000</v>
      </c>
      <c r="H15" s="13">
        <f t="shared" si="13"/>
        <v>119720556000</v>
      </c>
      <c r="I15" s="13">
        <f t="shared" si="13"/>
        <v>165154498000</v>
      </c>
      <c r="J15" s="420">
        <f t="shared" ref="J15:N15" si="14">+J14+J13</f>
        <v>203060459000</v>
      </c>
      <c r="K15" s="391">
        <f t="shared" si="14"/>
        <v>0</v>
      </c>
      <c r="L15" s="13">
        <f t="shared" si="14"/>
        <v>0</v>
      </c>
      <c r="M15" s="13">
        <f t="shared" si="14"/>
        <v>0</v>
      </c>
      <c r="N15" s="13">
        <f t="shared" si="14"/>
        <v>0</v>
      </c>
    </row>
    <row r="16" spans="2:14" ht="25.5">
      <c r="B16" s="14" t="s">
        <v>276</v>
      </c>
      <c r="C16" s="15">
        <f>+C114</f>
        <v>461009244000</v>
      </c>
      <c r="D16" s="15">
        <f t="shared" ref="D16:I16" si="15">+D114</f>
        <v>429384637000</v>
      </c>
      <c r="E16" s="15">
        <f t="shared" si="15"/>
        <v>459915496000</v>
      </c>
      <c r="F16" s="15">
        <f t="shared" si="15"/>
        <v>416763980000</v>
      </c>
      <c r="G16" s="15">
        <f t="shared" si="15"/>
        <v>414857775000</v>
      </c>
      <c r="H16" s="15">
        <f t="shared" si="15"/>
        <v>426733714000</v>
      </c>
      <c r="I16" s="15">
        <f t="shared" si="15"/>
        <v>452366991000</v>
      </c>
      <c r="J16" s="421">
        <f t="shared" ref="J16:N16" si="16">+J114</f>
        <v>474753097000</v>
      </c>
      <c r="K16" s="392">
        <f t="shared" si="16"/>
        <v>0</v>
      </c>
      <c r="L16" s="15">
        <f t="shared" si="16"/>
        <v>0</v>
      </c>
      <c r="M16" s="15">
        <f t="shared" si="16"/>
        <v>0</v>
      </c>
      <c r="N16" s="15">
        <f t="shared" si="16"/>
        <v>0</v>
      </c>
    </row>
    <row r="17" spans="2:14" ht="25.5">
      <c r="B17" s="16" t="s">
        <v>277</v>
      </c>
      <c r="C17" s="17">
        <f>+C16-C11</f>
        <v>273047057000</v>
      </c>
      <c r="D17" s="17">
        <f t="shared" ref="D17:I17" si="17">+D16-D11</f>
        <v>241812582000</v>
      </c>
      <c r="E17" s="17">
        <f t="shared" si="17"/>
        <v>272372957000</v>
      </c>
      <c r="F17" s="17">
        <f t="shared" si="17"/>
        <v>228465454000</v>
      </c>
      <c r="G17" s="17">
        <f t="shared" si="17"/>
        <v>226666325000</v>
      </c>
      <c r="H17" s="17">
        <f t="shared" si="17"/>
        <v>238733541000</v>
      </c>
      <c r="I17" s="17">
        <f t="shared" si="17"/>
        <v>263878547000</v>
      </c>
      <c r="J17" s="422">
        <f t="shared" ref="J17:N17" si="18">+J16-J11</f>
        <v>287122721000</v>
      </c>
      <c r="K17" s="393">
        <f t="shared" si="18"/>
        <v>0</v>
      </c>
      <c r="L17" s="17">
        <f t="shared" si="18"/>
        <v>0</v>
      </c>
      <c r="M17" s="17">
        <f t="shared" si="18"/>
        <v>0</v>
      </c>
      <c r="N17" s="17">
        <f t="shared" si="18"/>
        <v>0</v>
      </c>
    </row>
    <row r="18" spans="2:14" ht="25.5">
      <c r="B18" s="79" t="s">
        <v>278</v>
      </c>
      <c r="C18" s="80">
        <v>3123767502</v>
      </c>
      <c r="D18" s="80">
        <v>3123767502</v>
      </c>
      <c r="E18" s="80">
        <v>3123767502</v>
      </c>
      <c r="F18" s="80">
        <v>3123767502</v>
      </c>
      <c r="G18" s="80">
        <v>3123767502</v>
      </c>
      <c r="H18" s="80">
        <v>3123767502</v>
      </c>
      <c r="I18" s="80">
        <v>3123767502</v>
      </c>
      <c r="J18" s="423">
        <v>3123767502</v>
      </c>
      <c r="K18" s="394"/>
      <c r="L18" s="80"/>
      <c r="M18" s="80"/>
      <c r="N18" s="80"/>
    </row>
    <row r="20" spans="2:14" ht="25.5">
      <c r="B20" s="18" t="s">
        <v>279</v>
      </c>
      <c r="C20" s="19">
        <f t="shared" ref="C20:I20" si="19">(C16/C18)</f>
        <v>147.58116399662833</v>
      </c>
      <c r="D20" s="19">
        <f t="shared" si="19"/>
        <v>137.4572969099286</v>
      </c>
      <c r="E20" s="19">
        <f t="shared" si="19"/>
        <v>147.23102654264056</v>
      </c>
      <c r="F20" s="19">
        <f t="shared" si="19"/>
        <v>133.41709321617753</v>
      </c>
      <c r="G20" s="19">
        <f t="shared" si="19"/>
        <v>132.80686694332604</v>
      </c>
      <c r="H20" s="19">
        <f t="shared" si="19"/>
        <v>136.60866685077639</v>
      </c>
      <c r="I20" s="19">
        <f t="shared" si="19"/>
        <v>144.81455188658276</v>
      </c>
      <c r="J20" s="424">
        <f t="shared" ref="J20:N20" si="20">(J16/J18)</f>
        <v>151.98093222240072</v>
      </c>
      <c r="K20" s="19" t="e">
        <f t="shared" si="20"/>
        <v>#DIV/0!</v>
      </c>
      <c r="L20" s="19" t="e">
        <f t="shared" si="20"/>
        <v>#DIV/0!</v>
      </c>
      <c r="M20" s="19" t="e">
        <f t="shared" si="20"/>
        <v>#DIV/0!</v>
      </c>
      <c r="N20" s="19" t="e">
        <f t="shared" si="20"/>
        <v>#DIV/0!</v>
      </c>
    </row>
    <row r="21" spans="2:14" ht="25.5">
      <c r="B21" s="20" t="s">
        <v>280</v>
      </c>
      <c r="C21" s="21">
        <f t="shared" ref="C21:I21" si="21">+C17/C18</f>
        <v>87.409532503677354</v>
      </c>
      <c r="D21" s="21">
        <f t="shared" si="21"/>
        <v>77.410556914104163</v>
      </c>
      <c r="E21" s="21">
        <f t="shared" si="21"/>
        <v>87.193735393435176</v>
      </c>
      <c r="F21" s="21">
        <f t="shared" si="21"/>
        <v>73.137790777874613</v>
      </c>
      <c r="G21" s="21">
        <f t="shared" si="21"/>
        <v>72.56184234418096</v>
      </c>
      <c r="H21" s="21">
        <f t="shared" si="21"/>
        <v>76.424875041804569</v>
      </c>
      <c r="I21" s="21">
        <f t="shared" si="21"/>
        <v>84.474451709690655</v>
      </c>
      <c r="J21" s="425">
        <f t="shared" ref="J21:N21" si="22">+J17/J18</f>
        <v>91.91552214310731</v>
      </c>
      <c r="K21" s="21" t="e">
        <f t="shared" si="22"/>
        <v>#DIV/0!</v>
      </c>
      <c r="L21" s="21" t="e">
        <f t="shared" si="22"/>
        <v>#DIV/0!</v>
      </c>
      <c r="M21" s="21" t="e">
        <f t="shared" si="22"/>
        <v>#DIV/0!</v>
      </c>
      <c r="N21" s="21" t="e">
        <f t="shared" si="22"/>
        <v>#DIV/0!</v>
      </c>
    </row>
    <row r="22" spans="2:14" ht="25.5">
      <c r="B22" s="20" t="s">
        <v>281</v>
      </c>
      <c r="C22" s="21">
        <f t="shared" ref="C22:I22" si="23">+C10/C18</f>
        <v>79.200214754010844</v>
      </c>
      <c r="D22" s="21">
        <f t="shared" si="23"/>
        <v>81.376650098717874</v>
      </c>
      <c r="E22" s="21">
        <f t="shared" si="23"/>
        <v>97.946363423048382</v>
      </c>
      <c r="F22" s="21">
        <f t="shared" si="23"/>
        <v>98.831105644814414</v>
      </c>
      <c r="G22" s="21">
        <f t="shared" si="23"/>
        <v>91.06372219375244</v>
      </c>
      <c r="H22" s="21">
        <f t="shared" si="23"/>
        <v>94.641483980711442</v>
      </c>
      <c r="I22" s="21">
        <f t="shared" si="23"/>
        <v>102.825701590899</v>
      </c>
      <c r="J22" s="425">
        <f t="shared" ref="J22:N22" si="24">+J10/J18</f>
        <v>110.85502643147736</v>
      </c>
      <c r="K22" s="21" t="e">
        <f t="shared" si="24"/>
        <v>#DIV/0!</v>
      </c>
      <c r="L22" s="21" t="e">
        <f t="shared" si="24"/>
        <v>#DIV/0!</v>
      </c>
      <c r="M22" s="21" t="e">
        <f t="shared" si="24"/>
        <v>#DIV/0!</v>
      </c>
      <c r="N22" s="21" t="e">
        <f t="shared" si="24"/>
        <v>#DIV/0!</v>
      </c>
    </row>
    <row r="23" spans="2:14" ht="25.5">
      <c r="B23" s="76" t="s">
        <v>282</v>
      </c>
      <c r="C23" s="77">
        <v>215.02</v>
      </c>
      <c r="D23" s="77">
        <v>307.42</v>
      </c>
      <c r="E23" s="77">
        <v>275.32</v>
      </c>
      <c r="F23" s="77">
        <v>250.67</v>
      </c>
      <c r="G23" s="77">
        <v>250.67</v>
      </c>
      <c r="H23" s="77">
        <v>250.67</v>
      </c>
      <c r="I23" s="77">
        <v>250.67</v>
      </c>
      <c r="J23" s="850">
        <v>250.67</v>
      </c>
      <c r="K23" s="77"/>
      <c r="L23" s="77"/>
      <c r="M23" s="77"/>
      <c r="N23" s="77"/>
    </row>
    <row r="24" spans="2:14" ht="25.5">
      <c r="B24" s="18" t="s">
        <v>283</v>
      </c>
      <c r="C24" s="22">
        <f t="shared" ref="C24:H24" si="25">+C23/C43</f>
        <v>10.432799611838915</v>
      </c>
      <c r="D24" s="22">
        <f t="shared" si="25"/>
        <v>17.069405885619101</v>
      </c>
      <c r="E24" s="22">
        <f t="shared" si="25"/>
        <v>9.8787226408324358</v>
      </c>
      <c r="F24" s="22">
        <f t="shared" si="25"/>
        <v>13.069343065693431</v>
      </c>
      <c r="G24" s="22">
        <f t="shared" si="25"/>
        <v>10.70324508966695</v>
      </c>
      <c r="H24" s="22">
        <f t="shared" si="25"/>
        <v>8.8669968164131578</v>
      </c>
      <c r="I24" s="22">
        <f t="shared" ref="I24:N24" si="26">+I23/I43</f>
        <v>7.3424135910954886</v>
      </c>
      <c r="J24" s="427">
        <f t="shared" si="26"/>
        <v>7.5960606060606057</v>
      </c>
      <c r="K24" s="22" t="e">
        <f t="shared" si="26"/>
        <v>#DIV/0!</v>
      </c>
      <c r="L24" s="22" t="e">
        <f t="shared" si="26"/>
        <v>#DIV/0!</v>
      </c>
      <c r="M24" s="22" t="e">
        <f t="shared" si="26"/>
        <v>#DIV/0!</v>
      </c>
      <c r="N24" s="22" t="e">
        <f t="shared" si="26"/>
        <v>#DIV/0!</v>
      </c>
    </row>
    <row r="25" spans="2:14" ht="25.5">
      <c r="B25" s="18" t="s">
        <v>301</v>
      </c>
      <c r="C25" s="22">
        <f t="shared" ref="C25:I25" si="27">+C23/C20</f>
        <v>1.4569609981183804</v>
      </c>
      <c r="D25" s="22">
        <f t="shared" si="27"/>
        <v>2.2364763960216862</v>
      </c>
      <c r="E25" s="22">
        <f t="shared" si="27"/>
        <v>1.8699862825466529</v>
      </c>
      <c r="F25" s="22">
        <f t="shared" si="27"/>
        <v>1.8788447114031781</v>
      </c>
      <c r="G25" s="22">
        <f>+G23/G20</f>
        <v>1.8874777017891011</v>
      </c>
      <c r="H25" s="22">
        <f t="shared" si="27"/>
        <v>1.8349494638859025</v>
      </c>
      <c r="I25" s="22">
        <f t="shared" si="27"/>
        <v>1.7309724522458358</v>
      </c>
      <c r="J25" s="427">
        <f t="shared" ref="J25:N25" si="28">+J23/J20</f>
        <v>1.6493516412518314</v>
      </c>
      <c r="K25" s="22" t="e">
        <f t="shared" si="28"/>
        <v>#DIV/0!</v>
      </c>
      <c r="L25" s="22" t="e">
        <f t="shared" si="28"/>
        <v>#DIV/0!</v>
      </c>
      <c r="M25" s="22" t="e">
        <f t="shared" si="28"/>
        <v>#DIV/0!</v>
      </c>
      <c r="N25" s="22" t="e">
        <f t="shared" si="28"/>
        <v>#DIV/0!</v>
      </c>
    </row>
    <row r="26" spans="2:14" ht="25.5">
      <c r="B26" s="18" t="s">
        <v>285</v>
      </c>
      <c r="C26" s="22">
        <f>+C24*C25</f>
        <v>15.200182135633877</v>
      </c>
      <c r="D26" s="22">
        <f t="shared" ref="D26:I26" si="29">+D24*D25</f>
        <v>38.175323357300769</v>
      </c>
      <c r="E26" s="22">
        <f t="shared" si="29"/>
        <v>18.4730758274397</v>
      </c>
      <c r="F26" s="22">
        <f t="shared" si="29"/>
        <v>24.555266100491902</v>
      </c>
      <c r="G26" s="22">
        <f t="shared" si="29"/>
        <v>20.202136443530058</v>
      </c>
      <c r="H26" s="22">
        <f t="shared" si="29"/>
        <v>16.270491054555329</v>
      </c>
      <c r="I26" s="22">
        <f t="shared" si="29"/>
        <v>12.709515659181712</v>
      </c>
      <c r="J26" s="427">
        <f t="shared" ref="J26:N26" si="30">+J24*J25</f>
        <v>12.528575027654441</v>
      </c>
      <c r="K26" s="22" t="e">
        <f t="shared" si="30"/>
        <v>#DIV/0!</v>
      </c>
      <c r="L26" s="22" t="e">
        <f t="shared" si="30"/>
        <v>#DIV/0!</v>
      </c>
      <c r="M26" s="22" t="e">
        <f t="shared" si="30"/>
        <v>#DIV/0!</v>
      </c>
      <c r="N26" s="22" t="e">
        <f t="shared" si="30"/>
        <v>#DIV/0!</v>
      </c>
    </row>
    <row r="27" spans="2:14" ht="25.5">
      <c r="B27" s="23" t="s">
        <v>286</v>
      </c>
      <c r="C27" s="24">
        <v>1</v>
      </c>
      <c r="D27" s="24">
        <v>1</v>
      </c>
      <c r="E27" s="24">
        <v>2</v>
      </c>
      <c r="F27" s="24">
        <v>1</v>
      </c>
      <c r="G27" s="24">
        <v>2</v>
      </c>
      <c r="H27" s="24">
        <v>2</v>
      </c>
      <c r="I27" s="24">
        <v>2</v>
      </c>
      <c r="J27" s="428">
        <v>2</v>
      </c>
      <c r="K27" s="24"/>
      <c r="L27" s="24"/>
      <c r="M27" s="24"/>
      <c r="N27" s="24"/>
    </row>
    <row r="28" spans="2:14" ht="25.5">
      <c r="B28" s="23" t="s">
        <v>287</v>
      </c>
      <c r="C28" s="24">
        <v>2</v>
      </c>
      <c r="D28" s="24">
        <v>2</v>
      </c>
      <c r="E28" s="24">
        <v>2.5</v>
      </c>
      <c r="F28" s="24">
        <v>2</v>
      </c>
      <c r="G28" s="24">
        <v>2.5</v>
      </c>
      <c r="H28" s="24">
        <v>2.5</v>
      </c>
      <c r="I28" s="24">
        <v>2.5</v>
      </c>
      <c r="J28" s="428">
        <v>2.5</v>
      </c>
      <c r="K28" s="24"/>
      <c r="L28" s="24"/>
      <c r="M28" s="24"/>
      <c r="N28" s="24"/>
    </row>
    <row r="29" spans="2:14" ht="25.5">
      <c r="B29" s="25" t="s">
        <v>288</v>
      </c>
      <c r="C29" s="26">
        <f>+C27*C20</f>
        <v>147.58116399662833</v>
      </c>
      <c r="D29" s="26">
        <f t="shared" ref="D29:I29" si="31">+D27*D20</f>
        <v>137.4572969099286</v>
      </c>
      <c r="E29" s="26">
        <f t="shared" si="31"/>
        <v>294.46205308528113</v>
      </c>
      <c r="F29" s="26">
        <f t="shared" si="31"/>
        <v>133.41709321617753</v>
      </c>
      <c r="G29" s="26">
        <f t="shared" si="31"/>
        <v>265.61373388665208</v>
      </c>
      <c r="H29" s="26">
        <f t="shared" si="31"/>
        <v>273.21733370155277</v>
      </c>
      <c r="I29" s="26">
        <f t="shared" si="31"/>
        <v>289.62910377316553</v>
      </c>
      <c r="J29" s="429">
        <f>+J27*J20</f>
        <v>303.96186444480145</v>
      </c>
      <c r="K29" s="26" t="e">
        <f t="shared" ref="K29:N29" si="32">+K27*K20</f>
        <v>#DIV/0!</v>
      </c>
      <c r="L29" s="26" t="e">
        <f t="shared" si="32"/>
        <v>#DIV/0!</v>
      </c>
      <c r="M29" s="26" t="e">
        <f t="shared" si="32"/>
        <v>#DIV/0!</v>
      </c>
      <c r="N29" s="26" t="e">
        <f t="shared" si="32"/>
        <v>#DIV/0!</v>
      </c>
    </row>
    <row r="30" spans="2:14" ht="25.5">
      <c r="B30" s="25" t="s">
        <v>289</v>
      </c>
      <c r="C30" s="26">
        <f>AVERAGE(C29,C31)</f>
        <v>221.3717459949425</v>
      </c>
      <c r="D30" s="26">
        <f t="shared" ref="D30:I30" si="33">AVERAGE(D29,D31)</f>
        <v>206.18594536489292</v>
      </c>
      <c r="E30" s="26">
        <f t="shared" si="33"/>
        <v>331.26980972094128</v>
      </c>
      <c r="F30" s="26">
        <f t="shared" si="33"/>
        <v>200.1256398242663</v>
      </c>
      <c r="G30" s="26">
        <f t="shared" si="33"/>
        <v>298.81545062248358</v>
      </c>
      <c r="H30" s="26">
        <f t="shared" si="33"/>
        <v>307.36950041424689</v>
      </c>
      <c r="I30" s="26">
        <f t="shared" si="33"/>
        <v>325.83274174481119</v>
      </c>
      <c r="J30" s="429">
        <f>AVERAGE(J29,J31)</f>
        <v>341.95709750040163</v>
      </c>
      <c r="K30" s="26" t="e">
        <f t="shared" ref="K30:N30" si="34">AVERAGE(K29,K31)</f>
        <v>#DIV/0!</v>
      </c>
      <c r="L30" s="26" t="e">
        <f t="shared" si="34"/>
        <v>#DIV/0!</v>
      </c>
      <c r="M30" s="26" t="e">
        <f t="shared" si="34"/>
        <v>#DIV/0!</v>
      </c>
      <c r="N30" s="26" t="e">
        <f t="shared" si="34"/>
        <v>#DIV/0!</v>
      </c>
    </row>
    <row r="31" spans="2:14" ht="25.5">
      <c r="B31" s="25" t="s">
        <v>290</v>
      </c>
      <c r="C31" s="26">
        <f>+C20*C28</f>
        <v>295.16232799325667</v>
      </c>
      <c r="D31" s="26">
        <f t="shared" ref="D31:I31" si="35">+D20*D28</f>
        <v>274.9145938198572</v>
      </c>
      <c r="E31" s="26">
        <f t="shared" si="35"/>
        <v>368.07756635660144</v>
      </c>
      <c r="F31" s="26">
        <f t="shared" si="35"/>
        <v>266.83418643235507</v>
      </c>
      <c r="G31" s="26">
        <f t="shared" si="35"/>
        <v>332.01716735831508</v>
      </c>
      <c r="H31" s="26">
        <f t="shared" si="35"/>
        <v>341.521667126941</v>
      </c>
      <c r="I31" s="26">
        <f t="shared" si="35"/>
        <v>362.03637971645691</v>
      </c>
      <c r="J31" s="429">
        <f>+J20*J28</f>
        <v>379.95233055600181</v>
      </c>
      <c r="K31" s="26" t="e">
        <f t="shared" ref="K31:N31" si="36">+K20*K28</f>
        <v>#DIV/0!</v>
      </c>
      <c r="L31" s="26" t="e">
        <f t="shared" si="36"/>
        <v>#DIV/0!</v>
      </c>
      <c r="M31" s="26" t="e">
        <f t="shared" si="36"/>
        <v>#DIV/0!</v>
      </c>
      <c r="N31" s="26" t="e">
        <f t="shared" si="36"/>
        <v>#DIV/0!</v>
      </c>
    </row>
    <row r="33" spans="2:14" ht="25.5">
      <c r="B33" s="27" t="s">
        <v>291</v>
      </c>
      <c r="C33" s="28">
        <f t="shared" ref="C33:N33" si="37">C7-C13</f>
        <v>57654981000</v>
      </c>
      <c r="D33" s="28">
        <f t="shared" si="37"/>
        <v>22699679000</v>
      </c>
      <c r="E33" s="28">
        <f t="shared" si="37"/>
        <v>12719418000</v>
      </c>
      <c r="F33" s="28">
        <f t="shared" si="37"/>
        <v>-32315963000</v>
      </c>
      <c r="G33" s="28">
        <f t="shared" si="37"/>
        <v>-12451362000</v>
      </c>
      <c r="H33" s="28">
        <f t="shared" si="37"/>
        <v>-8316309000</v>
      </c>
      <c r="I33" s="81">
        <f t="shared" si="37"/>
        <v>-891530000</v>
      </c>
      <c r="J33" s="430">
        <f t="shared" si="37"/>
        <v>1119247000</v>
      </c>
      <c r="K33" s="395">
        <f t="shared" si="37"/>
        <v>0</v>
      </c>
      <c r="L33" s="81">
        <f t="shared" si="37"/>
        <v>0</v>
      </c>
      <c r="M33" s="81">
        <f t="shared" si="37"/>
        <v>0</v>
      </c>
      <c r="N33" s="81">
        <f t="shared" si="37"/>
        <v>0</v>
      </c>
    </row>
    <row r="34" spans="2:14" ht="25.5">
      <c r="B34" s="30" t="s">
        <v>149</v>
      </c>
      <c r="C34" s="31">
        <f t="shared" ref="C34:N34" si="38">C7/C13</f>
        <v>2.1723077893437748</v>
      </c>
      <c r="D34" s="31">
        <f t="shared" si="38"/>
        <v>1.4411705948993623</v>
      </c>
      <c r="E34" s="31">
        <f t="shared" si="38"/>
        <v>1.2019816192762547</v>
      </c>
      <c r="F34" s="31">
        <f t="shared" si="38"/>
        <v>0.73722712665470214</v>
      </c>
      <c r="G34" s="31">
        <f t="shared" si="38"/>
        <v>0.83507447381001565</v>
      </c>
      <c r="H34" s="31">
        <f t="shared" si="38"/>
        <v>0.84987532316403402</v>
      </c>
      <c r="I34" s="31">
        <f t="shared" si="38"/>
        <v>0.99070503100401219</v>
      </c>
      <c r="J34" s="431">
        <f t="shared" si="38"/>
        <v>1.009207202500608</v>
      </c>
      <c r="K34" s="396" t="e">
        <f t="shared" si="38"/>
        <v>#DIV/0!</v>
      </c>
      <c r="L34" s="31" t="e">
        <f t="shared" si="38"/>
        <v>#DIV/0!</v>
      </c>
      <c r="M34" s="31" t="e">
        <f t="shared" si="38"/>
        <v>#DIV/0!</v>
      </c>
      <c r="N34" s="31" t="e">
        <f t="shared" si="38"/>
        <v>#DIV/0!</v>
      </c>
    </row>
    <row r="35" spans="2:14" ht="25.5">
      <c r="B35" s="30" t="s">
        <v>292</v>
      </c>
      <c r="C35" s="31">
        <f>+(C7-C8)/C13</f>
        <v>2.1723077893437748</v>
      </c>
      <c r="D35" s="31">
        <f t="shared" ref="D35:N35" si="39">+(D7-D8)/D13</f>
        <v>1.4411705948993623</v>
      </c>
      <c r="E35" s="31">
        <f t="shared" si="39"/>
        <v>1.2019816192762547</v>
      </c>
      <c r="F35" s="31">
        <f t="shared" si="39"/>
        <v>0.73722712665470214</v>
      </c>
      <c r="G35" s="31">
        <f t="shared" si="39"/>
        <v>0.83507447381001565</v>
      </c>
      <c r="H35" s="31">
        <f t="shared" si="39"/>
        <v>0.84987532316403402</v>
      </c>
      <c r="I35" s="31">
        <f t="shared" si="39"/>
        <v>0.99070503100401219</v>
      </c>
      <c r="J35" s="431">
        <f t="shared" si="39"/>
        <v>1.009207202500608</v>
      </c>
      <c r="K35" s="396" t="e">
        <f t="shared" si="39"/>
        <v>#DIV/0!</v>
      </c>
      <c r="L35" s="31" t="e">
        <f t="shared" si="39"/>
        <v>#DIV/0!</v>
      </c>
      <c r="M35" s="31" t="e">
        <f t="shared" si="39"/>
        <v>#DIV/0!</v>
      </c>
      <c r="N35" s="31" t="e">
        <f t="shared" si="39"/>
        <v>#DIV/0!</v>
      </c>
    </row>
    <row r="36" spans="2:14" ht="25.5">
      <c r="B36" s="32" t="s">
        <v>153</v>
      </c>
      <c r="C36" s="33">
        <f t="shared" ref="C36:N36" si="40">C15/C12</f>
        <v>0.17751216694764282</v>
      </c>
      <c r="D36" s="33">
        <f t="shared" si="40"/>
        <v>0.19266173087563576</v>
      </c>
      <c r="E36" s="33">
        <f t="shared" si="40"/>
        <v>0.22378400409812035</v>
      </c>
      <c r="F36" s="33">
        <f t="shared" si="40"/>
        <v>0.31886695033973628</v>
      </c>
      <c r="G36" s="33">
        <f t="shared" si="40"/>
        <v>0.25563026605699768</v>
      </c>
      <c r="H36" s="33">
        <f t="shared" si="40"/>
        <v>0.21908613871751795</v>
      </c>
      <c r="I36" s="33">
        <f t="shared" si="40"/>
        <v>0.26744736975460948</v>
      </c>
      <c r="J36" s="432">
        <f t="shared" si="40"/>
        <v>0.29958158434942839</v>
      </c>
      <c r="K36" s="397" t="e">
        <f t="shared" si="40"/>
        <v>#DIV/0!</v>
      </c>
      <c r="L36" s="33" t="e">
        <f t="shared" si="40"/>
        <v>#DIV/0!</v>
      </c>
      <c r="M36" s="33" t="e">
        <f t="shared" si="40"/>
        <v>#DIV/0!</v>
      </c>
      <c r="N36" s="33" t="e">
        <f t="shared" si="40"/>
        <v>#DIV/0!</v>
      </c>
    </row>
    <row r="37" spans="2:14" ht="18">
      <c r="I37" s="128"/>
      <c r="J37" s="488"/>
      <c r="K37" s="128"/>
      <c r="L37" s="128"/>
      <c r="M37" s="128"/>
      <c r="N37" s="128"/>
    </row>
    <row r="38" spans="2:14" ht="25.5">
      <c r="B38" s="35" t="s">
        <v>293</v>
      </c>
      <c r="C38" s="36">
        <f>+C118+C119</f>
        <v>153081797000</v>
      </c>
      <c r="D38" s="36">
        <f t="shared" ref="D38:I38" si="41">+D118+D119</f>
        <v>143493133000</v>
      </c>
      <c r="E38" s="36">
        <f t="shared" si="41"/>
        <v>189509366000</v>
      </c>
      <c r="F38" s="36">
        <f t="shared" si="41"/>
        <v>167313902000</v>
      </c>
      <c r="G38" s="36">
        <f t="shared" si="41"/>
        <v>175110953000</v>
      </c>
      <c r="H38" s="36">
        <f t="shared" si="41"/>
        <v>191817950000</v>
      </c>
      <c r="I38" s="36">
        <f t="shared" si="41"/>
        <v>221149543000</v>
      </c>
      <c r="J38" s="434">
        <f t="shared" ref="J38:N38" si="42">+J118+J119</f>
        <v>232088060000</v>
      </c>
      <c r="K38" s="398">
        <f t="shared" si="42"/>
        <v>0</v>
      </c>
      <c r="L38" s="36">
        <f t="shared" si="42"/>
        <v>0</v>
      </c>
      <c r="M38" s="36">
        <f t="shared" si="42"/>
        <v>0</v>
      </c>
      <c r="N38" s="36">
        <f t="shared" si="42"/>
        <v>0</v>
      </c>
    </row>
    <row r="39" spans="2:14" ht="25.5">
      <c r="B39" s="39" t="s">
        <v>181</v>
      </c>
      <c r="C39" s="40">
        <f>+C118+C119+C120+C123</f>
        <v>80444186000</v>
      </c>
      <c r="D39" s="40">
        <f t="shared" ref="D39:I39" si="43">+D118+D119+D120+D123</f>
        <v>69089992000</v>
      </c>
      <c r="E39" s="40">
        <f t="shared" si="43"/>
        <v>113115060000</v>
      </c>
      <c r="F39" s="40">
        <f t="shared" si="43"/>
        <v>85367914000</v>
      </c>
      <c r="G39" s="40">
        <f t="shared" si="43"/>
        <v>94674230000</v>
      </c>
      <c r="H39" s="40">
        <f t="shared" si="43"/>
        <v>108835835000</v>
      </c>
      <c r="I39" s="40">
        <f t="shared" si="43"/>
        <v>135181649000</v>
      </c>
      <c r="J39" s="435">
        <f t="shared" ref="J39:N39" si="44">+J118+J119+J120+J123</f>
        <v>137691293000</v>
      </c>
      <c r="K39" s="399">
        <f t="shared" si="44"/>
        <v>0</v>
      </c>
      <c r="L39" s="40">
        <f t="shared" si="44"/>
        <v>0</v>
      </c>
      <c r="M39" s="40">
        <f t="shared" si="44"/>
        <v>0</v>
      </c>
      <c r="N39" s="40">
        <f t="shared" si="44"/>
        <v>0</v>
      </c>
    </row>
    <row r="40" spans="2:14" ht="25.5">
      <c r="B40" s="35" t="s">
        <v>294</v>
      </c>
      <c r="C40" s="41">
        <f>C39/C38</f>
        <v>0.52549805121506377</v>
      </c>
      <c r="D40" s="41">
        <f t="shared" ref="D40:I40" si="45">D39/D38</f>
        <v>0.48148639977078206</v>
      </c>
      <c r="E40" s="41">
        <f t="shared" si="45"/>
        <v>0.59688374452162962</v>
      </c>
      <c r="F40" s="41">
        <f t="shared" si="45"/>
        <v>0.51022606597268882</v>
      </c>
      <c r="G40" s="41">
        <f t="shared" si="45"/>
        <v>0.54065281684578581</v>
      </c>
      <c r="H40" s="41">
        <f t="shared" si="45"/>
        <v>0.56739129471459793</v>
      </c>
      <c r="I40" s="41">
        <f t="shared" si="45"/>
        <v>0.61126804589417583</v>
      </c>
      <c r="J40" s="436">
        <f t="shared" ref="J40:N40" si="46">J39/J38</f>
        <v>0.59327176503608159</v>
      </c>
      <c r="K40" s="400" t="e">
        <f t="shared" si="46"/>
        <v>#DIV/0!</v>
      </c>
      <c r="L40" s="41" t="e">
        <f t="shared" si="46"/>
        <v>#DIV/0!</v>
      </c>
      <c r="M40" s="41" t="e">
        <f t="shared" si="46"/>
        <v>#DIV/0!</v>
      </c>
      <c r="N40" s="41" t="e">
        <f t="shared" si="46"/>
        <v>#DIV/0!</v>
      </c>
    </row>
    <row r="41" spans="2:14" ht="25.5">
      <c r="B41" s="43" t="s">
        <v>295</v>
      </c>
      <c r="C41" s="44">
        <f>+C134</f>
        <v>64365815000</v>
      </c>
      <c r="D41" s="44">
        <f t="shared" ref="D41:I41" si="47">+D134</f>
        <v>56257053000</v>
      </c>
      <c r="E41" s="44">
        <f t="shared" si="47"/>
        <v>87047237000</v>
      </c>
      <c r="F41" s="44">
        <f t="shared" si="47"/>
        <v>59912751000</v>
      </c>
      <c r="G41" s="44">
        <f t="shared" si="47"/>
        <v>73164253000</v>
      </c>
      <c r="H41" s="44">
        <f t="shared" si="47"/>
        <v>88294898000</v>
      </c>
      <c r="I41" s="44">
        <f t="shared" si="47"/>
        <v>106632475000</v>
      </c>
      <c r="J41" s="437">
        <f t="shared" ref="J41:N41" si="48">+J134</f>
        <v>102713160000</v>
      </c>
      <c r="K41" s="401">
        <f t="shared" si="48"/>
        <v>0</v>
      </c>
      <c r="L41" s="44">
        <f t="shared" si="48"/>
        <v>0</v>
      </c>
      <c r="M41" s="44">
        <f t="shared" si="48"/>
        <v>0</v>
      </c>
      <c r="N41" s="44">
        <f t="shared" si="48"/>
        <v>0</v>
      </c>
    </row>
    <row r="42" spans="2:14" ht="25.5">
      <c r="B42" s="30" t="s">
        <v>296</v>
      </c>
      <c r="C42" s="45">
        <f>C41/C38</f>
        <v>0.42046681095597538</v>
      </c>
      <c r="D42" s="45">
        <f t="shared" ref="D42:I42" si="49">D41/D38</f>
        <v>0.39205397376054224</v>
      </c>
      <c r="E42" s="45">
        <f t="shared" si="49"/>
        <v>0.45932947187422918</v>
      </c>
      <c r="F42" s="45">
        <f t="shared" si="49"/>
        <v>0.35808591087667063</v>
      </c>
      <c r="G42" s="45">
        <f t="shared" si="49"/>
        <v>0.41781654286354092</v>
      </c>
      <c r="H42" s="45">
        <f t="shared" si="49"/>
        <v>0.46030571174386964</v>
      </c>
      <c r="I42" s="45">
        <f t="shared" si="49"/>
        <v>0.4821736167910598</v>
      </c>
      <c r="J42" s="438">
        <f t="shared" ref="J42:N42" si="50">J41/J38</f>
        <v>0.44256115545108182</v>
      </c>
      <c r="K42" s="402" t="e">
        <f t="shared" si="50"/>
        <v>#DIV/0!</v>
      </c>
      <c r="L42" s="45" t="e">
        <f t="shared" si="50"/>
        <v>#DIV/0!</v>
      </c>
      <c r="M42" s="45" t="e">
        <f t="shared" si="50"/>
        <v>#DIV/0!</v>
      </c>
      <c r="N42" s="45" t="e">
        <f t="shared" si="50"/>
        <v>#DIV/0!</v>
      </c>
    </row>
    <row r="43" spans="2:14" ht="25.5">
      <c r="B43" s="46" t="s">
        <v>159</v>
      </c>
      <c r="C43" s="121">
        <f>+C135</f>
        <v>20.61</v>
      </c>
      <c r="D43" s="121">
        <f t="shared" ref="D43:I43" si="51">+D135</f>
        <v>18.010000000000002</v>
      </c>
      <c r="E43" s="121">
        <f t="shared" si="51"/>
        <v>27.87</v>
      </c>
      <c r="F43" s="121">
        <f t="shared" si="51"/>
        <v>19.18</v>
      </c>
      <c r="G43" s="121">
        <f t="shared" si="51"/>
        <v>23.42</v>
      </c>
      <c r="H43" s="121">
        <f t="shared" si="51"/>
        <v>28.27</v>
      </c>
      <c r="I43" s="121">
        <f t="shared" si="51"/>
        <v>34.14</v>
      </c>
      <c r="J43" s="481">
        <f t="shared" ref="J43:N43" si="52">+J135</f>
        <v>33</v>
      </c>
      <c r="K43" s="480">
        <f t="shared" si="52"/>
        <v>0</v>
      </c>
      <c r="L43" s="121">
        <f t="shared" si="52"/>
        <v>0</v>
      </c>
      <c r="M43" s="121">
        <f t="shared" si="52"/>
        <v>0</v>
      </c>
      <c r="N43" s="121">
        <f t="shared" si="52"/>
        <v>0</v>
      </c>
    </row>
    <row r="44" spans="2:14" ht="25.5">
      <c r="B44" s="48" t="s">
        <v>160</v>
      </c>
      <c r="C44" s="49">
        <f>C41/C16</f>
        <v>0.13961935869554928</v>
      </c>
      <c r="D44" s="49">
        <f t="shared" ref="D44:I44" si="53">D41/D16</f>
        <v>0.13101785241561867</v>
      </c>
      <c r="E44" s="49">
        <f t="shared" si="53"/>
        <v>0.189267893247937</v>
      </c>
      <c r="F44" s="49">
        <f t="shared" si="53"/>
        <v>0.14375702765867626</v>
      </c>
      <c r="G44" s="49">
        <f t="shared" si="53"/>
        <v>0.17635984525058016</v>
      </c>
      <c r="H44" s="49">
        <f t="shared" si="53"/>
        <v>0.20690865310913775</v>
      </c>
      <c r="I44" s="49">
        <f t="shared" si="53"/>
        <v>0.235721166931917</v>
      </c>
      <c r="J44" s="440">
        <f t="shared" ref="J44:N44" si="54">J41/J16</f>
        <v>0.21635068975653254</v>
      </c>
      <c r="K44" s="404" t="e">
        <f t="shared" si="54"/>
        <v>#DIV/0!</v>
      </c>
      <c r="L44" s="49" t="e">
        <f t="shared" si="54"/>
        <v>#DIV/0!</v>
      </c>
      <c r="M44" s="49" t="e">
        <f t="shared" si="54"/>
        <v>#DIV/0!</v>
      </c>
      <c r="N44" s="49" t="e">
        <f t="shared" si="54"/>
        <v>#DIV/0!</v>
      </c>
    </row>
    <row r="45" spans="2:14" ht="25.5">
      <c r="B45" s="48" t="s">
        <v>302</v>
      </c>
      <c r="C45" s="49">
        <f>AVERAGE(G44:I44)</f>
        <v>0.20632988843054498</v>
      </c>
      <c r="D45" s="49"/>
      <c r="E45" s="49"/>
      <c r="F45" s="49"/>
      <c r="G45" s="49"/>
      <c r="H45" s="49"/>
      <c r="I45" s="49"/>
      <c r="J45" s="440"/>
      <c r="K45" s="404"/>
      <c r="L45" s="49"/>
      <c r="M45" s="49"/>
      <c r="N45" s="49"/>
    </row>
    <row r="46" spans="2:14" ht="25.5">
      <c r="B46" s="48" t="s">
        <v>298</v>
      </c>
      <c r="C46" s="50">
        <f>+C148</f>
        <v>76354133000</v>
      </c>
      <c r="D46" s="50">
        <f t="shared" ref="D46:I46" si="55">+D148</f>
        <v>42451140000</v>
      </c>
      <c r="E46" s="50">
        <f t="shared" si="55"/>
        <v>44868907000</v>
      </c>
      <c r="F46" s="50">
        <f t="shared" si="55"/>
        <v>112938995000</v>
      </c>
      <c r="G46" s="50">
        <f t="shared" si="55"/>
        <v>-12149934000</v>
      </c>
      <c r="H46" s="50">
        <f t="shared" si="55"/>
        <v>68391131000</v>
      </c>
      <c r="I46" s="50">
        <f t="shared" si="55"/>
        <v>90202808000</v>
      </c>
      <c r="J46" s="441">
        <f t="shared" ref="J46:N46" si="56">+J148</f>
        <v>83687787000</v>
      </c>
      <c r="K46" s="405">
        <f t="shared" si="56"/>
        <v>0</v>
      </c>
      <c r="L46" s="50">
        <f t="shared" si="56"/>
        <v>0</v>
      </c>
      <c r="M46" s="50">
        <f t="shared" si="56"/>
        <v>0</v>
      </c>
      <c r="N46" s="50">
        <f t="shared" si="56"/>
        <v>0</v>
      </c>
    </row>
    <row r="47" spans="2:14" ht="25.5">
      <c r="B47" s="51" t="s">
        <v>111</v>
      </c>
      <c r="C47" s="51">
        <f>SUM(C49:C52)</f>
        <v>7.14</v>
      </c>
      <c r="D47" s="51">
        <f t="shared" ref="D47:N47" si="57">SUM(D49:D52)</f>
        <v>28.59</v>
      </c>
      <c r="E47" s="51">
        <f t="shared" si="57"/>
        <v>15.1</v>
      </c>
      <c r="F47" s="51">
        <f t="shared" si="57"/>
        <v>35.58</v>
      </c>
      <c r="G47" s="51">
        <f t="shared" si="57"/>
        <v>22.720999999999997</v>
      </c>
      <c r="H47" s="51">
        <f t="shared" si="57"/>
        <v>23.033000000000001</v>
      </c>
      <c r="I47" s="51">
        <f t="shared" si="57"/>
        <v>24.166</v>
      </c>
      <c r="J47" s="51">
        <f t="shared" si="57"/>
        <v>26.088999999999999</v>
      </c>
      <c r="K47" s="51">
        <f t="shared" si="57"/>
        <v>0</v>
      </c>
      <c r="L47" s="51">
        <f t="shared" si="57"/>
        <v>0</v>
      </c>
      <c r="M47" s="51">
        <f t="shared" si="57"/>
        <v>0</v>
      </c>
      <c r="N47" s="51">
        <f t="shared" si="57"/>
        <v>0</v>
      </c>
    </row>
    <row r="48" spans="2:14" ht="25.5">
      <c r="B48" s="51" t="s">
        <v>112</v>
      </c>
      <c r="C48" s="51">
        <f>+C49+C50+C51</f>
        <v>7.14</v>
      </c>
      <c r="D48" s="51">
        <f t="shared" ref="D48:N48" si="58">+D49+D50+D51</f>
        <v>28.59</v>
      </c>
      <c r="E48" s="51">
        <f t="shared" si="58"/>
        <v>15.1</v>
      </c>
      <c r="F48" s="51">
        <f t="shared" si="58"/>
        <v>8.36</v>
      </c>
      <c r="G48" s="51">
        <f t="shared" si="58"/>
        <v>22.720999999999997</v>
      </c>
      <c r="H48" s="51">
        <f t="shared" si="58"/>
        <v>7.0270000000000001</v>
      </c>
      <c r="I48" s="51">
        <f t="shared" si="58"/>
        <v>24.166</v>
      </c>
      <c r="J48" s="51">
        <f t="shared" si="58"/>
        <v>21.672999999999998</v>
      </c>
      <c r="K48" s="51">
        <f t="shared" si="58"/>
        <v>0</v>
      </c>
      <c r="L48" s="51">
        <f t="shared" si="58"/>
        <v>0</v>
      </c>
      <c r="M48" s="51">
        <f t="shared" si="58"/>
        <v>0</v>
      </c>
      <c r="N48" s="51">
        <f t="shared" si="58"/>
        <v>0</v>
      </c>
    </row>
    <row r="49" spans="2:14" ht="18">
      <c r="B49" s="135" t="s">
        <v>114</v>
      </c>
      <c r="C49" s="94">
        <v>7.14</v>
      </c>
      <c r="D49" s="94">
        <v>28.59</v>
      </c>
      <c r="E49" s="94">
        <v>15.1</v>
      </c>
      <c r="F49" s="94">
        <v>8.36</v>
      </c>
      <c r="G49" s="94">
        <v>5.7539999999999996</v>
      </c>
      <c r="H49" s="94">
        <v>7.0270000000000001</v>
      </c>
      <c r="I49" s="94">
        <v>8.48</v>
      </c>
      <c r="J49" s="443">
        <f>6.627+15.046</f>
        <v>21.672999999999998</v>
      </c>
      <c r="K49" s="407"/>
      <c r="L49" s="94"/>
      <c r="M49" s="94"/>
      <c r="N49" s="94"/>
    </row>
    <row r="50" spans="2:14" ht="18">
      <c r="B50" s="135" t="s">
        <v>115</v>
      </c>
      <c r="C50" s="94"/>
      <c r="D50" s="94"/>
      <c r="E50" s="94"/>
      <c r="F50" s="94"/>
      <c r="G50" s="94"/>
      <c r="H50" s="94"/>
      <c r="I50" s="94"/>
      <c r="J50" s="443"/>
      <c r="K50" s="407"/>
      <c r="L50" s="94"/>
      <c r="M50" s="94"/>
      <c r="N50" s="94"/>
    </row>
    <row r="51" spans="2:14" ht="18">
      <c r="B51" s="135" t="s">
        <v>116</v>
      </c>
      <c r="C51" s="94"/>
      <c r="D51" s="94"/>
      <c r="E51" s="94"/>
      <c r="F51" s="94"/>
      <c r="G51" s="94">
        <v>16.966999999999999</v>
      </c>
      <c r="H51" s="94"/>
      <c r="I51" s="94">
        <v>15.686</v>
      </c>
      <c r="J51" s="443"/>
      <c r="K51" s="407"/>
      <c r="L51" s="94"/>
      <c r="M51" s="94"/>
      <c r="N51" s="94"/>
    </row>
    <row r="52" spans="2:14" ht="18">
      <c r="B52" s="135" t="s">
        <v>117</v>
      </c>
      <c r="C52" s="94"/>
      <c r="D52" s="94"/>
      <c r="E52" s="94"/>
      <c r="F52" s="94">
        <v>27.22</v>
      </c>
      <c r="G52" s="94"/>
      <c r="H52" s="94">
        <v>16.006</v>
      </c>
      <c r="I52" s="94"/>
      <c r="J52" s="443">
        <v>4.4160000000000004</v>
      </c>
      <c r="K52" s="407"/>
      <c r="L52" s="94"/>
      <c r="M52" s="94"/>
      <c r="N52" s="94"/>
    </row>
    <row r="53" spans="2:14" ht="25.5">
      <c r="B53" s="51" t="s">
        <v>119</v>
      </c>
      <c r="C53" s="51">
        <f>SUM(C55:C58)</f>
        <v>28.59</v>
      </c>
      <c r="D53" s="51">
        <f t="shared" ref="D53:N53" si="59">SUM(D55:D58)</f>
        <v>15.1</v>
      </c>
      <c r="E53" s="51">
        <f t="shared" si="59"/>
        <v>8.36</v>
      </c>
      <c r="F53" s="51">
        <f t="shared" si="59"/>
        <v>32.973999999999997</v>
      </c>
      <c r="G53" s="51">
        <f t="shared" si="59"/>
        <v>23.994</v>
      </c>
      <c r="H53" s="51">
        <f t="shared" si="59"/>
        <v>24.486000000000001</v>
      </c>
      <c r="I53" s="51">
        <f t="shared" si="59"/>
        <v>37.358999999999995</v>
      </c>
      <c r="J53" s="51">
        <f>SUM(J55:J58)</f>
        <v>4.4160000000000004</v>
      </c>
      <c r="K53" s="51">
        <f t="shared" si="59"/>
        <v>0</v>
      </c>
      <c r="L53" s="51">
        <f t="shared" si="59"/>
        <v>0</v>
      </c>
      <c r="M53" s="51">
        <f t="shared" si="59"/>
        <v>0</v>
      </c>
      <c r="N53" s="51">
        <f t="shared" si="59"/>
        <v>0</v>
      </c>
    </row>
    <row r="54" spans="2:14" ht="25.5">
      <c r="B54" s="51" t="s">
        <v>120</v>
      </c>
      <c r="C54" s="51">
        <f>+C55+C56+C57</f>
        <v>28.59</v>
      </c>
      <c r="D54" s="51">
        <f t="shared" ref="D54:N54" si="60">+D55+D56+D57</f>
        <v>15.1</v>
      </c>
      <c r="E54" s="51">
        <f t="shared" si="60"/>
        <v>8.36</v>
      </c>
      <c r="F54" s="51">
        <f t="shared" si="60"/>
        <v>5.7539999999999996</v>
      </c>
      <c r="G54" s="51">
        <f t="shared" si="60"/>
        <v>23.994</v>
      </c>
      <c r="H54" s="51">
        <f t="shared" si="60"/>
        <v>8.48</v>
      </c>
      <c r="I54" s="51">
        <f t="shared" si="60"/>
        <v>37.358999999999995</v>
      </c>
      <c r="J54" s="51">
        <f t="shared" si="60"/>
        <v>0</v>
      </c>
      <c r="K54" s="51">
        <f t="shared" si="60"/>
        <v>0</v>
      </c>
      <c r="L54" s="51">
        <f t="shared" si="60"/>
        <v>0</v>
      </c>
      <c r="M54" s="51">
        <f t="shared" si="60"/>
        <v>0</v>
      </c>
      <c r="N54" s="51">
        <f t="shared" si="60"/>
        <v>0</v>
      </c>
    </row>
    <row r="55" spans="2:14" ht="18">
      <c r="B55" s="135" t="s">
        <v>121</v>
      </c>
      <c r="C55" s="94">
        <v>28.59</v>
      </c>
      <c r="D55" s="94">
        <v>15.1</v>
      </c>
      <c r="E55" s="94">
        <v>8.36</v>
      </c>
      <c r="F55" s="94">
        <v>5.7539999999999996</v>
      </c>
      <c r="G55" s="94">
        <v>7.0270000000000001</v>
      </c>
      <c r="H55" s="789">
        <v>8.48</v>
      </c>
      <c r="I55" s="94">
        <f>6.627+15.046</f>
        <v>21.672999999999998</v>
      </c>
      <c r="J55" s="443"/>
      <c r="K55" s="407"/>
      <c r="L55" s="94"/>
      <c r="M55" s="94"/>
      <c r="N55" s="94"/>
    </row>
    <row r="56" spans="2:14" ht="18">
      <c r="B56" s="135" t="s">
        <v>122</v>
      </c>
      <c r="C56" s="94"/>
      <c r="D56" s="94"/>
      <c r="E56" s="94"/>
      <c r="F56" s="789"/>
      <c r="G56" s="94"/>
      <c r="H56" s="94"/>
      <c r="I56" s="94"/>
      <c r="J56" s="443"/>
      <c r="K56" s="407"/>
      <c r="L56" s="94"/>
      <c r="M56" s="94"/>
      <c r="N56" s="94"/>
    </row>
    <row r="57" spans="2:14" ht="18">
      <c r="B57" s="135" t="s">
        <v>123</v>
      </c>
      <c r="C57" s="94"/>
      <c r="D57" s="94"/>
      <c r="E57" s="94"/>
      <c r="F57" s="94"/>
      <c r="G57" s="94">
        <v>16.966999999999999</v>
      </c>
      <c r="H57" s="94"/>
      <c r="I57" s="94">
        <v>15.686</v>
      </c>
      <c r="J57" s="443"/>
      <c r="K57" s="407"/>
      <c r="L57" s="94"/>
      <c r="M57" s="94"/>
      <c r="N57" s="94"/>
    </row>
    <row r="58" spans="2:14" ht="18">
      <c r="B58" s="135" t="s">
        <v>124</v>
      </c>
      <c r="C58" s="94"/>
      <c r="D58" s="94"/>
      <c r="E58" s="94"/>
      <c r="F58" s="94">
        <v>27.22</v>
      </c>
      <c r="G58" s="94"/>
      <c r="H58" s="94">
        <v>16.006</v>
      </c>
      <c r="I58" s="94"/>
      <c r="J58" s="443">
        <v>4.4160000000000004</v>
      </c>
      <c r="K58" s="407"/>
      <c r="L58" s="94"/>
      <c r="M58" s="94"/>
      <c r="N58" s="94"/>
    </row>
    <row r="59" spans="2:14" ht="28.5">
      <c r="B59" s="541" t="s">
        <v>167</v>
      </c>
      <c r="C59" s="539">
        <f>(C55+C56+C57)/C43</f>
        <v>1.3871906841339157</v>
      </c>
      <c r="D59" s="539">
        <f>(D55+D56+D57)/D43</f>
        <v>0.83842309827873396</v>
      </c>
      <c r="E59" s="539">
        <f t="shared" ref="E59:N59" si="61">(E55+E56+E57)/E43</f>
        <v>0.2999641191245066</v>
      </c>
      <c r="F59" s="539">
        <f t="shared" si="61"/>
        <v>0.3</v>
      </c>
      <c r="G59" s="539">
        <f t="shared" si="61"/>
        <v>1.0245089666951324</v>
      </c>
      <c r="H59" s="539">
        <f>(H55+H56+H57)/H43</f>
        <v>0.29996462681287583</v>
      </c>
      <c r="I59" s="539">
        <f t="shared" si="61"/>
        <v>1.094288224956063</v>
      </c>
      <c r="J59" s="539">
        <f t="shared" si="61"/>
        <v>0</v>
      </c>
      <c r="K59" s="539" t="e">
        <f t="shared" si="61"/>
        <v>#DIV/0!</v>
      </c>
      <c r="L59" s="539" t="e">
        <f t="shared" si="61"/>
        <v>#DIV/0!</v>
      </c>
      <c r="M59" s="539" t="e">
        <f t="shared" si="61"/>
        <v>#DIV/0!</v>
      </c>
      <c r="N59" s="539" t="e">
        <f t="shared" si="61"/>
        <v>#DIV/0!</v>
      </c>
    </row>
    <row r="60" spans="2:14" ht="28.5">
      <c r="B60" s="540" t="s">
        <v>303</v>
      </c>
      <c r="C60" s="54">
        <f>AVERAGE(G59:I59)</f>
        <v>0.80625393948802382</v>
      </c>
      <c r="D60" s="54"/>
      <c r="E60" s="54"/>
      <c r="F60" s="54"/>
      <c r="G60" s="54"/>
      <c r="H60" s="54"/>
      <c r="I60" s="54"/>
      <c r="J60" s="533"/>
      <c r="K60" s="408"/>
      <c r="L60" s="54"/>
      <c r="M60" s="54"/>
      <c r="N60" s="54"/>
    </row>
    <row r="61" spans="2:14" ht="25.5">
      <c r="B61" s="541" t="s">
        <v>304</v>
      </c>
      <c r="C61" s="45" t="e">
        <f>+C47/B23</f>
        <v>#VALUE!</v>
      </c>
      <c r="D61" s="45">
        <f t="shared" ref="D61:I61" si="62">+D47/D23</f>
        <v>9.2999804827272131E-2</v>
      </c>
      <c r="E61" s="45">
        <f t="shared" si="62"/>
        <v>5.4845270957431351E-2</v>
      </c>
      <c r="F61" s="45">
        <f t="shared" si="62"/>
        <v>0.14193960186699645</v>
      </c>
      <c r="G61" s="45">
        <f t="shared" si="62"/>
        <v>9.064108190050664E-2</v>
      </c>
      <c r="H61" s="45">
        <f t="shared" si="62"/>
        <v>9.1885746200183513E-2</v>
      </c>
      <c r="I61" s="45">
        <f t="shared" si="62"/>
        <v>9.6405632903817776E-2</v>
      </c>
      <c r="J61" s="832">
        <f>+J47/J23</f>
        <v>0.1040770734431723</v>
      </c>
      <c r="K61" s="402" t="e">
        <f t="shared" ref="K61:N61" si="63">+K47/K23</f>
        <v>#DIV/0!</v>
      </c>
      <c r="L61" s="45" t="e">
        <f t="shared" si="63"/>
        <v>#DIV/0!</v>
      </c>
      <c r="M61" s="45" t="e">
        <f t="shared" si="63"/>
        <v>#DIV/0!</v>
      </c>
      <c r="N61" s="45" t="e">
        <f t="shared" si="63"/>
        <v>#DIV/0!</v>
      </c>
    </row>
    <row r="62" spans="2:14" ht="25.5">
      <c r="B62" s="542" t="s">
        <v>305</v>
      </c>
      <c r="C62" s="534">
        <f>AVERAGE(H61:J61)</f>
        <v>9.7456150849057857E-2</v>
      </c>
      <c r="D62" s="534"/>
      <c r="E62" s="534"/>
      <c r="F62" s="534"/>
      <c r="G62" s="534"/>
      <c r="H62" s="534"/>
      <c r="I62" s="534"/>
      <c r="J62" s="534"/>
      <c r="K62" s="534"/>
      <c r="L62" s="534"/>
      <c r="M62" s="534"/>
      <c r="N62" s="534"/>
    </row>
    <row r="63" spans="2:14" ht="25.5">
      <c r="B63" s="543" t="s">
        <v>176</v>
      </c>
      <c r="C63" s="355">
        <f>+C44*(100%-C59)</f>
        <v>-5.4059315011668295E-2</v>
      </c>
      <c r="D63" s="355">
        <f t="shared" ref="D63:N63" si="64">+D44*(100%-D59)</f>
        <v>2.1169458663489755E-2</v>
      </c>
      <c r="E63" s="355">
        <f t="shared" si="64"/>
        <v>0.13249431637126843</v>
      </c>
      <c r="F63" s="355">
        <f t="shared" si="64"/>
        <v>0.10062991936107338</v>
      </c>
      <c r="G63" s="355">
        <f t="shared" si="64"/>
        <v>-4.3223975736051664E-3</v>
      </c>
      <c r="H63" s="355">
        <f t="shared" si="64"/>
        <v>0.14484337619490045</v>
      </c>
      <c r="I63" s="355">
        <f t="shared" si="64"/>
        <v>-2.2225730414582277E-2</v>
      </c>
      <c r="J63" s="444">
        <f t="shared" si="64"/>
        <v>0.21635068975653254</v>
      </c>
      <c r="K63" s="355" t="e">
        <f t="shared" si="64"/>
        <v>#DIV/0!</v>
      </c>
      <c r="L63" s="355" t="e">
        <f t="shared" si="64"/>
        <v>#DIV/0!</v>
      </c>
      <c r="M63" s="355" t="e">
        <f t="shared" si="64"/>
        <v>#DIV/0!</v>
      </c>
      <c r="N63" s="355" t="e">
        <f t="shared" si="64"/>
        <v>#DIV/0!</v>
      </c>
    </row>
    <row r="64" spans="2:14" ht="25.5">
      <c r="B64" s="542" t="s">
        <v>306</v>
      </c>
      <c r="C64" s="534">
        <f>AVERAGE(H63:J63)</f>
        <v>0.11298944517895022</v>
      </c>
      <c r="D64" s="534"/>
      <c r="E64" s="534"/>
      <c r="F64" s="534"/>
      <c r="G64" s="534"/>
      <c r="H64" s="534"/>
      <c r="I64" s="534"/>
      <c r="J64" s="535"/>
      <c r="K64" s="534"/>
      <c r="L64" s="534"/>
      <c r="M64" s="534"/>
      <c r="N64" s="534"/>
    </row>
    <row r="65" spans="2:14" ht="25.5">
      <c r="B65" s="543" t="s">
        <v>300</v>
      </c>
      <c r="C65" s="785">
        <f ca="1">B3</f>
        <v>272.25</v>
      </c>
      <c r="I65" s="122"/>
      <c r="J65" s="482"/>
      <c r="K65" s="122"/>
      <c r="L65" s="122"/>
      <c r="M65" s="122"/>
      <c r="N65" s="122"/>
    </row>
    <row r="67" spans="2:14">
      <c r="B67" s="75" t="s">
        <v>307</v>
      </c>
    </row>
    <row r="68" spans="2:14" ht="14.65" thickBot="1"/>
    <row r="69" spans="2:14" ht="14.65" thickBot="1">
      <c r="B69" s="82" t="s">
        <v>308</v>
      </c>
      <c r="C69" s="88">
        <v>2017</v>
      </c>
      <c r="D69" s="88">
        <v>2018</v>
      </c>
      <c r="E69" s="88">
        <v>2019</v>
      </c>
      <c r="F69" s="88">
        <v>2020</v>
      </c>
      <c r="G69" s="88">
        <v>2021</v>
      </c>
      <c r="H69" s="89">
        <v>2022</v>
      </c>
      <c r="I69" s="103">
        <v>2023</v>
      </c>
      <c r="J69" s="489">
        <v>2023</v>
      </c>
      <c r="K69" s="103">
        <v>2023</v>
      </c>
      <c r="L69" s="103">
        <v>2023</v>
      </c>
      <c r="M69" s="103">
        <v>2023</v>
      </c>
      <c r="N69" s="103">
        <v>2023</v>
      </c>
    </row>
    <row r="70" spans="2:14">
      <c r="B70" s="57" t="s">
        <v>309</v>
      </c>
      <c r="C70" s="62"/>
      <c r="D70" s="62"/>
      <c r="E70" s="62"/>
      <c r="F70" s="62"/>
      <c r="G70" s="62"/>
      <c r="H70" s="63"/>
      <c r="I70" s="104"/>
      <c r="J70" s="463"/>
      <c r="K70" s="104"/>
      <c r="L70" s="104"/>
      <c r="M70" s="104"/>
      <c r="N70" s="104"/>
    </row>
    <row r="71" spans="2:14">
      <c r="B71" s="58" t="s">
        <v>310</v>
      </c>
      <c r="C71" s="64">
        <v>106835735000</v>
      </c>
      <c r="D71" s="64">
        <v>74152970000</v>
      </c>
      <c r="E71" s="64">
        <v>75692564000</v>
      </c>
      <c r="F71" s="64">
        <v>90664627000</v>
      </c>
      <c r="G71" s="64">
        <v>63045514000</v>
      </c>
      <c r="H71" s="65">
        <v>47079707000</v>
      </c>
      <c r="I71" s="196">
        <v>95023798000</v>
      </c>
      <c r="J71" s="464">
        <v>122681361000</v>
      </c>
      <c r="K71" s="196"/>
      <c r="L71" s="196"/>
      <c r="M71" s="196"/>
      <c r="N71" s="196"/>
    </row>
    <row r="72" spans="2:14">
      <c r="B72" s="59" t="s">
        <v>311</v>
      </c>
      <c r="C72" s="66">
        <v>100613794000</v>
      </c>
      <c r="D72" s="66">
        <v>57257018000</v>
      </c>
      <c r="E72" s="66">
        <v>51694904000</v>
      </c>
      <c r="F72" s="66">
        <v>66322752000</v>
      </c>
      <c r="G72" s="66">
        <v>28832104000</v>
      </c>
      <c r="H72" s="67">
        <v>32391568000</v>
      </c>
      <c r="I72" s="105">
        <v>49820636000</v>
      </c>
      <c r="J72" s="456">
        <v>57182645000</v>
      </c>
      <c r="K72" s="105"/>
      <c r="L72" s="105"/>
      <c r="M72" s="105"/>
      <c r="N72" s="105"/>
    </row>
    <row r="73" spans="2:14">
      <c r="B73" s="59" t="s">
        <v>312</v>
      </c>
      <c r="C73" s="139"/>
      <c r="D73" s="66"/>
      <c r="E73" s="66"/>
      <c r="F73" s="66"/>
      <c r="G73" s="66"/>
      <c r="H73" s="67">
        <v>0</v>
      </c>
      <c r="I73" s="105">
        <v>28246903000</v>
      </c>
      <c r="J73" s="456">
        <v>50462173000</v>
      </c>
      <c r="K73" s="105"/>
      <c r="L73" s="105"/>
      <c r="M73" s="105"/>
      <c r="N73" s="105"/>
    </row>
    <row r="74" spans="2:14">
      <c r="B74" s="59" t="s">
        <v>313</v>
      </c>
      <c r="C74" s="68">
        <v>2981045000</v>
      </c>
      <c r="D74" s="66">
        <v>3533256000</v>
      </c>
      <c r="E74" s="66">
        <v>3835771000</v>
      </c>
      <c r="F74" s="66">
        <v>7858108000</v>
      </c>
      <c r="G74" s="66">
        <v>10344488000</v>
      </c>
      <c r="H74" s="67">
        <v>12241330000</v>
      </c>
      <c r="I74" s="105">
        <v>12434324000</v>
      </c>
      <c r="J74" s="456">
        <v>13480702000</v>
      </c>
      <c r="K74" s="105"/>
      <c r="L74" s="105"/>
      <c r="M74" s="105"/>
      <c r="N74" s="105"/>
    </row>
    <row r="75" spans="2:14">
      <c r="B75" s="59" t="s">
        <v>314</v>
      </c>
      <c r="C75" s="66">
        <v>4096000</v>
      </c>
      <c r="D75" s="66"/>
      <c r="E75" s="66"/>
      <c r="F75" s="66"/>
      <c r="G75" s="66">
        <v>0</v>
      </c>
      <c r="H75" s="67">
        <v>62928000</v>
      </c>
      <c r="I75" s="105">
        <v>2789784000</v>
      </c>
      <c r="J75" s="456">
        <v>30255000</v>
      </c>
      <c r="K75" s="105"/>
      <c r="L75" s="105"/>
      <c r="M75" s="105"/>
      <c r="N75" s="105"/>
    </row>
    <row r="76" spans="2:14">
      <c r="B76" s="59" t="s">
        <v>315</v>
      </c>
      <c r="C76" s="66">
        <v>1115282000</v>
      </c>
      <c r="D76" s="66">
        <v>1569723000</v>
      </c>
      <c r="E76" s="66">
        <v>2459604000</v>
      </c>
      <c r="F76" s="66">
        <v>1988906000</v>
      </c>
      <c r="G76" s="66">
        <v>1187311000</v>
      </c>
      <c r="H76" s="67">
        <v>2242157000</v>
      </c>
      <c r="I76" s="105">
        <v>1277855000</v>
      </c>
      <c r="J76" s="456">
        <v>1196354000</v>
      </c>
      <c r="K76" s="105"/>
      <c r="L76" s="105"/>
      <c r="M76" s="105"/>
      <c r="N76" s="105"/>
    </row>
    <row r="77" spans="2:14">
      <c r="B77" s="59" t="s">
        <v>316</v>
      </c>
      <c r="C77" s="66">
        <v>1955082000</v>
      </c>
      <c r="D77" s="66">
        <v>11311631000</v>
      </c>
      <c r="E77" s="66">
        <v>17382860000</v>
      </c>
      <c r="F77" s="66">
        <v>14090356000</v>
      </c>
      <c r="G77" s="66">
        <v>21713326000</v>
      </c>
      <c r="H77" s="67">
        <v>0</v>
      </c>
      <c r="I77" s="105">
        <v>0</v>
      </c>
      <c r="J77" s="456"/>
      <c r="K77" s="105"/>
      <c r="L77" s="105"/>
      <c r="M77" s="105"/>
      <c r="N77" s="105"/>
    </row>
    <row r="78" spans="2:14">
      <c r="B78" s="59" t="s">
        <v>317</v>
      </c>
      <c r="C78" s="66">
        <v>166436000</v>
      </c>
      <c r="D78" s="66">
        <v>481342000</v>
      </c>
      <c r="E78" s="66">
        <v>319425000</v>
      </c>
      <c r="F78" s="66">
        <v>404505000</v>
      </c>
      <c r="G78" s="66">
        <v>968285000</v>
      </c>
      <c r="H78" s="67">
        <v>141724000</v>
      </c>
      <c r="I78" s="105">
        <v>454296000</v>
      </c>
      <c r="J78" s="456">
        <v>329232000</v>
      </c>
      <c r="K78" s="105"/>
      <c r="L78" s="105"/>
      <c r="M78" s="105"/>
      <c r="N78" s="105"/>
    </row>
    <row r="79" spans="2:14">
      <c r="B79" s="59" t="s">
        <v>318</v>
      </c>
      <c r="C79" s="67">
        <f t="shared" ref="C79:G79" si="65">+C71-C72-C74-C75-C76-C77-C78</f>
        <v>0</v>
      </c>
      <c r="D79" s="67">
        <f t="shared" si="65"/>
        <v>0</v>
      </c>
      <c r="E79" s="67">
        <f t="shared" si="65"/>
        <v>0</v>
      </c>
      <c r="F79" s="67">
        <f t="shared" si="65"/>
        <v>0</v>
      </c>
      <c r="G79" s="67">
        <f t="shared" si="65"/>
        <v>0</v>
      </c>
      <c r="H79" s="67">
        <f>+H71-H72-H74-H75-H76-H77-H78-H73</f>
        <v>0</v>
      </c>
      <c r="I79" s="67">
        <f>+I71-I72-I74-I75-I76-I77-I78-I73</f>
        <v>0</v>
      </c>
      <c r="J79" s="67">
        <v>0</v>
      </c>
      <c r="K79" s="456">
        <f>+K71-K72-K74-K75-K76-K77-K78</f>
        <v>0</v>
      </c>
      <c r="L79" s="67">
        <f>+L71-L72-L74-L75-L76-L77-L78</f>
        <v>0</v>
      </c>
      <c r="M79" s="67">
        <f>+M71-M72-M74-M75-M76-M77-M78</f>
        <v>0</v>
      </c>
      <c r="N79" s="67">
        <f>+N71-N72-N74-N75-N76-N77-N78</f>
        <v>0</v>
      </c>
    </row>
    <row r="80" spans="2:14">
      <c r="B80" s="58" t="s">
        <v>319</v>
      </c>
      <c r="C80" s="64">
        <v>452454294000</v>
      </c>
      <c r="D80" s="64">
        <v>457699233000</v>
      </c>
      <c r="E80" s="64">
        <v>516817122000</v>
      </c>
      <c r="F80" s="64">
        <v>521204053000</v>
      </c>
      <c r="G80" s="69">
        <v>494282056000</v>
      </c>
      <c r="H80" s="65">
        <v>499374563000</v>
      </c>
      <c r="I80" s="196">
        <v>522497691000</v>
      </c>
      <c r="J80" s="464">
        <v>555132195000</v>
      </c>
      <c r="K80" s="196"/>
      <c r="L80" s="196"/>
      <c r="M80" s="196"/>
      <c r="N80" s="196"/>
    </row>
    <row r="81" spans="2:14">
      <c r="B81" s="59" t="s">
        <v>320</v>
      </c>
      <c r="C81" s="66">
        <v>247403057000</v>
      </c>
      <c r="D81" s="66">
        <v>254201735000</v>
      </c>
      <c r="E81" s="66">
        <v>305961667000</v>
      </c>
      <c r="F81" s="66">
        <v>308725396000</v>
      </c>
      <c r="G81" s="66">
        <v>284461896000</v>
      </c>
      <c r="H81" s="67">
        <v>295637992000</v>
      </c>
      <c r="I81" s="105">
        <v>321203585000</v>
      </c>
      <c r="J81" s="456">
        <v>346285329000</v>
      </c>
      <c r="K81" s="105"/>
      <c r="L81" s="105"/>
      <c r="M81" s="105"/>
      <c r="N81" s="105"/>
    </row>
    <row r="82" spans="2:14">
      <c r="B82" s="59" t="s">
        <v>321</v>
      </c>
      <c r="C82" s="66">
        <v>5104000</v>
      </c>
      <c r="D82" s="66">
        <v>4011000</v>
      </c>
      <c r="E82" s="66">
        <v>2782000</v>
      </c>
      <c r="F82" s="66">
        <v>1605000</v>
      </c>
      <c r="G82" s="66">
        <v>314000</v>
      </c>
      <c r="H82" s="67"/>
      <c r="I82" s="105"/>
      <c r="J82" s="456"/>
      <c r="K82" s="105"/>
      <c r="L82" s="105"/>
      <c r="M82" s="105"/>
      <c r="N82" s="105"/>
    </row>
    <row r="83" spans="2:14">
      <c r="B83" s="59" t="s">
        <v>322</v>
      </c>
      <c r="C83" s="66">
        <v>7135158000</v>
      </c>
      <c r="D83" s="66">
        <v>7146159000</v>
      </c>
      <c r="E83" s="66">
        <v>7636620000</v>
      </c>
      <c r="F83" s="66">
        <v>7962609000</v>
      </c>
      <c r="G83" s="66">
        <v>8551895000</v>
      </c>
      <c r="H83" s="67">
        <v>7946925000</v>
      </c>
      <c r="I83" s="105">
        <v>7558818000</v>
      </c>
      <c r="J83" s="456">
        <v>7985569000</v>
      </c>
      <c r="K83" s="105"/>
      <c r="L83" s="105"/>
      <c r="M83" s="105"/>
      <c r="N83" s="105"/>
    </row>
    <row r="84" spans="2:14">
      <c r="B84" s="59" t="s">
        <v>323</v>
      </c>
      <c r="C84" s="66">
        <v>187962187000</v>
      </c>
      <c r="D84" s="66">
        <v>187572055000</v>
      </c>
      <c r="E84" s="66">
        <v>187542539000</v>
      </c>
      <c r="F84" s="66">
        <v>188298526000</v>
      </c>
      <c r="G84" s="66">
        <v>188191450000</v>
      </c>
      <c r="H84" s="67">
        <v>188000173000</v>
      </c>
      <c r="I84" s="105">
        <v>188488444000</v>
      </c>
      <c r="J84" s="456">
        <v>187630376000</v>
      </c>
      <c r="K84" s="105"/>
      <c r="L84" s="105"/>
      <c r="M84" s="105"/>
      <c r="N84" s="105"/>
    </row>
    <row r="85" spans="2:14">
      <c r="B85" s="59" t="s">
        <v>324</v>
      </c>
      <c r="C85" s="66">
        <v>5021394000</v>
      </c>
      <c r="D85" s="66">
        <v>4855969000</v>
      </c>
      <c r="E85" s="66">
        <v>10648564000</v>
      </c>
      <c r="F85" s="66">
        <v>10265233000</v>
      </c>
      <c r="G85" s="66">
        <v>8290403000</v>
      </c>
      <c r="H85" s="67">
        <v>6482818000</v>
      </c>
      <c r="I85" s="105">
        <v>4432321000</v>
      </c>
      <c r="J85" s="456">
        <v>12232266000</v>
      </c>
      <c r="K85" s="105"/>
      <c r="L85" s="105"/>
      <c r="M85" s="105"/>
      <c r="N85" s="105"/>
    </row>
    <row r="86" spans="2:14">
      <c r="B86" s="59" t="s">
        <v>325</v>
      </c>
      <c r="C86" s="66">
        <v>2734371000</v>
      </c>
      <c r="D86" s="66">
        <v>2106780000</v>
      </c>
      <c r="E86" s="66">
        <v>3471722000</v>
      </c>
      <c r="F86" s="66">
        <v>4327044000</v>
      </c>
      <c r="G86" s="66">
        <v>2996628000</v>
      </c>
      <c r="H86" s="132">
        <v>0</v>
      </c>
      <c r="I86" s="105">
        <v>0</v>
      </c>
      <c r="J86" s="456"/>
      <c r="K86" s="105"/>
      <c r="L86" s="105"/>
      <c r="M86" s="105"/>
      <c r="N86" s="105"/>
    </row>
    <row r="87" spans="2:14">
      <c r="B87" s="59" t="s">
        <v>326</v>
      </c>
      <c r="C87" s="66">
        <v>2147940000</v>
      </c>
      <c r="D87" s="66">
        <v>1766598000</v>
      </c>
      <c r="E87" s="66">
        <v>1501062000</v>
      </c>
      <c r="F87" s="66">
        <v>1270285000</v>
      </c>
      <c r="G87" s="66">
        <v>1436805000</v>
      </c>
      <c r="H87" s="66">
        <v>1043602000</v>
      </c>
      <c r="I87" s="105">
        <v>556231000</v>
      </c>
      <c r="J87" s="456">
        <v>710228000</v>
      </c>
      <c r="K87" s="105"/>
      <c r="L87" s="105"/>
      <c r="M87" s="105"/>
      <c r="N87" s="105"/>
    </row>
    <row r="88" spans="2:14">
      <c r="B88" s="59" t="s">
        <v>327</v>
      </c>
      <c r="C88" s="66">
        <v>45083000</v>
      </c>
      <c r="D88" s="66">
        <v>45926000</v>
      </c>
      <c r="E88" s="66">
        <v>52166000</v>
      </c>
      <c r="F88" s="66">
        <v>353355000</v>
      </c>
      <c r="G88" s="66">
        <v>352665000</v>
      </c>
      <c r="H88" s="132">
        <v>263053000</v>
      </c>
      <c r="I88" s="105">
        <v>258292000</v>
      </c>
      <c r="J88" s="456">
        <v>288427000</v>
      </c>
      <c r="K88" s="105"/>
      <c r="L88" s="105"/>
      <c r="M88" s="105"/>
      <c r="N88" s="105"/>
    </row>
    <row r="89" spans="2:14">
      <c r="B89" s="59" t="s">
        <v>328</v>
      </c>
      <c r="C89" s="66">
        <f t="shared" ref="C89:G89" si="66">+C80-C83-C84-C85-C82-C81-C86-C87-C88</f>
        <v>0</v>
      </c>
      <c r="D89" s="66">
        <f t="shared" si="66"/>
        <v>0</v>
      </c>
      <c r="E89" s="66">
        <f t="shared" si="66"/>
        <v>0</v>
      </c>
      <c r="F89" s="66">
        <f t="shared" si="66"/>
        <v>0</v>
      </c>
      <c r="G89" s="66">
        <f t="shared" si="66"/>
        <v>0</v>
      </c>
      <c r="H89" s="66">
        <f t="shared" ref="H89:N89" si="67">+H80-H83-H84-H85-H82-H81-H86-H87-H88</f>
        <v>0</v>
      </c>
      <c r="I89" s="66">
        <f t="shared" si="67"/>
        <v>0</v>
      </c>
      <c r="J89" s="67">
        <v>0</v>
      </c>
      <c r="K89" s="105">
        <f t="shared" si="67"/>
        <v>0</v>
      </c>
      <c r="L89" s="66">
        <f t="shared" si="67"/>
        <v>0</v>
      </c>
      <c r="M89" s="66">
        <f t="shared" si="67"/>
        <v>0</v>
      </c>
      <c r="N89" s="66">
        <f t="shared" si="67"/>
        <v>0</v>
      </c>
    </row>
    <row r="90" spans="2:14" ht="14.65" thickBot="1">
      <c r="B90" s="60" t="s">
        <v>329</v>
      </c>
      <c r="C90" s="70">
        <f t="shared" ref="C90:I90" si="68">+C80+C71</f>
        <v>559290029000</v>
      </c>
      <c r="D90" s="70">
        <f t="shared" si="68"/>
        <v>531852203000</v>
      </c>
      <c r="E90" s="70">
        <f t="shared" si="68"/>
        <v>592509686000</v>
      </c>
      <c r="F90" s="70">
        <f t="shared" si="68"/>
        <v>611868680000</v>
      </c>
      <c r="G90" s="70">
        <f t="shared" si="68"/>
        <v>557327570000</v>
      </c>
      <c r="H90" s="71">
        <f t="shared" si="68"/>
        <v>546454270000</v>
      </c>
      <c r="I90" s="71">
        <f t="shared" si="68"/>
        <v>617521489000</v>
      </c>
      <c r="J90" s="465">
        <v>677813556000</v>
      </c>
      <c r="K90" s="106">
        <f t="shared" ref="K90:N90" si="69">+K80+K71</f>
        <v>0</v>
      </c>
      <c r="L90" s="106">
        <f t="shared" si="69"/>
        <v>0</v>
      </c>
      <c r="M90" s="106">
        <f t="shared" si="69"/>
        <v>0</v>
      </c>
      <c r="N90" s="106">
        <f t="shared" si="69"/>
        <v>0</v>
      </c>
    </row>
    <row r="91" spans="2:14" ht="14.65" thickBot="1">
      <c r="B91" s="61"/>
      <c r="C91" s="72"/>
      <c r="D91" s="72"/>
      <c r="E91" s="72"/>
      <c r="F91" s="72"/>
      <c r="G91" s="72"/>
      <c r="H91" s="73"/>
      <c r="I91" s="107"/>
      <c r="J91" s="466"/>
      <c r="K91" s="107"/>
      <c r="L91" s="107"/>
      <c r="M91" s="107"/>
      <c r="N91" s="107"/>
    </row>
    <row r="92" spans="2:14">
      <c r="B92" s="57" t="s">
        <v>330</v>
      </c>
      <c r="C92" s="62"/>
      <c r="D92" s="62"/>
      <c r="E92" s="62"/>
      <c r="F92" s="62"/>
      <c r="G92" s="62"/>
      <c r="H92" s="63"/>
      <c r="I92" s="104"/>
      <c r="J92" s="463"/>
      <c r="K92" s="104"/>
      <c r="L92" s="104"/>
      <c r="M92" s="104"/>
      <c r="N92" s="104"/>
    </row>
    <row r="93" spans="2:14">
      <c r="B93" s="58" t="s">
        <v>310</v>
      </c>
      <c r="C93" s="64">
        <v>49180754000</v>
      </c>
      <c r="D93" s="64">
        <v>51453291000</v>
      </c>
      <c r="E93" s="64">
        <v>62973146000</v>
      </c>
      <c r="F93" s="64">
        <v>122980590000</v>
      </c>
      <c r="G93" s="64">
        <v>75496876000</v>
      </c>
      <c r="H93" s="65">
        <v>55396016000</v>
      </c>
      <c r="I93" s="196">
        <v>95915328000</v>
      </c>
      <c r="J93" s="464">
        <v>121562114000</v>
      </c>
      <c r="K93" s="196"/>
      <c r="L93" s="196"/>
      <c r="M93" s="196"/>
      <c r="N93" s="196"/>
    </row>
    <row r="94" spans="2:14">
      <c r="B94" s="59" t="s">
        <v>331</v>
      </c>
      <c r="C94" s="66">
        <v>362144000</v>
      </c>
      <c r="D94" s="66">
        <v>369308000</v>
      </c>
      <c r="E94" s="66">
        <v>205143000</v>
      </c>
      <c r="F94" s="66">
        <v>1688890000</v>
      </c>
      <c r="G94" s="66">
        <v>456554000</v>
      </c>
      <c r="H94" s="67">
        <v>1799208000</v>
      </c>
      <c r="I94" s="105">
        <v>636438000</v>
      </c>
      <c r="J94" s="456">
        <v>2545420000</v>
      </c>
      <c r="K94" s="105"/>
      <c r="L94" s="105"/>
      <c r="M94" s="105"/>
      <c r="N94" s="105"/>
    </row>
    <row r="95" spans="2:14">
      <c r="B95" s="59" t="s">
        <v>332</v>
      </c>
      <c r="C95" s="66">
        <v>11174095000</v>
      </c>
      <c r="D95" s="66">
        <v>11277812000</v>
      </c>
      <c r="E95" s="66">
        <v>11539257000</v>
      </c>
      <c r="F95" s="66">
        <v>78012988000</v>
      </c>
      <c r="G95" s="66">
        <v>17592620000</v>
      </c>
      <c r="H95" s="67">
        <v>20517783000</v>
      </c>
      <c r="I95" s="105">
        <v>49795001000</v>
      </c>
      <c r="J95" s="456">
        <v>77458983000</v>
      </c>
      <c r="K95" s="105"/>
      <c r="L95" s="105"/>
      <c r="M95" s="105"/>
      <c r="N95" s="105"/>
    </row>
    <row r="96" spans="2:14">
      <c r="B96" s="59" t="s">
        <v>333</v>
      </c>
      <c r="C96" s="66">
        <v>275299000</v>
      </c>
      <c r="D96" s="66">
        <v>230251000</v>
      </c>
      <c r="E96" s="66">
        <v>565720000</v>
      </c>
      <c r="F96" s="66">
        <v>671477000</v>
      </c>
      <c r="G96" s="66">
        <v>143783000</v>
      </c>
      <c r="H96" s="67">
        <v>141080000</v>
      </c>
      <c r="I96" s="105">
        <v>135836000</v>
      </c>
      <c r="J96" s="456">
        <v>166669000</v>
      </c>
      <c r="K96" s="105"/>
      <c r="L96" s="105"/>
      <c r="M96" s="105"/>
      <c r="N96" s="105"/>
    </row>
    <row r="97" spans="2:14">
      <c r="B97" s="59" t="s">
        <v>334</v>
      </c>
      <c r="C97" s="66">
        <v>3432439000</v>
      </c>
      <c r="D97" s="66">
        <v>3525823000</v>
      </c>
      <c r="E97" s="66">
        <v>3634438000</v>
      </c>
      <c r="F97" s="66">
        <v>4374405000</v>
      </c>
      <c r="G97" s="66">
        <v>5373753000</v>
      </c>
      <c r="H97" s="67">
        <v>5067543000</v>
      </c>
      <c r="I97" s="105">
        <v>5944316000</v>
      </c>
      <c r="J97" s="456">
        <v>7991459000</v>
      </c>
      <c r="K97" s="105"/>
      <c r="L97" s="105"/>
      <c r="M97" s="105"/>
      <c r="N97" s="105"/>
    </row>
    <row r="98" spans="2:14">
      <c r="B98" s="59" t="s">
        <v>335</v>
      </c>
      <c r="C98" s="66">
        <v>13358327000</v>
      </c>
      <c r="D98" s="66">
        <v>18084548000</v>
      </c>
      <c r="E98" s="66">
        <v>19654874000</v>
      </c>
      <c r="F98" s="66">
        <v>18883064000</v>
      </c>
      <c r="G98" s="66">
        <v>28679924000</v>
      </c>
      <c r="H98" s="67">
        <v>189671000</v>
      </c>
      <c r="I98" s="105">
        <v>5670395000</v>
      </c>
      <c r="J98" s="456">
        <v>984514000</v>
      </c>
      <c r="K98" s="105"/>
      <c r="L98" s="105"/>
      <c r="M98" s="105"/>
      <c r="N98" s="105"/>
    </row>
    <row r="99" spans="2:14">
      <c r="B99" s="59" t="s">
        <v>336</v>
      </c>
      <c r="C99" s="66">
        <v>19360277000</v>
      </c>
      <c r="D99" s="66">
        <v>17063291000</v>
      </c>
      <c r="E99" s="66">
        <v>26294989000</v>
      </c>
      <c r="F99" s="66">
        <v>18055717000</v>
      </c>
      <c r="G99" s="66">
        <v>22063303000</v>
      </c>
      <c r="H99" s="67">
        <v>26618071000</v>
      </c>
      <c r="I99" s="105">
        <v>32110908000</v>
      </c>
      <c r="J99" s="456">
        <v>31017854000</v>
      </c>
      <c r="K99" s="105"/>
      <c r="L99" s="105"/>
      <c r="M99" s="105"/>
      <c r="N99" s="105"/>
    </row>
    <row r="100" spans="2:14">
      <c r="B100" s="59" t="s">
        <v>337</v>
      </c>
      <c r="C100" s="66">
        <v>1218173000</v>
      </c>
      <c r="D100" s="66">
        <v>902258000</v>
      </c>
      <c r="E100" s="66">
        <v>1078725000</v>
      </c>
      <c r="F100" s="66">
        <v>1294049000</v>
      </c>
      <c r="G100" s="66">
        <v>1186939000</v>
      </c>
      <c r="H100" s="67">
        <v>1062660000</v>
      </c>
      <c r="I100" s="105">
        <v>1622434000</v>
      </c>
      <c r="J100" s="456">
        <v>1397215000</v>
      </c>
      <c r="K100" s="105"/>
      <c r="L100" s="105"/>
      <c r="M100" s="105"/>
      <c r="N100" s="105"/>
    </row>
    <row r="101" spans="2:14">
      <c r="B101" s="59" t="s">
        <v>338</v>
      </c>
      <c r="C101" s="67">
        <f t="shared" ref="C101:F101" si="70">+C93-C94-C95-C96-C97-C98-C100-C99</f>
        <v>0</v>
      </c>
      <c r="D101" s="67">
        <f t="shared" si="70"/>
        <v>0</v>
      </c>
      <c r="E101" s="67">
        <f t="shared" si="70"/>
        <v>0</v>
      </c>
      <c r="F101" s="67">
        <f t="shared" si="70"/>
        <v>0</v>
      </c>
      <c r="G101" s="67">
        <f t="shared" ref="G101:N101" si="71">+G93-G94-G95-G96-G97-G98-G100-G99</f>
        <v>0</v>
      </c>
      <c r="H101" s="67">
        <f t="shared" si="71"/>
        <v>0</v>
      </c>
      <c r="I101" s="67">
        <f t="shared" si="71"/>
        <v>0</v>
      </c>
      <c r="J101" s="67">
        <v>0</v>
      </c>
      <c r="K101" s="456">
        <f t="shared" si="71"/>
        <v>0</v>
      </c>
      <c r="L101" s="67">
        <f t="shared" si="71"/>
        <v>0</v>
      </c>
      <c r="M101" s="67">
        <f t="shared" si="71"/>
        <v>0</v>
      </c>
      <c r="N101" s="67">
        <f t="shared" si="71"/>
        <v>0</v>
      </c>
    </row>
    <row r="102" spans="2:14">
      <c r="B102" s="58" t="s">
        <v>319</v>
      </c>
      <c r="C102" s="64">
        <v>50100031000</v>
      </c>
      <c r="D102" s="64">
        <v>51014275000</v>
      </c>
      <c r="E102" s="64">
        <v>69621044000</v>
      </c>
      <c r="F102" s="64">
        <v>72124110000</v>
      </c>
      <c r="G102" s="64">
        <v>66972919000</v>
      </c>
      <c r="H102" s="65">
        <v>64324540000</v>
      </c>
      <c r="I102" s="196">
        <v>69239170000</v>
      </c>
      <c r="J102" s="464">
        <v>81498345000</v>
      </c>
      <c r="K102" s="196"/>
      <c r="L102" s="196"/>
      <c r="M102" s="196"/>
      <c r="N102" s="196"/>
    </row>
    <row r="103" spans="2:14">
      <c r="B103" s="59" t="s">
        <v>331</v>
      </c>
      <c r="C103" s="66">
        <v>520126000</v>
      </c>
      <c r="D103" s="66">
        <v>180387000</v>
      </c>
      <c r="E103" s="66">
        <v>5636777000</v>
      </c>
      <c r="F103" s="66">
        <v>4308382000</v>
      </c>
      <c r="G103" s="66">
        <v>3020660000</v>
      </c>
      <c r="H103" s="67">
        <v>475082000</v>
      </c>
      <c r="I103" s="105">
        <v>85164000</v>
      </c>
      <c r="J103" s="456">
        <v>5948206000</v>
      </c>
      <c r="K103" s="105"/>
      <c r="L103" s="105"/>
      <c r="M103" s="105"/>
      <c r="N103" s="105"/>
    </row>
    <row r="104" spans="2:14">
      <c r="B104" s="59" t="s">
        <v>339</v>
      </c>
      <c r="C104" s="66">
        <v>49578669000</v>
      </c>
      <c r="D104" s="66">
        <v>50832455000</v>
      </c>
      <c r="E104" s="66">
        <v>63982795000</v>
      </c>
      <c r="F104" s="66">
        <v>67814216000</v>
      </c>
      <c r="G104" s="66">
        <v>63918300000</v>
      </c>
      <c r="H104" s="67">
        <v>63787826000</v>
      </c>
      <c r="I104" s="105">
        <v>69092550000</v>
      </c>
      <c r="J104" s="456">
        <v>75459116000</v>
      </c>
      <c r="K104" s="105"/>
      <c r="L104" s="105"/>
      <c r="M104" s="105"/>
      <c r="N104" s="105"/>
    </row>
    <row r="105" spans="2:14">
      <c r="B105" s="59" t="s">
        <v>340</v>
      </c>
      <c r="C105" s="66">
        <v>1236000</v>
      </c>
      <c r="D105" s="66">
        <v>1433000</v>
      </c>
      <c r="E105" s="66">
        <v>1472000</v>
      </c>
      <c r="F105" s="66">
        <v>1512000</v>
      </c>
      <c r="G105" s="66">
        <v>33959000</v>
      </c>
      <c r="H105" s="67">
        <v>61632000</v>
      </c>
      <c r="I105" s="105">
        <v>61456000</v>
      </c>
      <c r="J105" s="456">
        <v>91023000</v>
      </c>
      <c r="K105" s="105"/>
      <c r="L105" s="105"/>
      <c r="M105" s="105"/>
      <c r="N105" s="105"/>
    </row>
    <row r="106" spans="2:14">
      <c r="B106" s="59"/>
      <c r="C106" s="66"/>
      <c r="D106" s="66"/>
      <c r="E106" s="66"/>
      <c r="F106" s="66"/>
      <c r="G106" s="66"/>
      <c r="H106" s="67"/>
      <c r="I106" s="105"/>
      <c r="J106" s="456"/>
      <c r="K106" s="105"/>
      <c r="L106" s="105"/>
      <c r="M106" s="105"/>
      <c r="N106" s="105"/>
    </row>
    <row r="107" spans="2:14">
      <c r="B107" s="59" t="s">
        <v>341</v>
      </c>
      <c r="C107" s="66">
        <f t="shared" ref="C107:F107" si="72">+C102-C103-C104-C105-C106</f>
        <v>0</v>
      </c>
      <c r="D107" s="66">
        <f t="shared" si="72"/>
        <v>0</v>
      </c>
      <c r="E107" s="66">
        <f t="shared" si="72"/>
        <v>0</v>
      </c>
      <c r="F107" s="66">
        <f t="shared" si="72"/>
        <v>0</v>
      </c>
      <c r="G107" s="66">
        <f>+G102-G103-G104-G105-G106</f>
        <v>0</v>
      </c>
      <c r="H107" s="66">
        <f>+H102-H103-H104-H105-H106</f>
        <v>0</v>
      </c>
      <c r="I107" s="105"/>
      <c r="J107" s="456"/>
      <c r="K107" s="105"/>
      <c r="L107" s="105"/>
      <c r="M107" s="105"/>
      <c r="N107" s="105"/>
    </row>
    <row r="108" spans="2:14" ht="14.65" thickBot="1">
      <c r="B108" s="60" t="s">
        <v>342</v>
      </c>
      <c r="C108" s="70">
        <f t="shared" ref="C108:F108" si="73">+C102+C93</f>
        <v>99280785000</v>
      </c>
      <c r="D108" s="70">
        <f t="shared" si="73"/>
        <v>102467566000</v>
      </c>
      <c r="E108" s="70">
        <f t="shared" si="73"/>
        <v>132594190000</v>
      </c>
      <c r="F108" s="70">
        <f t="shared" si="73"/>
        <v>195104700000</v>
      </c>
      <c r="G108" s="70">
        <f t="shared" ref="G108:N108" si="74">+G102+G93</f>
        <v>142469795000</v>
      </c>
      <c r="H108" s="70">
        <f t="shared" si="74"/>
        <v>119720556000</v>
      </c>
      <c r="I108" s="70">
        <f t="shared" si="74"/>
        <v>165154498000</v>
      </c>
      <c r="J108" s="71">
        <v>203060459000</v>
      </c>
      <c r="K108" s="106">
        <f t="shared" si="74"/>
        <v>0</v>
      </c>
      <c r="L108" s="70">
        <f t="shared" si="74"/>
        <v>0</v>
      </c>
      <c r="M108" s="70">
        <f t="shared" si="74"/>
        <v>0</v>
      </c>
      <c r="N108" s="70">
        <f t="shared" si="74"/>
        <v>0</v>
      </c>
    </row>
    <row r="109" spans="2:14" ht="14.65" thickBot="1"/>
    <row r="110" spans="2:14">
      <c r="B110" s="57" t="s">
        <v>343</v>
      </c>
      <c r="C110" s="62"/>
      <c r="D110" s="62"/>
      <c r="E110" s="62"/>
      <c r="F110" s="62"/>
      <c r="G110" s="62"/>
      <c r="H110" s="63"/>
      <c r="I110" s="104"/>
      <c r="J110" s="463"/>
      <c r="K110" s="104"/>
      <c r="L110" s="104"/>
      <c r="M110" s="104"/>
      <c r="N110" s="104"/>
    </row>
    <row r="111" spans="2:14">
      <c r="B111" s="59" t="s">
        <v>344</v>
      </c>
      <c r="C111" s="66">
        <v>348671861000</v>
      </c>
      <c r="D111" s="66">
        <v>348671861000</v>
      </c>
      <c r="E111" s="66">
        <v>348671861000</v>
      </c>
      <c r="F111" s="66">
        <v>348671861000</v>
      </c>
      <c r="G111" s="66">
        <v>348671861000</v>
      </c>
      <c r="H111" s="67">
        <v>348671861000</v>
      </c>
      <c r="I111" s="67">
        <v>348671861000</v>
      </c>
      <c r="J111" s="67">
        <v>348671861000</v>
      </c>
      <c r="K111" s="456"/>
      <c r="L111" s="67"/>
      <c r="M111" s="67"/>
      <c r="N111" s="67"/>
    </row>
    <row r="112" spans="2:14">
      <c r="B112" s="59" t="s">
        <v>345</v>
      </c>
      <c r="C112" s="66">
        <v>-11023091000</v>
      </c>
      <c r="D112" s="66">
        <v>-8595792000</v>
      </c>
      <c r="E112" s="66">
        <v>-17966237000</v>
      </c>
      <c r="F112" s="66">
        <v>-9886548000</v>
      </c>
      <c r="G112" s="66">
        <v>-13983134000</v>
      </c>
      <c r="H112" s="67">
        <v>-18452356000</v>
      </c>
      <c r="I112" s="105">
        <v>-23655499000</v>
      </c>
      <c r="J112" s="456">
        <v>-22487230000</v>
      </c>
      <c r="K112" s="105"/>
      <c r="L112" s="105"/>
      <c r="M112" s="105"/>
      <c r="N112" s="105"/>
    </row>
    <row r="113" spans="2:14">
      <c r="B113" s="59" t="s">
        <v>346</v>
      </c>
      <c r="C113" s="66">
        <v>123360474000</v>
      </c>
      <c r="D113" s="66">
        <v>89308568000</v>
      </c>
      <c r="E113" s="66">
        <v>129209872000</v>
      </c>
      <c r="F113" s="66">
        <v>77978667000</v>
      </c>
      <c r="G113" s="66">
        <v>80169048000</v>
      </c>
      <c r="H113" s="67">
        <v>96514209000</v>
      </c>
      <c r="I113" s="105">
        <v>127350629000</v>
      </c>
      <c r="J113" s="456">
        <v>148568466000</v>
      </c>
      <c r="K113" s="105"/>
      <c r="L113" s="105"/>
      <c r="M113" s="105"/>
      <c r="N113" s="105"/>
    </row>
    <row r="114" spans="2:14" ht="14.65" thickBot="1">
      <c r="B114" s="60" t="s">
        <v>347</v>
      </c>
      <c r="C114" s="70">
        <f t="shared" ref="C114:I114" si="75">+C111+C113+C112</f>
        <v>461009244000</v>
      </c>
      <c r="D114" s="70">
        <f t="shared" si="75"/>
        <v>429384637000</v>
      </c>
      <c r="E114" s="70">
        <f t="shared" si="75"/>
        <v>459915496000</v>
      </c>
      <c r="F114" s="70">
        <f t="shared" si="75"/>
        <v>416763980000</v>
      </c>
      <c r="G114" s="70">
        <f t="shared" si="75"/>
        <v>414857775000</v>
      </c>
      <c r="H114" s="70">
        <f t="shared" si="75"/>
        <v>426733714000</v>
      </c>
      <c r="I114" s="106">
        <f t="shared" si="75"/>
        <v>452366991000</v>
      </c>
      <c r="J114" s="465">
        <v>474753097000</v>
      </c>
      <c r="K114" s="106">
        <f t="shared" ref="K114:N114" si="76">+K111+K113+K112</f>
        <v>0</v>
      </c>
      <c r="L114" s="106">
        <f t="shared" si="76"/>
        <v>0</v>
      </c>
      <c r="M114" s="106">
        <f t="shared" si="76"/>
        <v>0</v>
      </c>
      <c r="N114" s="106">
        <f t="shared" si="76"/>
        <v>0</v>
      </c>
    </row>
    <row r="116" spans="2:14" ht="14.65" thickBot="1">
      <c r="B116" s="75" t="s">
        <v>348</v>
      </c>
    </row>
    <row r="117" spans="2:14" ht="14.65" thickBot="1">
      <c r="B117" s="82" t="s">
        <v>308</v>
      </c>
      <c r="C117" s="88">
        <v>2017</v>
      </c>
      <c r="D117" s="88">
        <v>2018</v>
      </c>
      <c r="E117" s="88">
        <v>2019</v>
      </c>
      <c r="F117" s="88">
        <v>2020</v>
      </c>
      <c r="G117" s="88">
        <v>2021</v>
      </c>
      <c r="H117" s="89">
        <v>2022</v>
      </c>
      <c r="I117" s="103">
        <v>2023</v>
      </c>
      <c r="J117" s="489">
        <v>2024</v>
      </c>
      <c r="K117" s="103">
        <v>2023</v>
      </c>
      <c r="L117" s="103">
        <v>2023</v>
      </c>
      <c r="M117" s="103">
        <v>2023</v>
      </c>
      <c r="N117" s="103">
        <v>2023</v>
      </c>
    </row>
    <row r="118" spans="2:14">
      <c r="B118" s="83" t="s">
        <v>349</v>
      </c>
      <c r="C118" s="90">
        <v>133144344000</v>
      </c>
      <c r="D118" s="90">
        <v>138443269000</v>
      </c>
      <c r="E118" s="90">
        <v>146683134000</v>
      </c>
      <c r="F118" s="90">
        <v>149043800000</v>
      </c>
      <c r="G118" s="90">
        <v>163319880000</v>
      </c>
      <c r="H118" s="109">
        <v>181129511000</v>
      </c>
      <c r="I118" s="110">
        <v>197875487000</v>
      </c>
      <c r="J118" s="467">
        <v>205892506000</v>
      </c>
      <c r="K118" s="110"/>
      <c r="L118" s="110"/>
      <c r="M118" s="110"/>
      <c r="N118" s="110"/>
    </row>
    <row r="119" spans="2:14">
      <c r="B119" s="84" t="s">
        <v>350</v>
      </c>
      <c r="C119" s="64">
        <v>19937453000</v>
      </c>
      <c r="D119" s="64">
        <v>5049864000</v>
      </c>
      <c r="E119" s="64">
        <v>42826232000</v>
      </c>
      <c r="F119" s="64">
        <v>18270102000</v>
      </c>
      <c r="G119" s="64">
        <v>11791073000</v>
      </c>
      <c r="H119" s="67">
        <v>10688439000</v>
      </c>
      <c r="I119" s="105">
        <v>23274056000</v>
      </c>
      <c r="J119" s="456">
        <v>26195554000</v>
      </c>
      <c r="K119" s="105"/>
      <c r="L119" s="105"/>
      <c r="M119" s="105"/>
      <c r="N119" s="105"/>
    </row>
    <row r="120" spans="2:14">
      <c r="B120" s="85" t="s">
        <v>351</v>
      </c>
      <c r="C120" s="66">
        <v>-40441669000</v>
      </c>
      <c r="D120" s="66">
        <v>-40162536000</v>
      </c>
      <c r="E120" s="66">
        <v>-42487988000</v>
      </c>
      <c r="F120" s="66">
        <v>-40261512000</v>
      </c>
      <c r="G120" s="66">
        <v>-37205732000</v>
      </c>
      <c r="H120" s="67">
        <v>-37605665000</v>
      </c>
      <c r="I120" s="105">
        <v>-44470125000</v>
      </c>
      <c r="J120" s="456">
        <v>-51257083000</v>
      </c>
      <c r="K120" s="105"/>
      <c r="L120" s="105"/>
      <c r="M120" s="105"/>
      <c r="N120" s="105"/>
    </row>
    <row r="121" spans="2:14">
      <c r="B121" s="86" t="s">
        <v>352</v>
      </c>
      <c r="C121" s="64">
        <f t="shared" ref="C121:F121" si="77">+C118+C120</f>
        <v>92702675000</v>
      </c>
      <c r="D121" s="64">
        <f t="shared" si="77"/>
        <v>98280733000</v>
      </c>
      <c r="E121" s="64">
        <f t="shared" si="77"/>
        <v>104195146000</v>
      </c>
      <c r="F121" s="64">
        <f t="shared" si="77"/>
        <v>108782288000</v>
      </c>
      <c r="G121" s="64">
        <f t="shared" ref="G121:N121" si="78">+G118+G120</f>
        <v>126114148000</v>
      </c>
      <c r="H121" s="64">
        <f t="shared" si="78"/>
        <v>143523846000</v>
      </c>
      <c r="I121" s="64">
        <f t="shared" si="78"/>
        <v>153405362000</v>
      </c>
      <c r="J121" s="65">
        <v>154635423000</v>
      </c>
      <c r="K121" s="196">
        <f t="shared" si="78"/>
        <v>0</v>
      </c>
      <c r="L121" s="64">
        <f t="shared" si="78"/>
        <v>0</v>
      </c>
      <c r="M121" s="64">
        <f t="shared" si="78"/>
        <v>0</v>
      </c>
      <c r="N121" s="64">
        <f t="shared" si="78"/>
        <v>0</v>
      </c>
    </row>
    <row r="122" spans="2:14">
      <c r="B122" s="85" t="s">
        <v>353</v>
      </c>
      <c r="C122" s="66">
        <v>-1706736000</v>
      </c>
      <c r="D122" s="66">
        <v>-1626466000</v>
      </c>
      <c r="E122" s="66">
        <v>-3962782000</v>
      </c>
      <c r="F122" s="66">
        <v>-4789705000</v>
      </c>
      <c r="G122" s="66">
        <v>-5017436000</v>
      </c>
      <c r="H122" s="67">
        <v>-5283133000</v>
      </c>
      <c r="I122" s="105">
        <v>-4854645000</v>
      </c>
      <c r="J122" s="456">
        <v>-5295224000</v>
      </c>
      <c r="K122" s="105"/>
      <c r="L122" s="105"/>
      <c r="M122" s="105"/>
      <c r="N122" s="105"/>
    </row>
    <row r="123" spans="2:14">
      <c r="B123" s="85" t="s">
        <v>354</v>
      </c>
      <c r="C123" s="66">
        <v>-32195942000</v>
      </c>
      <c r="D123" s="66">
        <v>-34240605000</v>
      </c>
      <c r="E123" s="66">
        <v>-33906318000</v>
      </c>
      <c r="F123" s="66">
        <v>-41684476000</v>
      </c>
      <c r="G123" s="66">
        <v>-43230991000</v>
      </c>
      <c r="H123" s="67">
        <v>-45376450000</v>
      </c>
      <c r="I123" s="105">
        <v>-41497769000</v>
      </c>
      <c r="J123" s="456">
        <v>-43139684000</v>
      </c>
      <c r="K123" s="105"/>
      <c r="L123" s="105"/>
      <c r="M123" s="105"/>
      <c r="N123" s="105"/>
    </row>
    <row r="124" spans="2:14">
      <c r="B124" s="86" t="s">
        <v>355</v>
      </c>
      <c r="C124" s="64">
        <f t="shared" ref="C124:F124" si="79">+C121+C122+C123</f>
        <v>58799997000</v>
      </c>
      <c r="D124" s="64">
        <f t="shared" si="79"/>
        <v>62413662000</v>
      </c>
      <c r="E124" s="64">
        <f t="shared" si="79"/>
        <v>66326046000</v>
      </c>
      <c r="F124" s="64">
        <f t="shared" si="79"/>
        <v>62308107000</v>
      </c>
      <c r="G124" s="64">
        <f t="shared" ref="G124:N124" si="80">+G121+G122+G123</f>
        <v>77865721000</v>
      </c>
      <c r="H124" s="64">
        <f t="shared" si="80"/>
        <v>92864263000</v>
      </c>
      <c r="I124" s="64">
        <f t="shared" si="80"/>
        <v>107052948000</v>
      </c>
      <c r="J124" s="65">
        <v>106200515000</v>
      </c>
      <c r="K124" s="196">
        <f t="shared" si="80"/>
        <v>0</v>
      </c>
      <c r="L124" s="64">
        <f t="shared" si="80"/>
        <v>0</v>
      </c>
      <c r="M124" s="64">
        <f t="shared" si="80"/>
        <v>0</v>
      </c>
      <c r="N124" s="64">
        <f t="shared" si="80"/>
        <v>0</v>
      </c>
    </row>
    <row r="125" spans="2:14">
      <c r="B125" s="85" t="s">
        <v>356</v>
      </c>
      <c r="C125" s="66">
        <v>-46976000</v>
      </c>
      <c r="D125" s="66">
        <v>-31043000</v>
      </c>
      <c r="E125" s="66">
        <v>-456256000</v>
      </c>
      <c r="F125" s="66">
        <v>-440583000</v>
      </c>
      <c r="G125" s="66">
        <v>-233737000</v>
      </c>
      <c r="H125" s="67">
        <v>-175779000</v>
      </c>
      <c r="I125" s="105">
        <v>-92216000</v>
      </c>
      <c r="J125" s="456">
        <v>-565449000</v>
      </c>
      <c r="K125" s="105"/>
      <c r="L125" s="105"/>
      <c r="M125" s="105"/>
      <c r="N125" s="105"/>
    </row>
    <row r="126" spans="2:14">
      <c r="B126" s="85" t="s">
        <v>357</v>
      </c>
      <c r="C126" s="66">
        <v>-1764111000</v>
      </c>
      <c r="D126" s="66">
        <v>1553545000</v>
      </c>
      <c r="E126" s="66">
        <v>1096790000</v>
      </c>
      <c r="F126" s="66">
        <v>603228000</v>
      </c>
      <c r="G126" s="66">
        <v>362150000</v>
      </c>
      <c r="H126" s="67">
        <v>3236365000</v>
      </c>
      <c r="I126" s="105">
        <v>4167767000</v>
      </c>
      <c r="J126" s="456">
        <v>1652185000</v>
      </c>
      <c r="K126" s="105"/>
      <c r="L126" s="105"/>
      <c r="M126" s="105"/>
      <c r="N126" s="105"/>
    </row>
    <row r="127" spans="2:14" ht="28.5">
      <c r="B127" s="87" t="s">
        <v>358</v>
      </c>
      <c r="C127" s="66">
        <v>3867193000</v>
      </c>
      <c r="D127" s="66">
        <v>4102865000</v>
      </c>
      <c r="E127" s="66">
        <v>4944278000</v>
      </c>
      <c r="F127" s="66">
        <v>2798615000</v>
      </c>
      <c r="G127" s="66">
        <v>5553972000</v>
      </c>
      <c r="H127" s="67">
        <v>7117145000</v>
      </c>
      <c r="I127" s="105">
        <v>7189049000</v>
      </c>
      <c r="J127" s="456">
        <v>4276849000</v>
      </c>
      <c r="K127" s="105"/>
      <c r="L127" s="105"/>
      <c r="M127" s="105"/>
      <c r="N127" s="105"/>
    </row>
    <row r="128" spans="2:14">
      <c r="B128" s="85" t="s">
        <v>359</v>
      </c>
      <c r="C128" s="66">
        <v>-60032000</v>
      </c>
      <c r="D128" s="66">
        <v>1659822000</v>
      </c>
      <c r="E128" s="66">
        <v>1905044000</v>
      </c>
      <c r="F128" s="66">
        <v>-3835484000</v>
      </c>
      <c r="G128" s="66">
        <v>886734000</v>
      </c>
      <c r="H128" s="67">
        <v>709795000</v>
      </c>
      <c r="I128" s="105">
        <v>362080000</v>
      </c>
      <c r="J128" s="456">
        <v>547792000</v>
      </c>
      <c r="K128" s="105"/>
      <c r="L128" s="105"/>
      <c r="M128" s="105"/>
      <c r="N128" s="105"/>
    </row>
    <row r="129" spans="2:14">
      <c r="B129" s="85" t="s">
        <v>360</v>
      </c>
      <c r="C129" s="66">
        <v>156778000</v>
      </c>
      <c r="D129" s="66">
        <v>141316000</v>
      </c>
      <c r="E129" s="66">
        <v>143957000</v>
      </c>
      <c r="F129" s="66">
        <v>293230000</v>
      </c>
      <c r="G129" s="66">
        <v>620291000</v>
      </c>
      <c r="H129" s="67">
        <v>791392000</v>
      </c>
      <c r="I129" s="105">
        <v>211704000</v>
      </c>
      <c r="J129" s="456">
        <v>210304000</v>
      </c>
      <c r="K129" s="105"/>
      <c r="L129" s="105"/>
      <c r="M129" s="105"/>
      <c r="N129" s="105"/>
    </row>
    <row r="130" spans="2:14">
      <c r="B130" s="85" t="s">
        <v>361</v>
      </c>
      <c r="C130" s="66">
        <v>-41142000</v>
      </c>
      <c r="D130" s="66">
        <v>-9406000</v>
      </c>
      <c r="E130" s="66">
        <v>-2925000</v>
      </c>
      <c r="F130" s="66">
        <v>0</v>
      </c>
      <c r="G130" s="66">
        <v>-3529000</v>
      </c>
      <c r="H130" s="67">
        <v>-3493000</v>
      </c>
      <c r="I130" s="105">
        <v>-1953000</v>
      </c>
      <c r="J130" s="456">
        <v>0</v>
      </c>
      <c r="K130" s="105"/>
      <c r="L130" s="105"/>
      <c r="M130" s="105"/>
      <c r="N130" s="105"/>
    </row>
    <row r="131" spans="2:14">
      <c r="B131" s="86" t="s">
        <v>362</v>
      </c>
      <c r="C131" s="64">
        <v>84377382000</v>
      </c>
      <c r="D131" s="64">
        <v>74880625000</v>
      </c>
      <c r="E131" s="64">
        <v>116783166000</v>
      </c>
      <c r="F131" s="64">
        <v>79997215000</v>
      </c>
      <c r="G131" s="64">
        <v>96842675000</v>
      </c>
      <c r="H131" s="65">
        <v>115228127000</v>
      </c>
      <c r="I131" s="196">
        <v>142163435000</v>
      </c>
      <c r="J131" s="456">
        <v>138517750000</v>
      </c>
      <c r="K131" s="105"/>
      <c r="L131" s="105"/>
      <c r="M131" s="105"/>
      <c r="N131" s="105"/>
    </row>
    <row r="132" spans="2:14">
      <c r="B132" s="85" t="s">
        <v>363</v>
      </c>
      <c r="C132" s="66">
        <v>-20011567000</v>
      </c>
      <c r="D132" s="66">
        <v>-18623572000</v>
      </c>
      <c r="E132" s="66">
        <v>-29735929000</v>
      </c>
      <c r="F132" s="66">
        <v>-20084464000</v>
      </c>
      <c r="G132" s="91">
        <v>-23678422000</v>
      </c>
      <c r="H132" s="67">
        <v>-26933229000</v>
      </c>
      <c r="I132" s="105">
        <v>-35530960000</v>
      </c>
      <c r="J132" s="456">
        <v>-35804590000</v>
      </c>
      <c r="K132" s="105"/>
      <c r="L132" s="105"/>
      <c r="M132" s="105"/>
      <c r="N132" s="105"/>
    </row>
    <row r="133" spans="2:14" ht="28.5">
      <c r="B133" s="87" t="s">
        <v>364</v>
      </c>
      <c r="C133" s="66"/>
      <c r="D133" s="66"/>
      <c r="E133" s="66"/>
      <c r="F133" s="66"/>
      <c r="G133" s="91"/>
      <c r="H133" s="67"/>
      <c r="I133" s="105"/>
      <c r="J133" s="456"/>
      <c r="K133" s="105"/>
      <c r="L133" s="105"/>
      <c r="M133" s="105"/>
      <c r="N133" s="105"/>
    </row>
    <row r="134" spans="2:14">
      <c r="B134" s="84" t="s">
        <v>365</v>
      </c>
      <c r="C134" s="64">
        <v>64365815000</v>
      </c>
      <c r="D134" s="64">
        <v>56257053000</v>
      </c>
      <c r="E134" s="64">
        <v>87047237000</v>
      </c>
      <c r="F134" s="64">
        <v>59912751000</v>
      </c>
      <c r="G134" s="64">
        <v>73164253000</v>
      </c>
      <c r="H134" s="65">
        <v>88294898000</v>
      </c>
      <c r="I134" s="196">
        <v>106632475000</v>
      </c>
      <c r="J134" s="464">
        <v>102713160000</v>
      </c>
      <c r="K134" s="196"/>
      <c r="L134" s="196"/>
      <c r="M134" s="196"/>
      <c r="N134" s="196"/>
    </row>
    <row r="135" spans="2:14">
      <c r="B135" s="84" t="s">
        <v>366</v>
      </c>
      <c r="C135" s="111">
        <v>20.61</v>
      </c>
      <c r="D135" s="111">
        <v>18.010000000000002</v>
      </c>
      <c r="E135" s="111">
        <v>27.87</v>
      </c>
      <c r="F135" s="111">
        <v>19.18</v>
      </c>
      <c r="G135" s="111">
        <v>23.42</v>
      </c>
      <c r="H135" s="112">
        <v>28.27</v>
      </c>
      <c r="I135" s="112">
        <v>34.14</v>
      </c>
      <c r="J135" s="112">
        <v>33</v>
      </c>
      <c r="K135" s="486"/>
      <c r="L135" s="112"/>
      <c r="M135" s="112"/>
      <c r="N135" s="112"/>
    </row>
    <row r="137" spans="2:14" ht="14.65" thickBot="1">
      <c r="B137" s="75" t="s">
        <v>367</v>
      </c>
    </row>
    <row r="138" spans="2:14" ht="14.65" thickBot="1">
      <c r="B138" s="82" t="s">
        <v>308</v>
      </c>
      <c r="C138" s="88">
        <v>2017</v>
      </c>
      <c r="D138" s="88">
        <v>2018</v>
      </c>
      <c r="E138" s="88">
        <v>2019</v>
      </c>
      <c r="F138" s="88">
        <v>2020</v>
      </c>
      <c r="G138" s="88">
        <v>2021</v>
      </c>
      <c r="H138" s="89">
        <v>2022</v>
      </c>
      <c r="I138" s="103">
        <v>2023</v>
      </c>
      <c r="J138" s="489">
        <v>2024</v>
      </c>
      <c r="K138" s="103">
        <v>2023</v>
      </c>
      <c r="L138" s="103">
        <v>2023</v>
      </c>
      <c r="M138" s="103">
        <v>2023</v>
      </c>
      <c r="N138" s="103">
        <v>2023</v>
      </c>
    </row>
    <row r="139" spans="2:14">
      <c r="B139" s="83" t="s">
        <v>368</v>
      </c>
      <c r="C139" s="92">
        <v>77691803000</v>
      </c>
      <c r="D139" s="92">
        <v>43562701000</v>
      </c>
      <c r="E139" s="92">
        <v>46771671000</v>
      </c>
      <c r="F139" s="92">
        <v>116434589000</v>
      </c>
      <c r="G139" s="92">
        <v>-10356380000</v>
      </c>
      <c r="H139" s="92">
        <v>70312856000</v>
      </c>
      <c r="I139" s="92">
        <v>92372295000</v>
      </c>
      <c r="J139" s="484">
        <v>85262143000</v>
      </c>
      <c r="K139" s="110"/>
      <c r="L139" s="92"/>
      <c r="M139" s="92"/>
      <c r="N139" s="92"/>
    </row>
    <row r="140" spans="2:14">
      <c r="B140" s="86" t="s">
        <v>369</v>
      </c>
      <c r="C140" s="91">
        <v>1972153000</v>
      </c>
      <c r="D140" s="91">
        <v>1267439000</v>
      </c>
      <c r="E140" s="93">
        <v>-6397165000</v>
      </c>
      <c r="F140" s="66">
        <v>14486262000</v>
      </c>
      <c r="G140" s="66">
        <v>39106469000</v>
      </c>
      <c r="H140" s="66">
        <v>5382999000</v>
      </c>
      <c r="I140" s="66">
        <v>317026000</v>
      </c>
      <c r="J140" s="67">
        <v>3351860000</v>
      </c>
      <c r="K140" s="105"/>
      <c r="L140" s="66"/>
      <c r="M140" s="66"/>
      <c r="N140" s="66"/>
    </row>
    <row r="141" spans="2:14">
      <c r="B141" s="85" t="s">
        <v>370</v>
      </c>
      <c r="C141" s="93">
        <v>-94409000</v>
      </c>
      <c r="D141" s="93">
        <v>-474188000</v>
      </c>
      <c r="E141" s="93">
        <v>-1055243000</v>
      </c>
      <c r="F141" s="93">
        <v>-1530184000</v>
      </c>
      <c r="G141" s="93">
        <v>-709202000</v>
      </c>
      <c r="H141" s="93">
        <v>-719357000</v>
      </c>
      <c r="I141" s="93">
        <v>-484977000</v>
      </c>
      <c r="J141" s="449">
        <v>-1210103000</v>
      </c>
      <c r="K141" s="413"/>
      <c r="L141" s="93"/>
      <c r="M141" s="93"/>
      <c r="N141" s="93"/>
    </row>
    <row r="142" spans="2:14">
      <c r="B142" s="85" t="s">
        <v>371</v>
      </c>
      <c r="C142" s="93">
        <v>-1203385000</v>
      </c>
      <c r="D142" s="93">
        <v>-596721000</v>
      </c>
      <c r="E142" s="93">
        <v>-802498000</v>
      </c>
      <c r="F142" s="93">
        <v>-1919249000</v>
      </c>
      <c r="G142" s="93">
        <v>-1084352000</v>
      </c>
      <c r="H142" s="93">
        <v>-1202368000</v>
      </c>
      <c r="I142" s="93">
        <v>-1684510000</v>
      </c>
      <c r="J142" s="449">
        <v>-364253000</v>
      </c>
      <c r="K142" s="413"/>
      <c r="L142" s="93"/>
      <c r="M142" s="93"/>
      <c r="N142" s="93"/>
    </row>
    <row r="143" spans="2:14">
      <c r="B143" s="86" t="s">
        <v>372</v>
      </c>
      <c r="C143" s="93">
        <v>-22760485000</v>
      </c>
      <c r="D143" s="93">
        <v>-89774234000</v>
      </c>
      <c r="E143" s="66">
        <v>-47647368000</v>
      </c>
      <c r="F143" s="93">
        <v>-111543193000</v>
      </c>
      <c r="G143" s="93">
        <v>-70973872000</v>
      </c>
      <c r="H143" s="93">
        <v>-71949737000</v>
      </c>
      <c r="I143" s="93">
        <v>-75488653000</v>
      </c>
      <c r="J143" s="449">
        <v>-81495346000</v>
      </c>
      <c r="K143" s="413"/>
      <c r="L143" s="93"/>
      <c r="M143" s="93"/>
      <c r="N143" s="93"/>
    </row>
    <row r="144" spans="2:14">
      <c r="B144" s="85" t="s">
        <v>373</v>
      </c>
      <c r="C144" s="93">
        <v>-22303700000</v>
      </c>
      <c r="D144" s="93">
        <v>-89308513000</v>
      </c>
      <c r="E144" s="93">
        <v>-47168889000</v>
      </c>
      <c r="F144" s="93">
        <v>-111143647000</v>
      </c>
      <c r="G144" s="93">
        <v>-70973872000</v>
      </c>
      <c r="H144" s="93">
        <v>-71949737000</v>
      </c>
      <c r="I144" s="93">
        <v>-75488653000</v>
      </c>
      <c r="J144" s="449">
        <v>-81495346000</v>
      </c>
      <c r="K144" s="413"/>
      <c r="L144" s="93"/>
      <c r="M144" s="93"/>
      <c r="N144" s="93"/>
    </row>
    <row r="145" spans="2:14">
      <c r="B145" s="85" t="s">
        <v>374</v>
      </c>
      <c r="C145" s="93">
        <v>-39876000</v>
      </c>
      <c r="D145" s="93">
        <v>-40652000</v>
      </c>
      <c r="E145" s="93">
        <v>-45023000</v>
      </c>
      <c r="F145" s="93">
        <v>-46161000</v>
      </c>
      <c r="G145" s="93">
        <v>0</v>
      </c>
      <c r="H145" s="93">
        <v>0</v>
      </c>
      <c r="I145" s="93">
        <v>0</v>
      </c>
      <c r="J145" s="449"/>
      <c r="K145" s="413"/>
      <c r="L145" s="93"/>
      <c r="M145" s="93"/>
      <c r="N145" s="93"/>
    </row>
    <row r="146" spans="2:14">
      <c r="B146" s="86" t="s">
        <v>375</v>
      </c>
      <c r="C146" s="66">
        <v>100613794000</v>
      </c>
      <c r="D146" s="66">
        <v>57257018000</v>
      </c>
      <c r="E146" s="91">
        <v>51694904000</v>
      </c>
      <c r="F146" s="66">
        <v>66322752000</v>
      </c>
      <c r="G146" s="66">
        <v>28832104000</v>
      </c>
      <c r="H146" s="66">
        <v>32391568000</v>
      </c>
      <c r="I146" s="66">
        <v>49820636000</v>
      </c>
      <c r="J146" s="67">
        <v>57182645000</v>
      </c>
      <c r="K146" s="105"/>
      <c r="L146" s="66"/>
      <c r="M146" s="66"/>
      <c r="N146" s="66"/>
    </row>
    <row r="147" spans="2:14">
      <c r="B147" s="85"/>
      <c r="C147" s="66"/>
      <c r="D147" s="66"/>
      <c r="E147" s="66"/>
      <c r="F147" s="66"/>
      <c r="G147" s="66"/>
      <c r="H147" s="66"/>
      <c r="I147" s="66"/>
      <c r="J147" s="67"/>
      <c r="K147" s="105"/>
      <c r="L147" s="66"/>
      <c r="M147" s="66"/>
      <c r="N147" s="66"/>
    </row>
    <row r="148" spans="2:14">
      <c r="B148" s="84" t="s">
        <v>376</v>
      </c>
      <c r="C148" s="66">
        <f t="shared" ref="C148:H148" si="81">+C139+C141+C142+C145</f>
        <v>76354133000</v>
      </c>
      <c r="D148" s="66">
        <f t="shared" si="81"/>
        <v>42451140000</v>
      </c>
      <c r="E148" s="66">
        <f t="shared" si="81"/>
        <v>44868907000</v>
      </c>
      <c r="F148" s="66">
        <f t="shared" si="81"/>
        <v>112938995000</v>
      </c>
      <c r="G148" s="66">
        <f t="shared" si="81"/>
        <v>-12149934000</v>
      </c>
      <c r="H148" s="66">
        <f t="shared" si="81"/>
        <v>68391131000</v>
      </c>
      <c r="I148" s="66">
        <f>+I139+I141+I142+I145</f>
        <v>90202808000</v>
      </c>
      <c r="J148" s="67">
        <v>83687787000</v>
      </c>
      <c r="K148" s="105">
        <f t="shared" ref="K148:N148" si="82">+K139+K141+K142</f>
        <v>0</v>
      </c>
      <c r="L148" s="66">
        <f t="shared" si="82"/>
        <v>0</v>
      </c>
      <c r="M148" s="66">
        <f t="shared" si="82"/>
        <v>0</v>
      </c>
      <c r="N148" s="66">
        <f t="shared" si="82"/>
        <v>0</v>
      </c>
    </row>
  </sheetData>
  <conditionalFormatting sqref="C70:I73 D74:I74 C75:I79 C80:F80 H80:I80 C81:I108">
    <cfRule type="cellIs" dxfId="294" priority="11" operator="lessThan">
      <formula>0</formula>
    </cfRule>
  </conditionalFormatting>
  <conditionalFormatting sqref="C118:N135">
    <cfRule type="cellIs" dxfId="293" priority="1" operator="lessThan">
      <formula>0</formula>
    </cfRule>
  </conditionalFormatting>
  <conditionalFormatting sqref="J70:N108 C110:N114">
    <cfRule type="cellIs" dxfId="292" priority="2" operator="lessThan">
      <formula>0</formula>
    </cfRule>
  </conditionalFormatting>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07ED-1D0F-4EF2-A888-35A9D3A26487}">
  <dimension ref="B2:P146"/>
  <sheetViews>
    <sheetView zoomScaleNormal="100" workbookViewId="0">
      <pane xSplit="2" ySplit="6" topLeftCell="J66" activePane="bottomRight" state="frozen"/>
      <selection pane="bottomRight" activeCell="J46" sqref="J46"/>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3" width="35.7109375" bestFit="1" customWidth="1"/>
    <col min="4" max="4" width="37" bestFit="1" customWidth="1"/>
    <col min="5" max="7" width="35.7109375" bestFit="1" customWidth="1"/>
    <col min="8" max="8" width="35.7109375" customWidth="1"/>
    <col min="9" max="9" width="35" customWidth="1"/>
    <col min="10" max="14" width="27.28515625" customWidth="1"/>
  </cols>
  <sheetData>
    <row r="2" spans="2:14" ht="21">
      <c r="B2" s="313">
        <f ca="1">TODAY()-1</f>
        <v>46105</v>
      </c>
      <c r="C2" s="314"/>
      <c r="D2" s="344" t="s">
        <v>265</v>
      </c>
      <c r="E2" s="345" t="s">
        <v>266</v>
      </c>
    </row>
    <row r="3" spans="2:14" ht="25.5">
      <c r="B3" s="376" cm="1">
        <f t="array" aca="1" ref="B3" ca="1">_FV(B6,"Precio")</f>
        <v>347</v>
      </c>
      <c r="C3" s="316"/>
      <c r="D3" s="346">
        <f>AVERAGE(G45:I45)</f>
        <v>9.0020033333333327</v>
      </c>
      <c r="E3" s="346">
        <f>AVERAGE(G44:I44)</f>
        <v>14.895003333333333</v>
      </c>
    </row>
    <row r="4" spans="2:14" ht="28.5">
      <c r="B4" s="319"/>
      <c r="C4" s="320"/>
      <c r="D4" s="328"/>
      <c r="E4" s="328"/>
    </row>
    <row r="6" spans="2:14" ht="33.4">
      <c r="B6" s="3" t="e" vm="3">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150618761000</v>
      </c>
      <c r="D7" s="5">
        <f t="shared" ref="D7:I7" si="0">+D61</f>
        <v>168513972000</v>
      </c>
      <c r="E7" s="5">
        <f t="shared" si="0"/>
        <v>197676646000</v>
      </c>
      <c r="F7" s="5">
        <f t="shared" si="0"/>
        <v>302254499000</v>
      </c>
      <c r="G7" s="5">
        <f t="shared" si="0"/>
        <v>283854689000</v>
      </c>
      <c r="H7" s="5">
        <f t="shared" si="0"/>
        <v>324838124000</v>
      </c>
      <c r="I7" s="5">
        <f t="shared" si="0"/>
        <v>275000996000</v>
      </c>
      <c r="J7" s="5">
        <f t="shared" ref="J7:N7" si="1">+J61</f>
        <v>0</v>
      </c>
      <c r="K7" s="5">
        <f t="shared" si="1"/>
        <v>0</v>
      </c>
      <c r="L7" s="5">
        <f t="shared" si="1"/>
        <v>0</v>
      </c>
      <c r="M7" s="5">
        <f t="shared" si="1"/>
        <v>0</v>
      </c>
      <c r="N7" s="5">
        <f t="shared" si="1"/>
        <v>0</v>
      </c>
    </row>
    <row r="8" spans="2:14" ht="25.5">
      <c r="B8" s="146" t="s">
        <v>377</v>
      </c>
      <c r="C8" s="147">
        <f>+C65</f>
        <v>113515790000</v>
      </c>
      <c r="D8" s="147">
        <f t="shared" ref="D8:I8" si="2">+D65</f>
        <v>116821062000</v>
      </c>
      <c r="E8" s="147">
        <f t="shared" si="2"/>
        <v>115937498000</v>
      </c>
      <c r="F8" s="147">
        <f t="shared" si="2"/>
        <v>87482681000</v>
      </c>
      <c r="G8" s="147">
        <f t="shared" si="2"/>
        <v>101105786000</v>
      </c>
      <c r="H8" s="147">
        <f t="shared" si="2"/>
        <v>122777327000</v>
      </c>
      <c r="I8" s="147">
        <f t="shared" si="2"/>
        <v>132007468000</v>
      </c>
      <c r="J8" s="147">
        <f t="shared" ref="J8:N8" si="3">+J65</f>
        <v>0</v>
      </c>
      <c r="K8" s="147">
        <f t="shared" si="3"/>
        <v>0</v>
      </c>
      <c r="L8" s="147">
        <f t="shared" si="3"/>
        <v>0</v>
      </c>
      <c r="M8" s="147">
        <f t="shared" si="3"/>
        <v>0</v>
      </c>
      <c r="N8" s="147">
        <f t="shared" si="3"/>
        <v>0</v>
      </c>
    </row>
    <row r="9" spans="2:14" ht="25.5">
      <c r="B9" s="146" t="s">
        <v>378</v>
      </c>
      <c r="C9" s="147">
        <f>+C67</f>
        <v>3925378000</v>
      </c>
      <c r="D9" s="147">
        <f t="shared" ref="D9:I9" si="4">+D67</f>
        <v>3636388000</v>
      </c>
      <c r="E9" s="147">
        <f t="shared" si="4"/>
        <v>3810599000</v>
      </c>
      <c r="F9" s="147">
        <f t="shared" si="4"/>
        <v>3954953000</v>
      </c>
      <c r="G9" s="147">
        <f t="shared" si="4"/>
        <v>5185858000</v>
      </c>
      <c r="H9" s="147">
        <f t="shared" si="4"/>
        <v>12790532000</v>
      </c>
      <c r="I9" s="147">
        <f t="shared" si="4"/>
        <v>12812483000</v>
      </c>
      <c r="J9" s="147">
        <f t="shared" ref="J9:N9" si="5">+J67</f>
        <v>0</v>
      </c>
      <c r="K9" s="147">
        <f t="shared" si="5"/>
        <v>0</v>
      </c>
      <c r="L9" s="147">
        <f t="shared" si="5"/>
        <v>0</v>
      </c>
      <c r="M9" s="147">
        <f t="shared" si="5"/>
        <v>0</v>
      </c>
      <c r="N9" s="147">
        <f t="shared" si="5"/>
        <v>0</v>
      </c>
    </row>
    <row r="10" spans="2:14" ht="25.5">
      <c r="B10" s="4" t="s">
        <v>379</v>
      </c>
      <c r="C10" s="5">
        <f>+C70</f>
        <v>1646261375000</v>
      </c>
      <c r="D10" s="5">
        <f t="shared" ref="D10:I10" si="6">+D70</f>
        <v>1737538127000</v>
      </c>
      <c r="E10" s="5">
        <f t="shared" si="6"/>
        <v>1803767656000</v>
      </c>
      <c r="F10" s="5">
        <f t="shared" si="6"/>
        <v>1842181989000</v>
      </c>
      <c r="G10" s="5">
        <f t="shared" si="6"/>
        <v>1945366921000</v>
      </c>
      <c r="H10" s="5">
        <f t="shared" si="6"/>
        <v>2054511436000</v>
      </c>
      <c r="I10" s="5">
        <f t="shared" si="6"/>
        <v>2148343319000</v>
      </c>
      <c r="J10" s="5">
        <f t="shared" ref="J10:N10" si="7">+J70</f>
        <v>0</v>
      </c>
      <c r="K10" s="5">
        <f t="shared" si="7"/>
        <v>0</v>
      </c>
      <c r="L10" s="5">
        <f t="shared" si="7"/>
        <v>0</v>
      </c>
      <c r="M10" s="5">
        <f t="shared" si="7"/>
        <v>0</v>
      </c>
      <c r="N10" s="5">
        <f t="shared" si="7"/>
        <v>0</v>
      </c>
    </row>
    <row r="11" spans="2:14" ht="25.5">
      <c r="B11" s="8" t="s">
        <v>272</v>
      </c>
      <c r="C11" s="9">
        <f>+C10+C7</f>
        <v>1796880136000</v>
      </c>
      <c r="D11" s="9">
        <f t="shared" ref="D11:I11" si="8">+D10+D7</f>
        <v>1906052099000</v>
      </c>
      <c r="E11" s="9">
        <f t="shared" si="8"/>
        <v>2001444302000</v>
      </c>
      <c r="F11" s="9">
        <f t="shared" si="8"/>
        <v>2144436488000</v>
      </c>
      <c r="G11" s="9">
        <f t="shared" si="8"/>
        <v>2229221610000</v>
      </c>
      <c r="H11" s="9">
        <f t="shared" si="8"/>
        <v>2379349560000</v>
      </c>
      <c r="I11" s="9">
        <f t="shared" si="8"/>
        <v>2423344315000</v>
      </c>
      <c r="J11" s="9">
        <f t="shared" ref="J11:N11" si="9">+J10+J7</f>
        <v>0</v>
      </c>
      <c r="K11" s="9">
        <f t="shared" si="9"/>
        <v>0</v>
      </c>
      <c r="L11" s="9">
        <f t="shared" si="9"/>
        <v>0</v>
      </c>
      <c r="M11" s="9">
        <f t="shared" si="9"/>
        <v>0</v>
      </c>
      <c r="N11" s="9">
        <f t="shared" si="9"/>
        <v>0</v>
      </c>
    </row>
    <row r="12" spans="2:14" ht="25.5">
      <c r="B12" s="10" t="s">
        <v>273</v>
      </c>
      <c r="C12" s="11">
        <f>+C84</f>
        <v>237111903000</v>
      </c>
      <c r="D12" s="11">
        <f t="shared" ref="D12:I12" si="10">+D84</f>
        <v>242318524000</v>
      </c>
      <c r="E12" s="11">
        <f t="shared" si="10"/>
        <v>242137717000</v>
      </c>
      <c r="F12" s="11">
        <f t="shared" si="10"/>
        <v>244032589000</v>
      </c>
      <c r="G12" s="11">
        <f t="shared" si="10"/>
        <v>248642211000</v>
      </c>
      <c r="H12" s="11">
        <f t="shared" si="10"/>
        <v>265797147000</v>
      </c>
      <c r="I12" s="11">
        <f t="shared" si="10"/>
        <v>361668126000</v>
      </c>
      <c r="J12" s="11">
        <f t="shared" ref="J12:N12" si="11">+J84</f>
        <v>0</v>
      </c>
      <c r="K12" s="11">
        <f t="shared" si="11"/>
        <v>0</v>
      </c>
      <c r="L12" s="11">
        <f t="shared" si="11"/>
        <v>0</v>
      </c>
      <c r="M12" s="11">
        <f t="shared" si="11"/>
        <v>0</v>
      </c>
      <c r="N12" s="11">
        <f t="shared" si="11"/>
        <v>0</v>
      </c>
    </row>
    <row r="13" spans="2:14" ht="25.5">
      <c r="B13" s="10" t="s">
        <v>274</v>
      </c>
      <c r="C13" s="11">
        <f>+C94</f>
        <v>866468756000</v>
      </c>
      <c r="D13" s="11">
        <f t="shared" ref="D13:I13" si="12">+D94</f>
        <v>976742178000</v>
      </c>
      <c r="E13" s="11">
        <f t="shared" si="12"/>
        <v>1071833122000</v>
      </c>
      <c r="F13" s="11">
        <f t="shared" si="12"/>
        <v>1059655092000</v>
      </c>
      <c r="G13" s="11">
        <f t="shared" si="12"/>
        <v>1138031686000</v>
      </c>
      <c r="H13" s="11">
        <f t="shared" si="12"/>
        <v>1274661314000</v>
      </c>
      <c r="I13" s="11">
        <f t="shared" si="12"/>
        <v>1175540305000</v>
      </c>
      <c r="J13" s="11">
        <f t="shared" ref="J13:N13" si="13">+J94</f>
        <v>0</v>
      </c>
      <c r="K13" s="11">
        <f t="shared" si="13"/>
        <v>0</v>
      </c>
      <c r="L13" s="11">
        <f t="shared" si="13"/>
        <v>0</v>
      </c>
      <c r="M13" s="11">
        <f t="shared" si="13"/>
        <v>0</v>
      </c>
      <c r="N13" s="11">
        <f t="shared" si="13"/>
        <v>0</v>
      </c>
    </row>
    <row r="14" spans="2:14" ht="25.5">
      <c r="B14" s="12" t="s">
        <v>275</v>
      </c>
      <c r="C14" s="13">
        <f>+C12+C13</f>
        <v>1103580659000</v>
      </c>
      <c r="D14" s="13">
        <f t="shared" ref="D14:I14" si="14">+D12+D13</f>
        <v>1219060702000</v>
      </c>
      <c r="E14" s="13">
        <f t="shared" si="14"/>
        <v>1313970839000</v>
      </c>
      <c r="F14" s="13">
        <f t="shared" si="14"/>
        <v>1303687681000</v>
      </c>
      <c r="G14" s="13">
        <f t="shared" si="14"/>
        <v>1386673897000</v>
      </c>
      <c r="H14" s="13">
        <f t="shared" si="14"/>
        <v>1540458461000</v>
      </c>
      <c r="I14" s="13">
        <f t="shared" si="14"/>
        <v>1537208431000</v>
      </c>
      <c r="J14" s="13">
        <f t="shared" ref="J14:N14" si="15">+J12+J13</f>
        <v>0</v>
      </c>
      <c r="K14" s="13">
        <f t="shared" si="15"/>
        <v>0</v>
      </c>
      <c r="L14" s="13">
        <f t="shared" si="15"/>
        <v>0</v>
      </c>
      <c r="M14" s="13">
        <f t="shared" si="15"/>
        <v>0</v>
      </c>
      <c r="N14" s="13">
        <f t="shared" si="15"/>
        <v>0</v>
      </c>
    </row>
    <row r="15" spans="2:14" ht="25.5">
      <c r="B15" s="14" t="s">
        <v>276</v>
      </c>
      <c r="C15" s="15">
        <f>+C109</f>
        <v>642630776000</v>
      </c>
      <c r="D15" s="15">
        <f t="shared" ref="D15:I15" si="16">+D109</f>
        <v>638620196000</v>
      </c>
      <c r="E15" s="15">
        <f t="shared" si="16"/>
        <v>644453334000</v>
      </c>
      <c r="F15" s="15">
        <f t="shared" si="16"/>
        <v>840723242000</v>
      </c>
      <c r="G15" s="15">
        <f t="shared" si="16"/>
        <v>842520215000</v>
      </c>
      <c r="H15" s="15">
        <f t="shared" si="16"/>
        <v>838861526000</v>
      </c>
      <c r="I15" s="15">
        <f t="shared" si="16"/>
        <v>886107830000</v>
      </c>
      <c r="J15" s="15">
        <f t="shared" ref="J15:N15" si="17">+J109</f>
        <v>0</v>
      </c>
      <c r="K15" s="15">
        <f t="shared" si="17"/>
        <v>0</v>
      </c>
      <c r="L15" s="15">
        <f t="shared" si="17"/>
        <v>0</v>
      </c>
      <c r="M15" s="15">
        <f t="shared" si="17"/>
        <v>0</v>
      </c>
      <c r="N15" s="15">
        <f t="shared" si="17"/>
        <v>0</v>
      </c>
    </row>
    <row r="16" spans="2:14" ht="25.5">
      <c r="B16" s="79" t="s">
        <v>278</v>
      </c>
      <c r="C16" s="80">
        <v>6118965160</v>
      </c>
      <c r="D16" s="80">
        <v>6118965160</v>
      </c>
      <c r="E16" s="80">
        <v>6118965160</v>
      </c>
      <c r="F16" s="80">
        <v>6118965160</v>
      </c>
      <c r="G16" s="80">
        <v>6118965160</v>
      </c>
      <c r="H16" s="80">
        <v>6118965160</v>
      </c>
      <c r="I16" s="80">
        <v>6118965160</v>
      </c>
      <c r="J16" s="80"/>
      <c r="K16" s="80"/>
      <c r="L16" s="80"/>
      <c r="M16" s="80"/>
      <c r="N16" s="80"/>
    </row>
    <row r="18" spans="2:14" ht="25.5">
      <c r="B18" s="18" t="s">
        <v>279</v>
      </c>
      <c r="C18" s="19">
        <f t="shared" ref="C18:I18" si="18">(C15/C16)</f>
        <v>105.02278721913821</v>
      </c>
      <c r="D18" s="19">
        <f t="shared" si="18"/>
        <v>104.36735286134559</v>
      </c>
      <c r="E18" s="19">
        <f t="shared" si="18"/>
        <v>105.3206411784832</v>
      </c>
      <c r="F18" s="19">
        <f t="shared" si="18"/>
        <v>137.39631130699232</v>
      </c>
      <c r="G18" s="19">
        <f t="shared" si="18"/>
        <v>137.68998400376577</v>
      </c>
      <c r="H18" s="19">
        <f t="shared" si="18"/>
        <v>137.09205789954194</v>
      </c>
      <c r="I18" s="19">
        <f t="shared" si="18"/>
        <v>144.81334781778688</v>
      </c>
      <c r="J18" s="19" t="e">
        <f t="shared" ref="J18:N18" si="19">(J15/J16)</f>
        <v>#DIV/0!</v>
      </c>
      <c r="K18" s="19" t="e">
        <f t="shared" si="19"/>
        <v>#DIV/0!</v>
      </c>
      <c r="L18" s="19" t="e">
        <f t="shared" si="19"/>
        <v>#DIV/0!</v>
      </c>
      <c r="M18" s="19" t="e">
        <f t="shared" si="19"/>
        <v>#DIV/0!</v>
      </c>
      <c r="N18" s="19" t="e">
        <f t="shared" si="19"/>
        <v>#DIV/0!</v>
      </c>
    </row>
    <row r="19" spans="2:14" ht="25.5">
      <c r="B19" s="76" t="s">
        <v>282</v>
      </c>
      <c r="C19" s="77">
        <v>407.5</v>
      </c>
      <c r="D19" s="77">
        <v>382</v>
      </c>
      <c r="E19" s="77">
        <v>319</v>
      </c>
      <c r="F19" s="77">
        <v>229</v>
      </c>
      <c r="G19" s="77">
        <v>155</v>
      </c>
      <c r="H19" s="101">
        <v>196</v>
      </c>
      <c r="I19" s="101">
        <v>284.60000000000002</v>
      </c>
      <c r="J19" s="101"/>
      <c r="K19" s="101"/>
      <c r="L19" s="101"/>
      <c r="M19" s="101"/>
      <c r="N19" s="101"/>
    </row>
    <row r="20" spans="2:14" ht="25.5">
      <c r="B20" s="18" t="s">
        <v>283</v>
      </c>
      <c r="C20" s="22">
        <f>+C19/C40</f>
        <v>17.858708037514241</v>
      </c>
      <c r="D20" s="22">
        <f t="shared" ref="D20:I20" si="20">+D19/D40</f>
        <v>17.18012143017765</v>
      </c>
      <c r="E20" s="22">
        <f t="shared" si="20"/>
        <v>13.771369366257986</v>
      </c>
      <c r="F20" s="22">
        <f t="shared" si="20"/>
        <v>14.198028396056792</v>
      </c>
      <c r="G20" s="22">
        <f t="shared" si="20"/>
        <v>9.4236381322957197</v>
      </c>
      <c r="H20" s="22">
        <f t="shared" si="20"/>
        <v>14.068331897789262</v>
      </c>
      <c r="I20" s="22">
        <f t="shared" si="20"/>
        <v>13.055045871559633</v>
      </c>
      <c r="J20" s="22" t="e">
        <f t="shared" ref="J20:N20" si="21">+J19/J40</f>
        <v>#DIV/0!</v>
      </c>
      <c r="K20" s="22" t="e">
        <f t="shared" si="21"/>
        <v>#DIV/0!</v>
      </c>
      <c r="L20" s="22" t="e">
        <f t="shared" si="21"/>
        <v>#DIV/0!</v>
      </c>
      <c r="M20" s="22" t="e">
        <f t="shared" si="21"/>
        <v>#DIV/0!</v>
      </c>
      <c r="N20" s="22" t="e">
        <f t="shared" si="21"/>
        <v>#DIV/0!</v>
      </c>
    </row>
    <row r="21" spans="2:14" ht="25.5">
      <c r="B21" s="18" t="s">
        <v>380</v>
      </c>
      <c r="C21" s="22">
        <f t="shared" ref="C21:I21" si="22">+C19/C18</f>
        <v>3.8801103150092522</v>
      </c>
      <c r="D21" s="22">
        <f t="shared" si="22"/>
        <v>3.6601484039505698</v>
      </c>
      <c r="E21" s="22">
        <f t="shared" si="22"/>
        <v>3.0288459738808644</v>
      </c>
      <c r="F21" s="22">
        <f t="shared" si="22"/>
        <v>1.6667114118393791</v>
      </c>
      <c r="G21" s="22">
        <f t="shared" si="22"/>
        <v>1.1257173215719221</v>
      </c>
      <c r="H21" s="22">
        <f t="shared" si="22"/>
        <v>1.4296962420946697</v>
      </c>
      <c r="I21" s="22">
        <f t="shared" si="22"/>
        <v>1.965288450883004</v>
      </c>
      <c r="J21" s="22" t="e">
        <f t="shared" ref="J21:N21" si="23">+J19/J18</f>
        <v>#DIV/0!</v>
      </c>
      <c r="K21" s="22" t="e">
        <f t="shared" si="23"/>
        <v>#DIV/0!</v>
      </c>
      <c r="L21" s="22" t="e">
        <f t="shared" si="23"/>
        <v>#DIV/0!</v>
      </c>
      <c r="M21" s="22" t="e">
        <f t="shared" si="23"/>
        <v>#DIV/0!</v>
      </c>
      <c r="N21" s="22" t="e">
        <f t="shared" si="23"/>
        <v>#DIV/0!</v>
      </c>
    </row>
    <row r="22" spans="2:14" ht="25.5">
      <c r="B22" s="18" t="s">
        <v>285</v>
      </c>
      <c r="C22" s="22">
        <f>+C20*C21</f>
        <v>69.29375726909764</v>
      </c>
      <c r="D22" s="22">
        <f t="shared" ref="D22:I22" si="24">+D20*D21</f>
        <v>62.881794032341709</v>
      </c>
      <c r="E22" s="22">
        <f t="shared" si="24"/>
        <v>41.711356659816772</v>
      </c>
      <c r="F22" s="22">
        <f t="shared" si="24"/>
        <v>23.664015953327411</v>
      </c>
      <c r="G22" s="22">
        <f t="shared" si="24"/>
        <v>10.608352677750968</v>
      </c>
      <c r="H22" s="22">
        <f t="shared" si="24"/>
        <v>20.113441246809881</v>
      </c>
      <c r="I22" s="22">
        <f t="shared" si="24"/>
        <v>25.656930877123987</v>
      </c>
      <c r="J22" s="22" t="e">
        <f t="shared" ref="J22:N22" si="25">+J20*J21</f>
        <v>#DIV/0!</v>
      </c>
      <c r="K22" s="22" t="e">
        <f t="shared" si="25"/>
        <v>#DIV/0!</v>
      </c>
      <c r="L22" s="22" t="e">
        <f t="shared" si="25"/>
        <v>#DIV/0!</v>
      </c>
      <c r="M22" s="22" t="e">
        <f t="shared" si="25"/>
        <v>#DIV/0!</v>
      </c>
      <c r="N22" s="22" t="e">
        <f t="shared" si="25"/>
        <v>#DIV/0!</v>
      </c>
    </row>
    <row r="23" spans="2:14" ht="25.5">
      <c r="B23" s="23" t="s">
        <v>286</v>
      </c>
      <c r="C23" s="24">
        <f>IF(C41&lt;10%,0,IF(15%&lt;C41,2,1))</f>
        <v>2</v>
      </c>
      <c r="D23" s="24">
        <f>IF(D41&lt;10%,0,IF(15%&lt;D41,2,1))</f>
        <v>2</v>
      </c>
      <c r="E23" s="24">
        <f t="shared" ref="E23:I23" si="26">IF(E41&lt;10%,0,IF(15%&lt;E41,2,1))</f>
        <v>2</v>
      </c>
      <c r="F23" s="24">
        <f t="shared" si="26"/>
        <v>1</v>
      </c>
      <c r="G23" s="24">
        <f t="shared" si="26"/>
        <v>1</v>
      </c>
      <c r="H23" s="24">
        <f t="shared" si="26"/>
        <v>1</v>
      </c>
      <c r="I23" s="24">
        <f t="shared" si="26"/>
        <v>2</v>
      </c>
      <c r="J23" s="24" t="e">
        <f t="shared" ref="J23:N23" si="27">IF(J41&lt;10%,0,IF(15%&lt;J41,2,1))</f>
        <v>#DIV/0!</v>
      </c>
      <c r="K23" s="24" t="e">
        <f t="shared" si="27"/>
        <v>#DIV/0!</v>
      </c>
      <c r="L23" s="24" t="e">
        <f t="shared" si="27"/>
        <v>#DIV/0!</v>
      </c>
      <c r="M23" s="24" t="e">
        <f t="shared" si="27"/>
        <v>#DIV/0!</v>
      </c>
      <c r="N23" s="24" t="e">
        <f t="shared" si="27"/>
        <v>#DIV/0!</v>
      </c>
    </row>
    <row r="24" spans="2:14" ht="25.5">
      <c r="B24" s="23" t="s">
        <v>287</v>
      </c>
      <c r="C24" s="24">
        <f>IF(C41&lt;10%,1,IF(15%&lt;C41,2.5,2))</f>
        <v>2.5</v>
      </c>
      <c r="D24" s="24">
        <f t="shared" ref="D24:I24" si="28">IF(D41&lt;10%,1,IF(15%&lt;D41,2.5,2))</f>
        <v>2.5</v>
      </c>
      <c r="E24" s="24">
        <f t="shared" si="28"/>
        <v>2.5</v>
      </c>
      <c r="F24" s="24">
        <f t="shared" si="28"/>
        <v>2</v>
      </c>
      <c r="G24" s="24">
        <f t="shared" si="28"/>
        <v>2</v>
      </c>
      <c r="H24" s="24">
        <f t="shared" si="28"/>
        <v>2</v>
      </c>
      <c r="I24" s="24">
        <f t="shared" si="28"/>
        <v>2.5</v>
      </c>
      <c r="J24" s="24" t="e">
        <f t="shared" ref="J24:N24" si="29">IF(J41&lt;10%,1,IF(15%&lt;J41,2.5,2))</f>
        <v>#DIV/0!</v>
      </c>
      <c r="K24" s="24" t="e">
        <f t="shared" si="29"/>
        <v>#DIV/0!</v>
      </c>
      <c r="L24" s="24" t="e">
        <f t="shared" si="29"/>
        <v>#DIV/0!</v>
      </c>
      <c r="M24" s="24" t="e">
        <f t="shared" si="29"/>
        <v>#DIV/0!</v>
      </c>
      <c r="N24" s="24" t="e">
        <f t="shared" si="29"/>
        <v>#DIV/0!</v>
      </c>
    </row>
    <row r="25" spans="2:14" ht="25.5">
      <c r="B25" s="25" t="s">
        <v>288</v>
      </c>
      <c r="C25" s="26">
        <f t="shared" ref="C25:I25" si="30">+C23*C18</f>
        <v>210.04557443827642</v>
      </c>
      <c r="D25" s="26">
        <f t="shared" si="30"/>
        <v>208.73470572269119</v>
      </c>
      <c r="E25" s="26">
        <f t="shared" si="30"/>
        <v>210.6412823569664</v>
      </c>
      <c r="F25" s="26">
        <f t="shared" si="30"/>
        <v>137.39631130699232</v>
      </c>
      <c r="G25" s="26">
        <f t="shared" si="30"/>
        <v>137.68998400376577</v>
      </c>
      <c r="H25" s="26">
        <f t="shared" si="30"/>
        <v>137.09205789954194</v>
      </c>
      <c r="I25" s="26">
        <f t="shared" si="30"/>
        <v>289.62669563557375</v>
      </c>
      <c r="J25" s="26" t="e">
        <f t="shared" ref="J25:N25" si="31">+J23*J18</f>
        <v>#DIV/0!</v>
      </c>
      <c r="K25" s="26" t="e">
        <f t="shared" si="31"/>
        <v>#DIV/0!</v>
      </c>
      <c r="L25" s="26" t="e">
        <f t="shared" si="31"/>
        <v>#DIV/0!</v>
      </c>
      <c r="M25" s="26" t="e">
        <f t="shared" si="31"/>
        <v>#DIV/0!</v>
      </c>
      <c r="N25" s="26" t="e">
        <f t="shared" si="31"/>
        <v>#DIV/0!</v>
      </c>
    </row>
    <row r="26" spans="2:14" ht="25.5">
      <c r="B26" s="25" t="s">
        <v>289</v>
      </c>
      <c r="C26" s="26">
        <f>AVERAGE(C25,C27)</f>
        <v>236.30127124306097</v>
      </c>
      <c r="D26" s="26">
        <f t="shared" ref="D26:I26" si="32">AVERAGE(D25,D27)</f>
        <v>234.82654393802761</v>
      </c>
      <c r="E26" s="26">
        <f t="shared" si="32"/>
        <v>236.97144265158721</v>
      </c>
      <c r="F26" s="26">
        <f t="shared" si="32"/>
        <v>206.09446696048849</v>
      </c>
      <c r="G26" s="26">
        <f t="shared" si="32"/>
        <v>206.53497600564867</v>
      </c>
      <c r="H26" s="26">
        <f t="shared" si="32"/>
        <v>205.63808684931291</v>
      </c>
      <c r="I26" s="26">
        <f t="shared" si="32"/>
        <v>325.83003259002044</v>
      </c>
      <c r="J26" s="26" t="e">
        <f t="shared" ref="J26:N26" si="33">AVERAGE(J25,J27)</f>
        <v>#DIV/0!</v>
      </c>
      <c r="K26" s="26" t="e">
        <f t="shared" si="33"/>
        <v>#DIV/0!</v>
      </c>
      <c r="L26" s="26" t="e">
        <f t="shared" si="33"/>
        <v>#DIV/0!</v>
      </c>
      <c r="M26" s="26" t="e">
        <f t="shared" si="33"/>
        <v>#DIV/0!</v>
      </c>
      <c r="N26" s="26" t="e">
        <f t="shared" si="33"/>
        <v>#DIV/0!</v>
      </c>
    </row>
    <row r="27" spans="2:14" ht="25.5">
      <c r="B27" s="25" t="s">
        <v>290</v>
      </c>
      <c r="C27" s="26">
        <f t="shared" ref="C27:I27" si="34">+C18*C24</f>
        <v>262.55696804784554</v>
      </c>
      <c r="D27" s="26">
        <f t="shared" si="34"/>
        <v>260.91838215336401</v>
      </c>
      <c r="E27" s="26">
        <f t="shared" si="34"/>
        <v>263.30160294620799</v>
      </c>
      <c r="F27" s="26">
        <f t="shared" si="34"/>
        <v>274.79262261398463</v>
      </c>
      <c r="G27" s="26">
        <f t="shared" si="34"/>
        <v>275.37996800753155</v>
      </c>
      <c r="H27" s="26">
        <f t="shared" si="34"/>
        <v>274.18411579908388</v>
      </c>
      <c r="I27" s="26">
        <f t="shared" si="34"/>
        <v>362.03336954446718</v>
      </c>
      <c r="J27" s="26" t="e">
        <f t="shared" ref="J27:N27" si="35">+J18*J24</f>
        <v>#DIV/0!</v>
      </c>
      <c r="K27" s="26" t="e">
        <f t="shared" si="35"/>
        <v>#DIV/0!</v>
      </c>
      <c r="L27" s="26" t="e">
        <f t="shared" si="35"/>
        <v>#DIV/0!</v>
      </c>
      <c r="M27" s="26" t="e">
        <f t="shared" si="35"/>
        <v>#DIV/0!</v>
      </c>
      <c r="N27" s="26" t="e">
        <f t="shared" si="35"/>
        <v>#DIV/0!</v>
      </c>
    </row>
    <row r="29" spans="2:14" ht="25.5">
      <c r="B29" s="243" t="s">
        <v>291</v>
      </c>
      <c r="C29" s="81">
        <f t="shared" ref="C29:H29" si="36">C7-C12</f>
        <v>-86493142000</v>
      </c>
      <c r="D29" s="81">
        <f t="shared" si="36"/>
        <v>-73804552000</v>
      </c>
      <c r="E29" s="81">
        <f t="shared" si="36"/>
        <v>-44461071000</v>
      </c>
      <c r="F29" s="81">
        <f t="shared" si="36"/>
        <v>58221910000</v>
      </c>
      <c r="G29" s="81">
        <f t="shared" si="36"/>
        <v>35212478000</v>
      </c>
      <c r="H29" s="81">
        <f t="shared" si="36"/>
        <v>59040977000</v>
      </c>
      <c r="I29" s="81">
        <f>I7-I12</f>
        <v>-86667130000</v>
      </c>
      <c r="J29" s="81">
        <f t="shared" ref="J29:N29" si="37">J7-J12</f>
        <v>0</v>
      </c>
      <c r="K29" s="81">
        <f t="shared" si="37"/>
        <v>0</v>
      </c>
      <c r="L29" s="81">
        <f t="shared" si="37"/>
        <v>0</v>
      </c>
      <c r="M29" s="81">
        <f t="shared" si="37"/>
        <v>0</v>
      </c>
      <c r="N29" s="81">
        <f t="shared" si="37"/>
        <v>0</v>
      </c>
    </row>
    <row r="30" spans="2:14" ht="25.5">
      <c r="B30" s="30" t="s">
        <v>149</v>
      </c>
      <c r="C30" s="241">
        <f t="shared" ref="C30:I30" si="38">C7/C12</f>
        <v>0.63522226887108235</v>
      </c>
      <c r="D30" s="241">
        <f t="shared" si="38"/>
        <v>0.69542340064765329</v>
      </c>
      <c r="E30" s="241">
        <f t="shared" si="38"/>
        <v>0.81638105970909114</v>
      </c>
      <c r="F30" s="241">
        <f t="shared" si="38"/>
        <v>1.2385825198125484</v>
      </c>
      <c r="G30" s="241">
        <f t="shared" si="38"/>
        <v>1.1416190672467919</v>
      </c>
      <c r="H30" s="242">
        <f t="shared" si="38"/>
        <v>1.2221279560987914</v>
      </c>
      <c r="I30" s="242">
        <f t="shared" si="38"/>
        <v>0.76036834940771092</v>
      </c>
      <c r="J30" s="242" t="e">
        <f t="shared" ref="J30:N30" si="39">J7/J12</f>
        <v>#DIV/0!</v>
      </c>
      <c r="K30" s="242" t="e">
        <f t="shared" si="39"/>
        <v>#DIV/0!</v>
      </c>
      <c r="L30" s="242" t="e">
        <f t="shared" si="39"/>
        <v>#DIV/0!</v>
      </c>
      <c r="M30" s="242" t="e">
        <f t="shared" si="39"/>
        <v>#DIV/0!</v>
      </c>
      <c r="N30" s="242" t="e">
        <f t="shared" si="39"/>
        <v>#DIV/0!</v>
      </c>
    </row>
    <row r="31" spans="2:14" ht="25.5">
      <c r="B31" s="30" t="s">
        <v>292</v>
      </c>
      <c r="C31" s="241">
        <f t="shared" ref="C31:I31" si="40">+(C7-C9)/C12</f>
        <v>0.61866730916498947</v>
      </c>
      <c r="D31" s="241">
        <f t="shared" si="40"/>
        <v>0.68041675592246509</v>
      </c>
      <c r="E31" s="241">
        <f t="shared" si="40"/>
        <v>0.80064373862086091</v>
      </c>
      <c r="F31" s="241">
        <f t="shared" si="40"/>
        <v>1.2223758606273689</v>
      </c>
      <c r="G31" s="241">
        <f t="shared" si="40"/>
        <v>1.1207623592118074</v>
      </c>
      <c r="H31" s="241">
        <f t="shared" si="40"/>
        <v>1.1740065516956057</v>
      </c>
      <c r="I31" s="241">
        <f t="shared" si="40"/>
        <v>0.7249422720762515</v>
      </c>
      <c r="J31" s="241" t="e">
        <f t="shared" ref="J31:N31" si="41">+(J7-J9)/J12</f>
        <v>#DIV/0!</v>
      </c>
      <c r="K31" s="241" t="e">
        <f t="shared" si="41"/>
        <v>#DIV/0!</v>
      </c>
      <c r="L31" s="241" t="e">
        <f t="shared" si="41"/>
        <v>#DIV/0!</v>
      </c>
      <c r="M31" s="241" t="e">
        <f t="shared" si="41"/>
        <v>#DIV/0!</v>
      </c>
      <c r="N31" s="241" t="e">
        <f t="shared" si="41"/>
        <v>#DIV/0!</v>
      </c>
    </row>
    <row r="32" spans="2:14" ht="25.5">
      <c r="B32" s="32" t="s">
        <v>153</v>
      </c>
      <c r="C32" s="33">
        <f t="shared" ref="C32:I32" si="42">C14/C11</f>
        <v>0.61416487215260751</v>
      </c>
      <c r="D32" s="33">
        <f t="shared" si="42"/>
        <v>0.63957365207360994</v>
      </c>
      <c r="E32" s="33">
        <f t="shared" si="42"/>
        <v>0.65651131919433248</v>
      </c>
      <c r="F32" s="33">
        <f t="shared" si="42"/>
        <v>0.60793951618305053</v>
      </c>
      <c r="G32" s="33">
        <f t="shared" si="42"/>
        <v>0.62204398646575121</v>
      </c>
      <c r="H32" s="33">
        <f t="shared" si="42"/>
        <v>0.64742839257296858</v>
      </c>
      <c r="I32" s="33">
        <f t="shared" si="42"/>
        <v>0.63433347935124107</v>
      </c>
      <c r="J32" s="33" t="e">
        <f t="shared" ref="J32:N32" si="43">J14/J11</f>
        <v>#DIV/0!</v>
      </c>
      <c r="K32" s="33" t="e">
        <f t="shared" si="43"/>
        <v>#DIV/0!</v>
      </c>
      <c r="L32" s="33" t="e">
        <f t="shared" si="43"/>
        <v>#DIV/0!</v>
      </c>
      <c r="M32" s="33" t="e">
        <f t="shared" si="43"/>
        <v>#DIV/0!</v>
      </c>
      <c r="N32" s="33" t="e">
        <f t="shared" si="43"/>
        <v>#DIV/0!</v>
      </c>
    </row>
    <row r="35" spans="2:14" ht="25.5">
      <c r="B35" s="35" t="s">
        <v>293</v>
      </c>
      <c r="C35" s="36">
        <f>+C114</f>
        <v>509540577000</v>
      </c>
      <c r="D35" s="36">
        <f t="shared" ref="D35:I35" si="44">+D114</f>
        <v>530404680000</v>
      </c>
      <c r="E35" s="36">
        <f t="shared" si="44"/>
        <v>484329084000</v>
      </c>
      <c r="F35" s="36">
        <f t="shared" si="44"/>
        <v>478773563000</v>
      </c>
      <c r="G35" s="36">
        <f t="shared" si="44"/>
        <v>506459633000</v>
      </c>
      <c r="H35" s="36">
        <f t="shared" si="44"/>
        <v>575465445000</v>
      </c>
      <c r="I35" s="36">
        <f t="shared" si="44"/>
        <v>640855854000</v>
      </c>
      <c r="J35" s="36">
        <f t="shared" ref="J35:N35" si="45">+J114</f>
        <v>0</v>
      </c>
      <c r="K35" s="36">
        <f t="shared" si="45"/>
        <v>0</v>
      </c>
      <c r="L35" s="36">
        <f t="shared" si="45"/>
        <v>0</v>
      </c>
      <c r="M35" s="36">
        <f t="shared" si="45"/>
        <v>0</v>
      </c>
      <c r="N35" s="36">
        <f t="shared" si="45"/>
        <v>0</v>
      </c>
    </row>
    <row r="36" spans="2:14" ht="25.5">
      <c r="B36" s="39" t="s">
        <v>156</v>
      </c>
      <c r="C36" s="40">
        <f>+C122</f>
        <v>226819054000</v>
      </c>
      <c r="D36" s="40">
        <f t="shared" ref="D36:I36" si="46">+D122</f>
        <v>233071676000</v>
      </c>
      <c r="E36" s="40">
        <f t="shared" si="46"/>
        <v>235636236000</v>
      </c>
      <c r="F36" s="40">
        <f t="shared" si="46"/>
        <v>162824880000</v>
      </c>
      <c r="G36" s="40">
        <f t="shared" si="46"/>
        <v>212947803000</v>
      </c>
      <c r="H36" s="40">
        <f t="shared" si="46"/>
        <v>228258340000</v>
      </c>
      <c r="I36" s="40">
        <f t="shared" si="46"/>
        <v>256251484000</v>
      </c>
      <c r="J36" s="40">
        <f t="shared" ref="J36:N36" si="47">+J122</f>
        <v>0</v>
      </c>
      <c r="K36" s="40">
        <f t="shared" si="47"/>
        <v>0</v>
      </c>
      <c r="L36" s="40">
        <f t="shared" si="47"/>
        <v>0</v>
      </c>
      <c r="M36" s="40">
        <f t="shared" si="47"/>
        <v>0</v>
      </c>
      <c r="N36" s="40">
        <f t="shared" si="47"/>
        <v>0</v>
      </c>
    </row>
    <row r="37" spans="2:14" ht="25.5">
      <c r="B37" s="35" t="s">
        <v>381</v>
      </c>
      <c r="C37" s="41">
        <f>C36/C35</f>
        <v>0.44514424216307313</v>
      </c>
      <c r="D37" s="41">
        <f t="shared" ref="D37:I37" si="48">D36/D35</f>
        <v>0.43942235954629966</v>
      </c>
      <c r="E37" s="41">
        <f t="shared" si="48"/>
        <v>0.4865209292283591</v>
      </c>
      <c r="F37" s="41">
        <f t="shared" si="48"/>
        <v>0.34008744964892723</v>
      </c>
      <c r="G37" s="41">
        <f t="shared" si="48"/>
        <v>0.42046352586603875</v>
      </c>
      <c r="H37" s="41">
        <f t="shared" si="48"/>
        <v>0.39664995002436682</v>
      </c>
      <c r="I37" s="41">
        <f t="shared" si="48"/>
        <v>0.39985822459226533</v>
      </c>
      <c r="J37" s="41" t="e">
        <f t="shared" ref="J37:N37" si="49">J36/J35</f>
        <v>#DIV/0!</v>
      </c>
      <c r="K37" s="41" t="e">
        <f t="shared" si="49"/>
        <v>#DIV/0!</v>
      </c>
      <c r="L37" s="41" t="e">
        <f t="shared" si="49"/>
        <v>#DIV/0!</v>
      </c>
      <c r="M37" s="41" t="e">
        <f t="shared" si="49"/>
        <v>#DIV/0!</v>
      </c>
      <c r="N37" s="41" t="e">
        <f t="shared" si="49"/>
        <v>#DIV/0!</v>
      </c>
    </row>
    <row r="38" spans="2:14" ht="25.5">
      <c r="B38" s="43" t="s">
        <v>295</v>
      </c>
      <c r="C38" s="44">
        <f>+C133</f>
        <v>139620280000</v>
      </c>
      <c r="D38" s="44">
        <f t="shared" ref="D38:I38" si="50">+D133</f>
        <v>136056517000</v>
      </c>
      <c r="E38" s="44">
        <f t="shared" si="50"/>
        <v>141737188000</v>
      </c>
      <c r="F38" s="44">
        <f t="shared" si="50"/>
        <v>98691668000</v>
      </c>
      <c r="G38" s="44">
        <f t="shared" si="50"/>
        <v>100644529000</v>
      </c>
      <c r="H38" s="44">
        <f t="shared" si="50"/>
        <v>85248734000</v>
      </c>
      <c r="I38" s="44">
        <f t="shared" si="50"/>
        <v>133390421000</v>
      </c>
      <c r="J38" s="44">
        <f t="shared" ref="J38:N38" si="51">+J133</f>
        <v>0</v>
      </c>
      <c r="K38" s="44">
        <f t="shared" si="51"/>
        <v>0</v>
      </c>
      <c r="L38" s="44">
        <f t="shared" si="51"/>
        <v>0</v>
      </c>
      <c r="M38" s="44">
        <f t="shared" si="51"/>
        <v>0</v>
      </c>
      <c r="N38" s="44">
        <f t="shared" si="51"/>
        <v>0</v>
      </c>
    </row>
    <row r="39" spans="2:14" ht="25.5">
      <c r="B39" s="30" t="s">
        <v>296</v>
      </c>
      <c r="C39" s="45">
        <f>C38/C35</f>
        <v>0.27401209305456353</v>
      </c>
      <c r="D39" s="45">
        <f t="shared" ref="D39:I39" si="52">D38/D35</f>
        <v>0.25651454847645766</v>
      </c>
      <c r="E39" s="45">
        <f t="shared" si="52"/>
        <v>0.29264645193184391</v>
      </c>
      <c r="F39" s="45">
        <f t="shared" si="52"/>
        <v>0.20613433077130869</v>
      </c>
      <c r="G39" s="45">
        <f t="shared" si="52"/>
        <v>0.19872171924904428</v>
      </c>
      <c r="H39" s="45">
        <f t="shared" si="52"/>
        <v>0.14813875401328397</v>
      </c>
      <c r="I39" s="45">
        <f t="shared" si="52"/>
        <v>0.20814418744468549</v>
      </c>
      <c r="J39" s="45" t="e">
        <f t="shared" ref="J39:N39" si="53">J38/J35</f>
        <v>#DIV/0!</v>
      </c>
      <c r="K39" s="45" t="e">
        <f t="shared" si="53"/>
        <v>#DIV/0!</v>
      </c>
      <c r="L39" s="45" t="e">
        <f t="shared" si="53"/>
        <v>#DIV/0!</v>
      </c>
      <c r="M39" s="45" t="e">
        <f t="shared" si="53"/>
        <v>#DIV/0!</v>
      </c>
      <c r="N39" s="45" t="e">
        <f t="shared" si="53"/>
        <v>#DIV/0!</v>
      </c>
    </row>
    <row r="40" spans="2:14" ht="25.5">
      <c r="B40" s="46" t="s">
        <v>159</v>
      </c>
      <c r="C40" s="121">
        <f>+C134</f>
        <v>22.818000000000001</v>
      </c>
      <c r="D40" s="121">
        <f t="shared" ref="D40:I40" si="54">+D134</f>
        <v>22.234999999999999</v>
      </c>
      <c r="E40" s="121">
        <f t="shared" si="54"/>
        <v>23.164000000000001</v>
      </c>
      <c r="F40" s="121">
        <f t="shared" si="54"/>
        <v>16.129000000000001</v>
      </c>
      <c r="G40" s="121">
        <f t="shared" si="54"/>
        <v>16.448</v>
      </c>
      <c r="H40" s="121">
        <f t="shared" si="54"/>
        <v>13.932</v>
      </c>
      <c r="I40" s="121">
        <f t="shared" si="54"/>
        <v>21.8</v>
      </c>
      <c r="J40" s="121">
        <f t="shared" ref="J40:N40" si="55">+J134</f>
        <v>0</v>
      </c>
      <c r="K40" s="121">
        <f t="shared" si="55"/>
        <v>0</v>
      </c>
      <c r="L40" s="121">
        <f t="shared" si="55"/>
        <v>0</v>
      </c>
      <c r="M40" s="121">
        <f t="shared" si="55"/>
        <v>0</v>
      </c>
      <c r="N40" s="121">
        <f t="shared" si="55"/>
        <v>0</v>
      </c>
    </row>
    <row r="41" spans="2:14" ht="25.5">
      <c r="B41" s="48" t="s">
        <v>160</v>
      </c>
      <c r="C41" s="49">
        <f t="shared" ref="C41:I41" si="56">C38/C15</f>
        <v>0.21726360643518261</v>
      </c>
      <c r="D41" s="49">
        <f t="shared" si="56"/>
        <v>0.21304762651132944</v>
      </c>
      <c r="E41" s="49">
        <f t="shared" si="56"/>
        <v>0.21993398206238468</v>
      </c>
      <c r="F41" s="49">
        <f t="shared" si="56"/>
        <v>0.11738900873636131</v>
      </c>
      <c r="G41" s="49">
        <f t="shared" si="56"/>
        <v>0.11945651535494611</v>
      </c>
      <c r="H41" s="49">
        <f t="shared" si="56"/>
        <v>0.10162432220070611</v>
      </c>
      <c r="I41" s="49">
        <f t="shared" si="56"/>
        <v>0.15053520179366883</v>
      </c>
      <c r="J41" s="49" t="e">
        <f t="shared" ref="J41:N41" si="57">J38/J15</f>
        <v>#DIV/0!</v>
      </c>
      <c r="K41" s="49" t="e">
        <f t="shared" si="57"/>
        <v>#DIV/0!</v>
      </c>
      <c r="L41" s="49" t="e">
        <f t="shared" si="57"/>
        <v>#DIV/0!</v>
      </c>
      <c r="M41" s="49" t="e">
        <f t="shared" si="57"/>
        <v>#DIV/0!</v>
      </c>
      <c r="N41" s="49" t="e">
        <f t="shared" si="57"/>
        <v>#DIV/0!</v>
      </c>
    </row>
    <row r="42" spans="2:14" ht="25.5">
      <c r="B42" s="48" t="s">
        <v>382</v>
      </c>
      <c r="C42" s="49">
        <f>AVERAGE(G41:I41)</f>
        <v>0.12387201311644036</v>
      </c>
      <c r="D42" s="49"/>
      <c r="E42" s="49"/>
      <c r="F42" s="49"/>
      <c r="G42" s="49"/>
      <c r="H42" s="49"/>
      <c r="I42" s="49"/>
      <c r="J42" s="49"/>
      <c r="K42" s="49"/>
      <c r="L42" s="49"/>
      <c r="M42" s="49"/>
      <c r="N42" s="49"/>
    </row>
    <row r="43" spans="2:14" ht="25.5">
      <c r="B43" s="48" t="s">
        <v>298</v>
      </c>
      <c r="C43" s="50">
        <f>+C146</f>
        <v>101170091000</v>
      </c>
      <c r="D43" s="50">
        <f t="shared" ref="D43:I43" si="58">+D146</f>
        <v>108261532000</v>
      </c>
      <c r="E43" s="50">
        <f t="shared" si="58"/>
        <v>94891034000</v>
      </c>
      <c r="F43" s="50">
        <f t="shared" si="58"/>
        <v>36288731000</v>
      </c>
      <c r="G43" s="50">
        <f t="shared" si="58"/>
        <v>69607469000</v>
      </c>
      <c r="H43" s="50">
        <f t="shared" si="58"/>
        <v>81536376000</v>
      </c>
      <c r="I43" s="50">
        <f t="shared" si="58"/>
        <v>79751783000</v>
      </c>
      <c r="J43" s="50">
        <f t="shared" ref="J43:N43" si="59">+J146</f>
        <v>0</v>
      </c>
      <c r="K43" s="50">
        <f t="shared" si="59"/>
        <v>0</v>
      </c>
      <c r="L43" s="50">
        <f t="shared" si="59"/>
        <v>0</v>
      </c>
      <c r="M43" s="50">
        <f t="shared" si="59"/>
        <v>0</v>
      </c>
      <c r="N43" s="50">
        <f t="shared" si="59"/>
        <v>0</v>
      </c>
    </row>
    <row r="44" spans="2:14" ht="25.5">
      <c r="B44" s="51" t="s">
        <v>119</v>
      </c>
      <c r="C44" s="51">
        <f>SUM(C46:C49)</f>
        <v>22.117999999999999</v>
      </c>
      <c r="D44" s="51">
        <f t="shared" ref="D44:F44" si="60">SUM(D46:D49)</f>
        <v>22.499659999999999</v>
      </c>
      <c r="E44" s="51">
        <f t="shared" si="60"/>
        <v>21.711399999999998</v>
      </c>
      <c r="F44" s="51">
        <f t="shared" si="60"/>
        <v>17.852</v>
      </c>
      <c r="G44" s="51">
        <f>SUM(G46:G49)</f>
        <v>17.189</v>
      </c>
      <c r="H44" s="51">
        <f>SUM(H46:H49)</f>
        <v>12.747</v>
      </c>
      <c r="I44" s="51">
        <f t="shared" ref="I44:N44" si="61">SUM(I46:I49)</f>
        <v>14.749009999999998</v>
      </c>
      <c r="J44" s="51">
        <f t="shared" si="61"/>
        <v>0</v>
      </c>
      <c r="K44" s="51">
        <f t="shared" si="61"/>
        <v>0</v>
      </c>
      <c r="L44" s="51">
        <f t="shared" si="61"/>
        <v>0</v>
      </c>
      <c r="M44" s="51">
        <f t="shared" si="61"/>
        <v>0</v>
      </c>
      <c r="N44" s="51">
        <f t="shared" si="61"/>
        <v>0</v>
      </c>
    </row>
    <row r="45" spans="2:14" ht="25.5">
      <c r="B45" s="51" t="s">
        <v>383</v>
      </c>
      <c r="C45" s="51">
        <f>+C46+C47</f>
        <v>6.8609999999999998</v>
      </c>
      <c r="D45" s="51">
        <f t="shared" ref="D45:I45" si="62">+D46+D47</f>
        <v>22.499659999999999</v>
      </c>
      <c r="E45" s="51">
        <f t="shared" si="62"/>
        <v>21.711399999999998</v>
      </c>
      <c r="F45" s="51">
        <f t="shared" si="62"/>
        <v>17.852</v>
      </c>
      <c r="G45" s="51">
        <f t="shared" si="62"/>
        <v>6.5369999999999999</v>
      </c>
      <c r="H45" s="51">
        <f t="shared" si="62"/>
        <v>5.72</v>
      </c>
      <c r="I45" s="51">
        <f t="shared" si="62"/>
        <v>14.749009999999998</v>
      </c>
      <c r="J45" s="51">
        <f t="shared" ref="J45:N45" si="63">+J46+J47</f>
        <v>0</v>
      </c>
      <c r="K45" s="51">
        <f t="shared" si="63"/>
        <v>0</v>
      </c>
      <c r="L45" s="51">
        <f t="shared" si="63"/>
        <v>0</v>
      </c>
      <c r="M45" s="51">
        <f t="shared" si="63"/>
        <v>0</v>
      </c>
      <c r="N45" s="51">
        <f t="shared" si="63"/>
        <v>0</v>
      </c>
    </row>
    <row r="46" spans="2:14" ht="18">
      <c r="B46" s="135" t="s">
        <v>121</v>
      </c>
      <c r="C46" s="94"/>
      <c r="D46" s="94">
        <v>15.63866</v>
      </c>
      <c r="E46" s="94">
        <v>14.647399999999999</v>
      </c>
      <c r="F46" s="94"/>
      <c r="G46" s="94"/>
      <c r="H46" s="94"/>
      <c r="I46" s="155">
        <v>8.2119599999999995</v>
      </c>
      <c r="J46" s="155"/>
      <c r="K46" s="155"/>
      <c r="L46" s="155"/>
      <c r="M46" s="155"/>
      <c r="N46" s="155"/>
    </row>
    <row r="47" spans="2:14" ht="18">
      <c r="B47" s="135" t="s">
        <v>122</v>
      </c>
      <c r="C47" s="94">
        <v>6.8609999999999998</v>
      </c>
      <c r="D47" s="94">
        <v>6.8609999999999998</v>
      </c>
      <c r="E47" s="94">
        <v>7.0640000000000001</v>
      </c>
      <c r="F47" s="94">
        <f>10.59+7.262</f>
        <v>17.852</v>
      </c>
      <c r="G47" s="94">
        <v>6.5369999999999999</v>
      </c>
      <c r="H47" s="94">
        <v>5.72</v>
      </c>
      <c r="I47" s="155">
        <v>6.5370499999999998</v>
      </c>
      <c r="J47" s="155"/>
      <c r="K47" s="155"/>
      <c r="L47" s="155"/>
      <c r="M47" s="155"/>
      <c r="N47" s="155"/>
    </row>
    <row r="48" spans="2:14" ht="18">
      <c r="B48" s="135" t="s">
        <v>123</v>
      </c>
      <c r="C48" s="94">
        <v>15.257</v>
      </c>
      <c r="D48" s="94"/>
      <c r="E48" s="94"/>
      <c r="F48" s="94"/>
      <c r="G48" s="94">
        <v>4.3710000000000004</v>
      </c>
      <c r="H48" s="94">
        <v>7.0270000000000001</v>
      </c>
      <c r="I48" s="155"/>
      <c r="J48" s="155"/>
      <c r="K48" s="155"/>
      <c r="L48" s="155"/>
      <c r="M48" s="155"/>
      <c r="N48" s="155"/>
    </row>
    <row r="49" spans="2:16" ht="18">
      <c r="B49" s="135" t="s">
        <v>124</v>
      </c>
      <c r="C49" s="94"/>
      <c r="D49" s="94"/>
      <c r="E49" s="94"/>
      <c r="F49" s="94"/>
      <c r="G49" s="94">
        <v>6.2809999999999997</v>
      </c>
      <c r="H49" s="94"/>
      <c r="I49" s="94"/>
      <c r="J49" s="94"/>
      <c r="K49" s="94"/>
      <c r="L49" s="94"/>
      <c r="M49" s="94"/>
      <c r="N49" s="94"/>
    </row>
    <row r="50" spans="2:16" ht="25.5">
      <c r="B50" s="541" t="s">
        <v>167</v>
      </c>
      <c r="C50" s="99">
        <f>(C47+C48+D46)/C40</f>
        <v>1.6546875273906563</v>
      </c>
      <c r="D50" s="99">
        <f t="shared" ref="D50:N50" si="64">(D47+D48+E46)/D40</f>
        <v>0.96732178997076679</v>
      </c>
      <c r="E50" s="99">
        <f t="shared" si="64"/>
        <v>0.30495596615437748</v>
      </c>
      <c r="F50" s="548">
        <f t="shared" si="64"/>
        <v>1.1068262136524272</v>
      </c>
      <c r="G50" s="99">
        <f t="shared" si="64"/>
        <v>0.66318093385214016</v>
      </c>
      <c r="H50" s="99">
        <f>(H47+H48+I46)/H40</f>
        <v>1.5043755383290265</v>
      </c>
      <c r="I50" s="99">
        <f t="shared" si="64"/>
        <v>0.29986467889908253</v>
      </c>
      <c r="J50" s="99" t="e">
        <f t="shared" si="64"/>
        <v>#DIV/0!</v>
      </c>
      <c r="K50" s="99" t="e">
        <f t="shared" si="64"/>
        <v>#DIV/0!</v>
      </c>
      <c r="L50" s="99" t="e">
        <f t="shared" si="64"/>
        <v>#DIV/0!</v>
      </c>
      <c r="M50" s="99" t="e">
        <f t="shared" si="64"/>
        <v>#DIV/0!</v>
      </c>
      <c r="N50" s="99" t="e">
        <f t="shared" si="64"/>
        <v>#DIV/0!</v>
      </c>
    </row>
    <row r="51" spans="2:16" ht="28.5">
      <c r="B51" s="540" t="s">
        <v>303</v>
      </c>
      <c r="C51" s="54">
        <f>AVERAGE(G50:I50)</f>
        <v>0.82247371702674965</v>
      </c>
      <c r="D51" s="54"/>
      <c r="E51" s="54"/>
      <c r="F51" s="54"/>
      <c r="G51" s="54"/>
      <c r="H51" s="54"/>
      <c r="I51" s="54"/>
      <c r="J51" s="54"/>
      <c r="K51" s="54"/>
      <c r="L51" s="54"/>
      <c r="M51" s="54"/>
      <c r="N51" s="54"/>
    </row>
    <row r="52" spans="2:16" ht="25.5">
      <c r="B52" s="541" t="s">
        <v>299</v>
      </c>
      <c r="C52" s="99">
        <f t="shared" ref="C52:I52" si="65">+C44/C19</f>
        <v>5.4277300613496927E-2</v>
      </c>
      <c r="D52" s="99">
        <f t="shared" si="65"/>
        <v>5.8899633507853398E-2</v>
      </c>
      <c r="E52" s="99">
        <f t="shared" si="65"/>
        <v>6.8060815047021939E-2</v>
      </c>
      <c r="F52" s="99">
        <f t="shared" si="65"/>
        <v>7.7956331877729254E-2</v>
      </c>
      <c r="G52" s="99">
        <f t="shared" si="65"/>
        <v>0.11089677419354839</v>
      </c>
      <c r="H52" s="99">
        <f t="shared" si="65"/>
        <v>6.503571428571428E-2</v>
      </c>
      <c r="I52" s="99">
        <f t="shared" si="65"/>
        <v>5.182364722417427E-2</v>
      </c>
      <c r="J52" s="99" t="e">
        <f t="shared" ref="J52:N52" si="66">+J44/J19</f>
        <v>#DIV/0!</v>
      </c>
      <c r="K52" s="99" t="e">
        <f t="shared" si="66"/>
        <v>#DIV/0!</v>
      </c>
      <c r="L52" s="99" t="e">
        <f t="shared" si="66"/>
        <v>#DIV/0!</v>
      </c>
      <c r="M52" s="99" t="e">
        <f t="shared" si="66"/>
        <v>#DIV/0!</v>
      </c>
      <c r="N52" s="99" t="e">
        <f t="shared" si="66"/>
        <v>#DIV/0!</v>
      </c>
    </row>
    <row r="53" spans="2:16" ht="25.5">
      <c r="B53" s="542" t="s">
        <v>384</v>
      </c>
      <c r="C53" s="534">
        <f>AVERAGE(G52:I52)</f>
        <v>7.5918711901145644E-2</v>
      </c>
      <c r="D53" s="534"/>
      <c r="E53" s="534"/>
      <c r="F53" s="534"/>
      <c r="G53" s="534"/>
      <c r="H53" s="534"/>
      <c r="I53" s="534"/>
      <c r="J53" s="534"/>
      <c r="K53" s="534"/>
      <c r="L53" s="534"/>
      <c r="M53" s="534"/>
      <c r="N53" s="534"/>
      <c r="O53" s="534"/>
      <c r="P53" s="534"/>
    </row>
    <row r="54" spans="2:16" ht="25.5">
      <c r="B54" s="543" t="s">
        <v>176</v>
      </c>
      <c r="C54" s="355">
        <f>+C41*(100%-C50)</f>
        <v>-0.14223977328902637</v>
      </c>
      <c r="D54" s="355">
        <f t="shared" ref="D54:I54" si="67">+D41*(100%-D50)</f>
        <v>6.962015085366857E-3</v>
      </c>
      <c r="E54" s="355">
        <f t="shared" si="67"/>
        <v>0.15286380207237063</v>
      </c>
      <c r="F54" s="549">
        <f t="shared" si="67"/>
        <v>-1.2540223327717172E-2</v>
      </c>
      <c r="G54" s="355">
        <f t="shared" si="67"/>
        <v>4.0235231947130426E-2</v>
      </c>
      <c r="H54" s="355">
        <f t="shared" si="67"/>
        <v>-5.1256822217303578E-2</v>
      </c>
      <c r="I54" s="355">
        <f t="shared" si="67"/>
        <v>0.10539501184480174</v>
      </c>
      <c r="J54" s="355" t="e">
        <f t="shared" ref="J54:N54" si="68">+J41*(100%-J50)</f>
        <v>#DIV/0!</v>
      </c>
      <c r="K54" s="355" t="e">
        <f t="shared" si="68"/>
        <v>#DIV/0!</v>
      </c>
      <c r="L54" s="355" t="e">
        <f t="shared" si="68"/>
        <v>#DIV/0!</v>
      </c>
      <c r="M54" s="355" t="e">
        <f t="shared" si="68"/>
        <v>#DIV/0!</v>
      </c>
      <c r="N54" s="355" t="e">
        <f t="shared" si="68"/>
        <v>#DIV/0!</v>
      </c>
    </row>
    <row r="55" spans="2:16" ht="25.5">
      <c r="B55" s="542" t="s">
        <v>306</v>
      </c>
      <c r="C55" s="534">
        <f>AVERAGE(G54:I54)</f>
        <v>3.1457807191542862E-2</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v>150618761000</v>
      </c>
      <c r="D61" s="64">
        <v>168513972000</v>
      </c>
      <c r="E61" s="64">
        <v>197676646000</v>
      </c>
      <c r="F61" s="159">
        <v>302254499000</v>
      </c>
      <c r="G61" s="64">
        <v>283854689000</v>
      </c>
      <c r="H61" s="141">
        <v>324838124000</v>
      </c>
      <c r="I61" s="64">
        <v>275000996000</v>
      </c>
      <c r="J61" s="64"/>
      <c r="K61" s="64"/>
      <c r="L61" s="64"/>
      <c r="M61" s="64"/>
      <c r="N61" s="64"/>
    </row>
    <row r="62" spans="2:16">
      <c r="B62" s="59" t="s">
        <v>386</v>
      </c>
      <c r="C62" s="66"/>
      <c r="D62" s="66"/>
      <c r="E62" s="66"/>
      <c r="F62" s="66"/>
      <c r="G62" s="66"/>
      <c r="H62" s="160"/>
      <c r="I62" s="66"/>
      <c r="J62" s="66"/>
      <c r="K62" s="66"/>
      <c r="L62" s="66"/>
      <c r="M62" s="66"/>
      <c r="N62" s="66"/>
    </row>
    <row r="63" spans="2:16">
      <c r="B63" s="59" t="s">
        <v>387</v>
      </c>
      <c r="C63" s="66"/>
      <c r="D63" s="66"/>
      <c r="E63" s="66"/>
      <c r="F63" s="66"/>
      <c r="G63" s="66"/>
      <c r="H63" s="160"/>
      <c r="I63" s="66"/>
      <c r="J63" s="66"/>
      <c r="K63" s="66"/>
      <c r="L63" s="66"/>
      <c r="M63" s="66"/>
      <c r="N63" s="66"/>
    </row>
    <row r="64" spans="2:16">
      <c r="B64" s="59" t="s">
        <v>388</v>
      </c>
      <c r="C64" s="66"/>
      <c r="D64" s="66"/>
      <c r="E64" s="66"/>
      <c r="F64" s="66"/>
      <c r="G64" s="66"/>
      <c r="H64" s="160"/>
      <c r="I64" s="66"/>
      <c r="J64" s="66"/>
      <c r="K64" s="66"/>
      <c r="L64" s="66"/>
      <c r="M64" s="66"/>
      <c r="N64" s="66"/>
    </row>
    <row r="65" spans="2:14">
      <c r="B65" s="59" t="s">
        <v>389</v>
      </c>
      <c r="C65" s="66">
        <v>113515790000</v>
      </c>
      <c r="D65" s="66">
        <v>116821062000</v>
      </c>
      <c r="E65" s="66">
        <v>115937498000</v>
      </c>
      <c r="F65" s="66">
        <v>87482681000</v>
      </c>
      <c r="G65" s="66">
        <v>101105786000</v>
      </c>
      <c r="H65" s="160">
        <v>122777327000</v>
      </c>
      <c r="I65" s="66">
        <v>132007468000</v>
      </c>
      <c r="J65" s="66"/>
      <c r="K65" s="66"/>
      <c r="L65" s="66"/>
      <c r="M65" s="66"/>
      <c r="N65" s="66"/>
    </row>
    <row r="66" spans="2:14">
      <c r="B66" s="59" t="s">
        <v>390</v>
      </c>
      <c r="C66" s="66"/>
      <c r="D66" s="66"/>
      <c r="E66" s="66"/>
      <c r="F66" s="66"/>
      <c r="G66" s="66"/>
      <c r="H66" s="160"/>
      <c r="I66" s="66"/>
      <c r="J66" s="66"/>
      <c r="K66" s="66"/>
      <c r="L66" s="66"/>
      <c r="M66" s="66"/>
      <c r="N66" s="66"/>
    </row>
    <row r="67" spans="2:14">
      <c r="B67" s="59" t="s">
        <v>391</v>
      </c>
      <c r="C67" s="161">
        <v>3925378000</v>
      </c>
      <c r="D67" s="66">
        <v>3636388000</v>
      </c>
      <c r="E67" s="66">
        <v>3810599000</v>
      </c>
      <c r="F67" s="66">
        <v>3954953000</v>
      </c>
      <c r="G67" s="66">
        <v>5185858000</v>
      </c>
      <c r="H67" s="160">
        <v>12790532000</v>
      </c>
      <c r="I67" s="66">
        <v>12812483000</v>
      </c>
      <c r="J67" s="66"/>
      <c r="K67" s="66"/>
      <c r="L67" s="66"/>
      <c r="M67" s="66"/>
      <c r="N67" s="66"/>
    </row>
    <row r="68" spans="2:14">
      <c r="B68" s="59" t="s">
        <v>392</v>
      </c>
      <c r="C68" s="66"/>
      <c r="D68" s="66"/>
      <c r="E68" s="66"/>
      <c r="F68" s="66"/>
      <c r="G68" s="66"/>
      <c r="H68" s="160"/>
      <c r="I68" s="66"/>
      <c r="J68" s="66"/>
      <c r="K68" s="66"/>
      <c r="L68" s="66"/>
      <c r="M68" s="66"/>
      <c r="N68" s="66"/>
    </row>
    <row r="69" spans="2:14">
      <c r="B69" s="59" t="s">
        <v>318</v>
      </c>
      <c r="C69" s="66">
        <f t="shared" ref="C69:I69" si="69">+C61-C62-C67-C68-C66-C65-C64-C63</f>
        <v>33177593000</v>
      </c>
      <c r="D69" s="66">
        <f t="shared" si="69"/>
        <v>48056522000</v>
      </c>
      <c r="E69" s="66">
        <f t="shared" si="69"/>
        <v>77928549000</v>
      </c>
      <c r="F69" s="66">
        <f t="shared" si="69"/>
        <v>210816865000</v>
      </c>
      <c r="G69" s="66">
        <f t="shared" si="69"/>
        <v>177563045000</v>
      </c>
      <c r="H69" s="66">
        <f t="shared" si="69"/>
        <v>189270265000</v>
      </c>
      <c r="I69" s="66">
        <f t="shared" si="69"/>
        <v>130181045000</v>
      </c>
      <c r="J69" s="66"/>
      <c r="K69" s="66"/>
      <c r="L69" s="66"/>
      <c r="M69" s="66"/>
      <c r="N69" s="66"/>
    </row>
    <row r="70" spans="2:14">
      <c r="B70" s="58" t="s">
        <v>319</v>
      </c>
      <c r="C70" s="64">
        <v>1646261375000</v>
      </c>
      <c r="D70" s="64">
        <v>1737538127000</v>
      </c>
      <c r="E70" s="64">
        <v>1803767656000</v>
      </c>
      <c r="F70" s="159">
        <v>1842181989000</v>
      </c>
      <c r="G70" s="64">
        <v>1945366921000</v>
      </c>
      <c r="H70" s="141">
        <v>2054511436000</v>
      </c>
      <c r="I70" s="64">
        <v>2148343319000</v>
      </c>
      <c r="J70" s="64"/>
      <c r="K70" s="64"/>
      <c r="L70" s="64"/>
      <c r="M70" s="64"/>
      <c r="N70" s="64"/>
    </row>
    <row r="71" spans="2:14">
      <c r="B71" s="59" t="s">
        <v>393</v>
      </c>
      <c r="C71" s="66"/>
      <c r="D71" s="66"/>
      <c r="E71" s="66"/>
      <c r="F71" s="66"/>
      <c r="G71" s="66"/>
      <c r="H71" s="160"/>
      <c r="I71" s="66"/>
      <c r="J71" s="66"/>
      <c r="K71" s="66"/>
      <c r="L71" s="66"/>
      <c r="M71" s="66"/>
      <c r="N71" s="66"/>
    </row>
    <row r="72" spans="2:14">
      <c r="B72" s="59" t="s">
        <v>394</v>
      </c>
      <c r="C72" s="66"/>
      <c r="D72" s="66"/>
      <c r="E72" s="66"/>
      <c r="F72" s="66"/>
      <c r="G72" s="66"/>
      <c r="H72" s="160"/>
      <c r="I72" s="66"/>
      <c r="J72" s="66"/>
      <c r="K72" s="66"/>
      <c r="L72" s="66"/>
      <c r="M72" s="66"/>
      <c r="N72" s="66"/>
    </row>
    <row r="73" spans="2:14">
      <c r="B73" s="59" t="s">
        <v>395</v>
      </c>
      <c r="C73" s="66"/>
      <c r="D73" s="66"/>
      <c r="E73" s="66"/>
      <c r="F73" s="66"/>
      <c r="G73" s="66"/>
      <c r="H73" s="160"/>
      <c r="I73" s="66"/>
      <c r="J73" s="66"/>
      <c r="K73" s="66"/>
      <c r="L73" s="66"/>
      <c r="M73" s="66"/>
      <c r="N73" s="66"/>
    </row>
    <row r="74" spans="2:14">
      <c r="B74" s="59" t="s">
        <v>396</v>
      </c>
      <c r="C74" s="66"/>
      <c r="D74" s="66"/>
      <c r="E74" s="66"/>
      <c r="F74" s="66"/>
      <c r="G74" s="66"/>
      <c r="H74" s="160"/>
      <c r="I74" s="66"/>
      <c r="J74" s="66"/>
      <c r="K74" s="66"/>
      <c r="L74" s="66"/>
      <c r="M74" s="66"/>
      <c r="N74" s="66"/>
    </row>
    <row r="75" spans="2:14">
      <c r="B75" s="59" t="s">
        <v>397</v>
      </c>
      <c r="C75" s="66"/>
      <c r="D75" s="66"/>
      <c r="E75" s="66"/>
      <c r="F75" s="66"/>
      <c r="G75" s="66"/>
      <c r="H75" s="160"/>
      <c r="I75" s="66"/>
      <c r="J75" s="66"/>
      <c r="K75" s="66"/>
      <c r="L75" s="66"/>
      <c r="M75" s="66"/>
      <c r="N75" s="66"/>
    </row>
    <row r="76" spans="2:14">
      <c r="B76" s="59" t="s">
        <v>398</v>
      </c>
      <c r="C76" s="66">
        <v>1351763816000</v>
      </c>
      <c r="D76" s="66">
        <v>1440093131000</v>
      </c>
      <c r="E76" s="66">
        <v>1495658317000</v>
      </c>
      <c r="F76" s="66">
        <v>1568189347000</v>
      </c>
      <c r="G76" s="66">
        <v>1660157909000</v>
      </c>
      <c r="H76" s="160">
        <v>1713896622000</v>
      </c>
      <c r="I76" s="66">
        <v>1805370932000</v>
      </c>
      <c r="J76" s="66"/>
      <c r="K76" s="66"/>
      <c r="L76" s="66"/>
      <c r="M76" s="66"/>
      <c r="N76" s="66"/>
    </row>
    <row r="77" spans="2:14">
      <c r="B77" s="59" t="s">
        <v>399</v>
      </c>
      <c r="C77" s="66"/>
      <c r="D77" s="66"/>
      <c r="E77" s="66"/>
      <c r="F77" s="66"/>
      <c r="G77" s="66"/>
      <c r="H77" s="160"/>
      <c r="I77" s="66"/>
      <c r="J77" s="66"/>
      <c r="K77" s="66"/>
      <c r="L77" s="66"/>
      <c r="M77" s="66"/>
      <c r="N77" s="66"/>
    </row>
    <row r="78" spans="2:14">
      <c r="B78" s="59" t="s">
        <v>400</v>
      </c>
      <c r="C78" s="66"/>
      <c r="D78" s="66"/>
      <c r="E78" s="66"/>
      <c r="F78" s="161"/>
      <c r="G78" s="66"/>
      <c r="H78" s="160"/>
      <c r="I78" s="66"/>
      <c r="J78" s="66"/>
      <c r="K78" s="66"/>
      <c r="L78" s="66"/>
      <c r="M78" s="66"/>
      <c r="N78" s="66"/>
    </row>
    <row r="79" spans="2:14">
      <c r="B79" s="59" t="s">
        <v>401</v>
      </c>
      <c r="C79" s="66"/>
      <c r="D79" s="66"/>
      <c r="E79" s="66"/>
      <c r="F79" s="66"/>
      <c r="G79" s="66"/>
      <c r="H79" s="160"/>
      <c r="I79" s="66"/>
      <c r="J79" s="66"/>
      <c r="K79" s="66"/>
      <c r="L79" s="66"/>
      <c r="M79" s="66"/>
      <c r="N79" s="66"/>
    </row>
    <row r="80" spans="2:14">
      <c r="B80" s="59" t="s">
        <v>328</v>
      </c>
      <c r="C80" s="66">
        <f t="shared" ref="C80:I80" si="70">+C70-C77-C78-C76-C71-C79-C75-C74-C73-C72</f>
        <v>294497559000</v>
      </c>
      <c r="D80" s="66">
        <f t="shared" si="70"/>
        <v>297444996000</v>
      </c>
      <c r="E80" s="66">
        <f t="shared" si="70"/>
        <v>308109339000</v>
      </c>
      <c r="F80" s="66">
        <f t="shared" si="70"/>
        <v>273992642000</v>
      </c>
      <c r="G80" s="66">
        <f t="shared" si="70"/>
        <v>285209012000</v>
      </c>
      <c r="H80" s="66">
        <f t="shared" si="70"/>
        <v>340614814000</v>
      </c>
      <c r="I80" s="66">
        <f t="shared" si="70"/>
        <v>342972387000</v>
      </c>
      <c r="J80" s="66"/>
      <c r="K80" s="66"/>
      <c r="L80" s="66"/>
      <c r="M80" s="66"/>
      <c r="N80" s="66"/>
    </row>
    <row r="81" spans="2:14" ht="14.65" thickBot="1">
      <c r="B81" s="60" t="s">
        <v>329</v>
      </c>
      <c r="C81" s="70">
        <f t="shared" ref="C81:I81" si="71">+C70+C61</f>
        <v>1796880136000</v>
      </c>
      <c r="D81" s="70">
        <f t="shared" si="71"/>
        <v>1906052099000</v>
      </c>
      <c r="E81" s="70">
        <f t="shared" si="71"/>
        <v>2001444302000</v>
      </c>
      <c r="F81" s="70">
        <f t="shared" si="71"/>
        <v>2144436488000</v>
      </c>
      <c r="G81" s="70">
        <f t="shared" si="71"/>
        <v>2229221610000</v>
      </c>
      <c r="H81" s="162">
        <f t="shared" si="71"/>
        <v>2379349560000</v>
      </c>
      <c r="I81" s="162">
        <f t="shared" si="71"/>
        <v>2423344315000</v>
      </c>
      <c r="J81" s="70"/>
      <c r="K81" s="70"/>
      <c r="L81" s="70"/>
      <c r="M81" s="70"/>
      <c r="N81" s="70"/>
    </row>
    <row r="82" spans="2:14" ht="14.65" thickBot="1">
      <c r="B82" s="61"/>
      <c r="C82" s="72"/>
      <c r="D82" s="72"/>
      <c r="E82" s="72"/>
      <c r="F82" s="72"/>
      <c r="G82" s="72"/>
      <c r="H82" s="163"/>
      <c r="I82" s="72"/>
      <c r="J82" s="72"/>
      <c r="K82" s="72"/>
      <c r="L82" s="72"/>
      <c r="M82" s="72"/>
      <c r="N82" s="72"/>
    </row>
    <row r="83" spans="2:14">
      <c r="B83" s="57" t="s">
        <v>330</v>
      </c>
      <c r="C83" s="62"/>
      <c r="D83" s="62"/>
      <c r="E83" s="62"/>
      <c r="F83" s="62"/>
      <c r="G83" s="62"/>
      <c r="H83" s="164"/>
      <c r="I83" s="62"/>
      <c r="J83" s="62"/>
      <c r="K83" s="62"/>
      <c r="L83" s="62"/>
      <c r="M83" s="62"/>
      <c r="N83" s="62"/>
    </row>
    <row r="84" spans="2:14">
      <c r="B84" s="58" t="s">
        <v>310</v>
      </c>
      <c r="C84" s="64">
        <v>237111903000</v>
      </c>
      <c r="D84" s="64">
        <v>242318524000</v>
      </c>
      <c r="E84" s="64">
        <v>242137717000</v>
      </c>
      <c r="F84" s="64">
        <v>244032589000</v>
      </c>
      <c r="G84" s="64">
        <v>248642211000</v>
      </c>
      <c r="H84" s="141">
        <v>265797147000</v>
      </c>
      <c r="I84" s="64">
        <v>361668126000</v>
      </c>
      <c r="J84" s="64"/>
      <c r="K84" s="64"/>
      <c r="L84" s="64"/>
      <c r="M84" s="64"/>
      <c r="N84" s="64"/>
    </row>
    <row r="85" spans="2:14">
      <c r="B85" s="59" t="s">
        <v>402</v>
      </c>
      <c r="C85" s="66"/>
      <c r="D85" s="66"/>
      <c r="E85" s="66"/>
      <c r="F85" s="66"/>
      <c r="G85" s="66"/>
      <c r="H85" s="160">
        <v>74347139000</v>
      </c>
      <c r="I85" s="66">
        <v>155416801000</v>
      </c>
      <c r="J85" s="66"/>
      <c r="K85" s="66"/>
      <c r="L85" s="66"/>
      <c r="M85" s="66"/>
      <c r="N85" s="66"/>
    </row>
    <row r="86" spans="2:14">
      <c r="B86" s="59" t="s">
        <v>403</v>
      </c>
      <c r="C86" s="66"/>
      <c r="D86" s="66"/>
      <c r="E86" s="66"/>
      <c r="F86" s="66"/>
      <c r="G86" s="66"/>
      <c r="H86" s="160"/>
      <c r="I86" s="66"/>
      <c r="J86" s="66"/>
      <c r="K86" s="66"/>
      <c r="L86" s="66"/>
      <c r="M86" s="66"/>
      <c r="N86" s="66"/>
    </row>
    <row r="87" spans="2:14">
      <c r="B87" s="59" t="s">
        <v>404</v>
      </c>
      <c r="C87" s="66"/>
      <c r="D87" s="66"/>
      <c r="E87" s="66"/>
      <c r="F87" s="66"/>
      <c r="G87" s="66"/>
      <c r="H87" s="160"/>
      <c r="I87" s="66"/>
      <c r="J87" s="66"/>
      <c r="K87" s="66"/>
      <c r="L87" s="66"/>
      <c r="M87" s="66"/>
      <c r="N87" s="66"/>
    </row>
    <row r="88" spans="2:14">
      <c r="B88" s="59" t="s">
        <v>405</v>
      </c>
      <c r="C88" s="66">
        <v>105645880000</v>
      </c>
      <c r="D88" s="66">
        <v>136872967000</v>
      </c>
      <c r="E88" s="66">
        <v>132451851000</v>
      </c>
      <c r="F88" s="66">
        <v>98758134000</v>
      </c>
      <c r="G88" s="66">
        <v>126774156000</v>
      </c>
      <c r="H88" s="160">
        <v>138331675000</v>
      </c>
      <c r="I88" s="66">
        <v>177288051000</v>
      </c>
      <c r="J88" s="66"/>
      <c r="K88" s="66"/>
      <c r="L88" s="66"/>
      <c r="M88" s="66"/>
      <c r="N88" s="66"/>
    </row>
    <row r="89" spans="2:14">
      <c r="B89" s="59" t="s">
        <v>406</v>
      </c>
      <c r="C89" s="66"/>
      <c r="D89" s="66"/>
      <c r="E89" s="66"/>
      <c r="F89" s="66"/>
      <c r="G89" s="66"/>
      <c r="H89" s="160"/>
      <c r="I89" s="66"/>
      <c r="J89" s="66"/>
      <c r="K89" s="66"/>
      <c r="L89" s="66"/>
      <c r="M89" s="66"/>
      <c r="N89" s="66"/>
    </row>
    <row r="90" spans="2:14">
      <c r="B90" s="59" t="s">
        <v>407</v>
      </c>
      <c r="C90" s="66"/>
      <c r="D90" s="66"/>
      <c r="E90" s="66"/>
      <c r="F90" s="66"/>
      <c r="G90" s="66"/>
      <c r="H90" s="160"/>
      <c r="I90" s="66"/>
      <c r="J90" s="66"/>
      <c r="K90" s="66"/>
      <c r="L90" s="66"/>
      <c r="M90" s="66"/>
      <c r="N90" s="66"/>
    </row>
    <row r="91" spans="2:14">
      <c r="B91" s="59" t="s">
        <v>408</v>
      </c>
      <c r="C91" s="66"/>
      <c r="D91" s="66"/>
      <c r="E91" s="66"/>
      <c r="F91" s="66"/>
      <c r="G91" s="66"/>
      <c r="H91" s="160"/>
      <c r="I91" s="66"/>
      <c r="J91" s="66"/>
      <c r="K91" s="66"/>
      <c r="L91" s="66"/>
      <c r="M91" s="66"/>
      <c r="N91" s="66"/>
    </row>
    <row r="92" spans="2:14">
      <c r="B92" s="59" t="s">
        <v>409</v>
      </c>
      <c r="C92" s="66"/>
      <c r="D92" s="66"/>
      <c r="E92" s="66"/>
      <c r="F92" s="66"/>
      <c r="G92" s="66"/>
      <c r="H92" s="160"/>
      <c r="I92" s="66"/>
      <c r="J92" s="66"/>
      <c r="K92" s="66"/>
      <c r="L92" s="66"/>
      <c r="M92" s="66"/>
      <c r="N92" s="66"/>
    </row>
    <row r="93" spans="2:14">
      <c r="B93" s="59" t="s">
        <v>410</v>
      </c>
      <c r="C93" s="66">
        <f t="shared" ref="C93:I93" si="72">+C84-C85-C91-C92-C90-C89-C88-C87-C86</f>
        <v>131466023000</v>
      </c>
      <c r="D93" s="66">
        <f t="shared" si="72"/>
        <v>105445557000</v>
      </c>
      <c r="E93" s="66">
        <f t="shared" si="72"/>
        <v>109685866000</v>
      </c>
      <c r="F93" s="66">
        <f t="shared" si="72"/>
        <v>145274455000</v>
      </c>
      <c r="G93" s="66">
        <f t="shared" si="72"/>
        <v>121868055000</v>
      </c>
      <c r="H93" s="66">
        <f t="shared" si="72"/>
        <v>53118333000</v>
      </c>
      <c r="I93" s="66">
        <f t="shared" si="72"/>
        <v>28963274000</v>
      </c>
      <c r="J93" s="66"/>
      <c r="K93" s="66"/>
      <c r="L93" s="66"/>
      <c r="M93" s="66"/>
      <c r="N93" s="66"/>
    </row>
    <row r="94" spans="2:14">
      <c r="B94" s="58" t="s">
        <v>319</v>
      </c>
      <c r="C94" s="64">
        <v>866468756000</v>
      </c>
      <c r="D94" s="64">
        <v>976742178000</v>
      </c>
      <c r="E94" s="64">
        <v>1071833122000</v>
      </c>
      <c r="F94" s="64">
        <v>1059655092000</v>
      </c>
      <c r="G94" s="64">
        <v>1138031686000</v>
      </c>
      <c r="H94" s="141">
        <v>1274661314000</v>
      </c>
      <c r="I94" s="64">
        <v>1175540305000</v>
      </c>
      <c r="J94" s="64"/>
      <c r="K94" s="64"/>
      <c r="L94" s="64"/>
      <c r="M94" s="64"/>
      <c r="N94" s="64"/>
    </row>
    <row r="95" spans="2:14">
      <c r="B95" s="59" t="s">
        <v>411</v>
      </c>
      <c r="C95" s="66"/>
      <c r="D95" s="66"/>
      <c r="E95" s="66"/>
      <c r="F95" s="66"/>
      <c r="G95" s="66"/>
      <c r="H95" s="160"/>
      <c r="I95" s="66"/>
      <c r="J95" s="66"/>
      <c r="K95" s="66"/>
      <c r="L95" s="66"/>
      <c r="M95" s="66"/>
      <c r="N95" s="66"/>
    </row>
    <row r="96" spans="2:14">
      <c r="B96" s="59" t="s">
        <v>412</v>
      </c>
      <c r="C96" s="66"/>
      <c r="D96" s="66"/>
      <c r="E96" s="66"/>
      <c r="F96" s="66"/>
      <c r="G96" s="66"/>
      <c r="H96" s="160"/>
      <c r="I96" s="66"/>
      <c r="J96" s="66"/>
      <c r="K96" s="66"/>
      <c r="L96" s="66"/>
      <c r="M96" s="66"/>
      <c r="N96" s="66"/>
    </row>
    <row r="97" spans="2:14">
      <c r="B97" s="59" t="s">
        <v>413</v>
      </c>
      <c r="C97" s="66"/>
      <c r="D97" s="66"/>
      <c r="E97" s="66"/>
      <c r="F97" s="66"/>
      <c r="G97" s="66"/>
      <c r="H97" s="160"/>
      <c r="I97" s="66"/>
      <c r="J97" s="66"/>
      <c r="K97" s="66"/>
      <c r="L97" s="66"/>
      <c r="M97" s="66"/>
      <c r="N97" s="66"/>
    </row>
    <row r="98" spans="2:14">
      <c r="B98" s="59" t="s">
        <v>414</v>
      </c>
      <c r="C98" s="66"/>
      <c r="D98" s="66"/>
      <c r="E98" s="66"/>
      <c r="F98" s="66"/>
      <c r="G98" s="66"/>
      <c r="H98" s="160"/>
      <c r="I98" s="66"/>
      <c r="J98" s="66"/>
      <c r="K98" s="66"/>
      <c r="L98" s="66"/>
      <c r="M98" s="66"/>
      <c r="N98" s="66"/>
    </row>
    <row r="99" spans="2:14">
      <c r="B99" s="59" t="s">
        <v>341</v>
      </c>
      <c r="C99" s="66">
        <f t="shared" ref="C99:H99" si="73">+C94-C95-C97-C98-C96</f>
        <v>866468756000</v>
      </c>
      <c r="D99" s="66">
        <f t="shared" si="73"/>
        <v>976742178000</v>
      </c>
      <c r="E99" s="66">
        <f t="shared" si="73"/>
        <v>1071833122000</v>
      </c>
      <c r="F99" s="66">
        <f t="shared" si="73"/>
        <v>1059655092000</v>
      </c>
      <c r="G99" s="66">
        <f t="shared" si="73"/>
        <v>1138031686000</v>
      </c>
      <c r="H99" s="66">
        <f t="shared" si="73"/>
        <v>1274661314000</v>
      </c>
      <c r="I99" s="66">
        <v>1125060897000</v>
      </c>
      <c r="J99" s="66"/>
      <c r="K99" s="66"/>
      <c r="L99" s="66"/>
      <c r="M99" s="66"/>
      <c r="N99" s="66"/>
    </row>
    <row r="100" spans="2:14" ht="14.65" thickBot="1">
      <c r="B100" s="60" t="s">
        <v>342</v>
      </c>
      <c r="C100" s="70">
        <f t="shared" ref="C100:I100" si="74">+C94+C84</f>
        <v>1103580659000</v>
      </c>
      <c r="D100" s="70">
        <f t="shared" si="74"/>
        <v>1219060702000</v>
      </c>
      <c r="E100" s="70">
        <f t="shared" si="74"/>
        <v>1313970839000</v>
      </c>
      <c r="F100" s="70">
        <f t="shared" si="74"/>
        <v>1303687681000</v>
      </c>
      <c r="G100" s="70">
        <f t="shared" si="74"/>
        <v>1386673897000</v>
      </c>
      <c r="H100" s="162">
        <f t="shared" si="74"/>
        <v>1540458461000</v>
      </c>
      <c r="I100" s="162">
        <f t="shared" si="74"/>
        <v>1537208431000</v>
      </c>
      <c r="J100" s="70"/>
      <c r="K100" s="70"/>
      <c r="L100" s="70"/>
      <c r="M100" s="70"/>
      <c r="N100" s="70"/>
    </row>
    <row r="101" spans="2:14" ht="14.65" thickBot="1">
      <c r="B101" s="61"/>
      <c r="C101" s="61"/>
      <c r="D101" s="61"/>
      <c r="E101" s="61"/>
      <c r="F101" s="61"/>
      <c r="G101" s="61"/>
      <c r="H101" s="61"/>
      <c r="I101" s="61"/>
      <c r="J101" s="61"/>
      <c r="K101" s="61"/>
      <c r="L101" s="61"/>
      <c r="M101" s="61"/>
      <c r="N101" s="61"/>
    </row>
    <row r="102" spans="2:14">
      <c r="B102" s="57" t="s">
        <v>343</v>
      </c>
      <c r="C102" s="62"/>
      <c r="D102" s="62"/>
      <c r="E102" s="62"/>
      <c r="F102" s="62"/>
      <c r="G102" s="62"/>
      <c r="H102" s="164"/>
      <c r="I102" s="62"/>
      <c r="J102" s="62"/>
      <c r="K102" s="62"/>
      <c r="L102" s="62"/>
      <c r="M102" s="62"/>
      <c r="N102" s="62"/>
    </row>
    <row r="103" spans="2:14">
      <c r="B103" s="59" t="s">
        <v>415</v>
      </c>
      <c r="C103" s="160">
        <v>155567354000</v>
      </c>
      <c r="D103" s="160">
        <v>155567354000</v>
      </c>
      <c r="E103" s="160">
        <v>155567354000</v>
      </c>
      <c r="F103" s="160">
        <v>155567354000</v>
      </c>
      <c r="G103" s="160">
        <v>155567354000</v>
      </c>
      <c r="H103" s="160">
        <v>155567354000</v>
      </c>
      <c r="I103" s="160">
        <v>155567354000</v>
      </c>
      <c r="J103" s="160"/>
      <c r="K103" s="160"/>
      <c r="L103" s="160"/>
      <c r="M103" s="160"/>
      <c r="N103" s="160"/>
    </row>
    <row r="104" spans="2:14">
      <c r="B104" s="59" t="s">
        <v>416</v>
      </c>
      <c r="C104" s="66">
        <v>328964934000</v>
      </c>
      <c r="D104" s="66">
        <v>324954354000</v>
      </c>
      <c r="E104" s="66">
        <v>330787492000</v>
      </c>
      <c r="F104" s="66">
        <v>364961863000</v>
      </c>
      <c r="G104" s="66">
        <v>361776346000</v>
      </c>
      <c r="H104" s="160">
        <v>362648832000</v>
      </c>
      <c r="I104" s="66">
        <v>411044222000</v>
      </c>
      <c r="J104" s="66"/>
      <c r="K104" s="66"/>
      <c r="L104" s="66"/>
      <c r="M104" s="66"/>
      <c r="N104" s="66"/>
    </row>
    <row r="105" spans="2:14">
      <c r="B105" s="59" t="s">
        <v>417</v>
      </c>
      <c r="C105" s="160">
        <v>164064038000</v>
      </c>
      <c r="D105" s="160">
        <v>164064038000</v>
      </c>
      <c r="E105" s="160">
        <v>164064038000</v>
      </c>
      <c r="F105" s="160">
        <v>164064038000</v>
      </c>
      <c r="G105" s="160">
        <v>164064038000</v>
      </c>
      <c r="H105" s="160">
        <v>164064038000</v>
      </c>
      <c r="I105" s="66">
        <v>164064038000</v>
      </c>
      <c r="J105" s="66"/>
      <c r="K105" s="66"/>
      <c r="L105" s="66"/>
      <c r="M105" s="66"/>
      <c r="N105" s="66"/>
    </row>
    <row r="106" spans="2:14">
      <c r="B106" s="59" t="s">
        <v>418</v>
      </c>
      <c r="C106" s="66">
        <v>-5965550000</v>
      </c>
      <c r="D106" s="66">
        <v>-5965550000</v>
      </c>
      <c r="E106" s="160">
        <v>-5965550000</v>
      </c>
      <c r="F106" s="160">
        <v>-5965550000</v>
      </c>
      <c r="G106" s="160">
        <v>-5965550000</v>
      </c>
      <c r="H106" s="160">
        <v>-5965550000</v>
      </c>
      <c r="I106" s="66">
        <v>-5965550000</v>
      </c>
      <c r="J106" s="66"/>
      <c r="K106" s="66"/>
      <c r="L106" s="66"/>
      <c r="M106" s="66"/>
      <c r="N106" s="66"/>
    </row>
    <row r="107" spans="2:14">
      <c r="B107" s="59" t="s">
        <v>345</v>
      </c>
      <c r="C107" s="66"/>
      <c r="D107" s="66"/>
      <c r="E107" s="66">
        <v>0</v>
      </c>
      <c r="F107" s="66">
        <v>162095537000</v>
      </c>
      <c r="G107" s="66">
        <v>167078027000</v>
      </c>
      <c r="H107" s="160">
        <v>162546852000</v>
      </c>
      <c r="I107" s="66">
        <v>161397766000</v>
      </c>
      <c r="J107" s="66"/>
      <c r="K107" s="66"/>
      <c r="L107" s="66"/>
      <c r="M107" s="66"/>
      <c r="N107" s="66"/>
    </row>
    <row r="108" spans="2:14">
      <c r="B108" s="59" t="s">
        <v>419</v>
      </c>
      <c r="C108" s="66">
        <v>50668701000</v>
      </c>
      <c r="D108" s="66">
        <v>48370742000</v>
      </c>
      <c r="E108" s="66">
        <v>43020129000</v>
      </c>
      <c r="F108" s="66">
        <v>25565000</v>
      </c>
      <c r="G108" s="66">
        <v>27498000</v>
      </c>
      <c r="H108" s="160">
        <v>29573000</v>
      </c>
      <c r="I108" s="66">
        <v>31468000</v>
      </c>
      <c r="J108" s="66"/>
      <c r="K108" s="66"/>
      <c r="L108" s="66"/>
      <c r="M108" s="66"/>
      <c r="N108" s="66"/>
    </row>
    <row r="109" spans="2:14" ht="14.65" thickBot="1">
      <c r="B109" s="60" t="s">
        <v>420</v>
      </c>
      <c r="C109" s="70">
        <f>+C103+C107+C104+C105+C106</f>
        <v>642630776000</v>
      </c>
      <c r="D109" s="70">
        <f>+D103+D107+D104+D105+D106</f>
        <v>638620196000</v>
      </c>
      <c r="E109" s="70">
        <f t="shared" ref="E109:I109" si="75">+E103+E107+E104+E105+E106</f>
        <v>644453334000</v>
      </c>
      <c r="F109" s="70">
        <f t="shared" si="75"/>
        <v>840723242000</v>
      </c>
      <c r="G109" s="70">
        <f t="shared" si="75"/>
        <v>842520215000</v>
      </c>
      <c r="H109" s="70">
        <f t="shared" si="75"/>
        <v>838861526000</v>
      </c>
      <c r="I109" s="70">
        <f t="shared" si="75"/>
        <v>886107830000</v>
      </c>
      <c r="J109" s="70"/>
      <c r="K109" s="70"/>
      <c r="L109" s="70"/>
      <c r="M109" s="70"/>
      <c r="N109" s="70"/>
    </row>
    <row r="110" spans="2:14" ht="14.65" thickBot="1">
      <c r="B110" s="60" t="s">
        <v>347</v>
      </c>
      <c r="C110" s="70">
        <f>+C109+C108</f>
        <v>693299477000</v>
      </c>
      <c r="D110" s="70">
        <f t="shared" ref="D110:I110" si="76">+D109+D108</f>
        <v>686990938000</v>
      </c>
      <c r="E110" s="70">
        <f t="shared" si="76"/>
        <v>687473463000</v>
      </c>
      <c r="F110" s="70">
        <f t="shared" si="76"/>
        <v>840748807000</v>
      </c>
      <c r="G110" s="70">
        <f t="shared" si="76"/>
        <v>842547713000</v>
      </c>
      <c r="H110" s="70">
        <f t="shared" si="76"/>
        <v>838891099000</v>
      </c>
      <c r="I110" s="70">
        <f t="shared" si="76"/>
        <v>886139298000</v>
      </c>
      <c r="J110" s="70">
        <f t="shared" ref="J110:N110" si="77">+J109+J108</f>
        <v>0</v>
      </c>
      <c r="K110" s="70">
        <f t="shared" si="77"/>
        <v>0</v>
      </c>
      <c r="L110" s="70">
        <f t="shared" si="77"/>
        <v>0</v>
      </c>
      <c r="M110" s="70">
        <f t="shared" si="77"/>
        <v>0</v>
      </c>
      <c r="N110" s="70">
        <f t="shared" si="77"/>
        <v>0</v>
      </c>
    </row>
    <row r="112" spans="2:14" ht="14.65" thickBot="1">
      <c r="B112" s="75" t="s">
        <v>348</v>
      </c>
    </row>
    <row r="113" spans="2:14" ht="14.65" thickBot="1">
      <c r="B113" s="82" t="s">
        <v>308</v>
      </c>
      <c r="C113" s="88">
        <v>2017</v>
      </c>
      <c r="D113" s="88">
        <v>2018</v>
      </c>
      <c r="E113" s="88">
        <v>2019</v>
      </c>
      <c r="F113" s="88">
        <v>2020</v>
      </c>
      <c r="G113" s="88">
        <v>2021</v>
      </c>
      <c r="H113" s="88">
        <v>2022</v>
      </c>
      <c r="I113" s="88">
        <v>2023</v>
      </c>
      <c r="J113" s="88">
        <v>2024</v>
      </c>
      <c r="K113" s="88">
        <v>2025</v>
      </c>
      <c r="L113" s="88">
        <v>2026</v>
      </c>
      <c r="M113" s="88">
        <v>2027</v>
      </c>
      <c r="N113" s="88">
        <v>2028</v>
      </c>
    </row>
    <row r="114" spans="2:14">
      <c r="B114" s="83" t="s">
        <v>349</v>
      </c>
      <c r="C114" s="90">
        <v>509540577000</v>
      </c>
      <c r="D114" s="90">
        <v>530404680000</v>
      </c>
      <c r="E114" s="90">
        <v>484329084000</v>
      </c>
      <c r="F114" s="90">
        <v>478773563000</v>
      </c>
      <c r="G114" s="90">
        <v>506459633000</v>
      </c>
      <c r="H114" s="90">
        <v>575465445000</v>
      </c>
      <c r="I114" s="90">
        <v>640855854000</v>
      </c>
      <c r="J114" s="90"/>
      <c r="K114" s="90"/>
      <c r="L114" s="90"/>
      <c r="M114" s="90"/>
      <c r="N114" s="90"/>
    </row>
    <row r="115" spans="2:14">
      <c r="B115" s="85" t="s">
        <v>421</v>
      </c>
      <c r="C115" s="66">
        <v>-34924849000</v>
      </c>
      <c r="D115" s="66">
        <v>-39229232000</v>
      </c>
      <c r="E115" s="66">
        <v>-37518383000</v>
      </c>
      <c r="F115" s="66">
        <v>-43542356000</v>
      </c>
      <c r="G115" s="66">
        <v>-53622709000</v>
      </c>
      <c r="H115" s="66">
        <v>-79574233000</v>
      </c>
      <c r="I115" s="66">
        <v>-85361668000</v>
      </c>
      <c r="J115" s="66"/>
      <c r="K115" s="66"/>
      <c r="L115" s="66"/>
      <c r="M115" s="66"/>
      <c r="N115" s="66"/>
    </row>
    <row r="116" spans="2:14">
      <c r="B116" s="86" t="s">
        <v>422</v>
      </c>
      <c r="C116" s="64">
        <f t="shared" ref="C116:F116" si="78">+C114+C115</f>
        <v>474615728000</v>
      </c>
      <c r="D116" s="64">
        <f>+D114+D115</f>
        <v>491175448000</v>
      </c>
      <c r="E116" s="64">
        <f t="shared" si="78"/>
        <v>446810701000</v>
      </c>
      <c r="F116" s="64">
        <f t="shared" si="78"/>
        <v>435231207000</v>
      </c>
      <c r="G116" s="64">
        <f>+G114+G115</f>
        <v>452836924000</v>
      </c>
      <c r="H116" s="64">
        <f t="shared" ref="H116:I116" si="79">+H114+H115</f>
        <v>495891212000</v>
      </c>
      <c r="I116" s="64">
        <f t="shared" si="79"/>
        <v>555494186000</v>
      </c>
      <c r="J116" s="64"/>
      <c r="K116" s="64"/>
      <c r="L116" s="64"/>
      <c r="M116" s="64"/>
      <c r="N116" s="64"/>
    </row>
    <row r="117" spans="2:14">
      <c r="B117" s="85" t="s">
        <v>423</v>
      </c>
      <c r="C117" s="117">
        <v>-55548304000</v>
      </c>
      <c r="D117" s="117">
        <v>-59153387000</v>
      </c>
      <c r="E117" s="117">
        <v>-50638865000</v>
      </c>
      <c r="F117" s="117">
        <v>-55045719000</v>
      </c>
      <c r="G117" s="117">
        <v>-55077943000</v>
      </c>
      <c r="H117" s="117">
        <v>-66369413000</v>
      </c>
      <c r="I117" s="117">
        <v>-76458923000</v>
      </c>
      <c r="J117" s="117"/>
      <c r="K117" s="117"/>
      <c r="L117" s="117"/>
      <c r="M117" s="117"/>
      <c r="N117" s="117"/>
    </row>
    <row r="118" spans="2:14">
      <c r="B118" s="85" t="s">
        <v>424</v>
      </c>
      <c r="C118" s="117">
        <v>-74394154000</v>
      </c>
      <c r="D118" s="117">
        <v>-75467585000</v>
      </c>
      <c r="E118" s="117">
        <v>-63951173000</v>
      </c>
      <c r="F118" s="117">
        <v>-67134809000</v>
      </c>
      <c r="G118" s="117">
        <v>-69195160000</v>
      </c>
      <c r="H118" s="117">
        <v>-74811690000</v>
      </c>
      <c r="I118" s="117">
        <v>-77689350000</v>
      </c>
      <c r="J118" s="117"/>
      <c r="K118" s="117"/>
      <c r="L118" s="117"/>
      <c r="M118" s="117"/>
      <c r="N118" s="117"/>
    </row>
    <row r="119" spans="2:14">
      <c r="B119" s="85" t="s">
        <v>425</v>
      </c>
      <c r="C119" s="117"/>
      <c r="D119" s="117"/>
      <c r="E119" s="117">
        <v>0</v>
      </c>
      <c r="F119" s="117">
        <v>-1404946000</v>
      </c>
      <c r="G119" s="117"/>
      <c r="H119" s="117"/>
      <c r="I119" s="117"/>
      <c r="J119" s="117"/>
      <c r="K119" s="117"/>
      <c r="L119" s="117"/>
      <c r="M119" s="117"/>
      <c r="N119" s="117"/>
    </row>
    <row r="120" spans="2:14">
      <c r="B120" s="85" t="s">
        <v>426</v>
      </c>
      <c r="C120" s="117">
        <v>-120462471000</v>
      </c>
      <c r="D120" s="117">
        <v>-122358326000</v>
      </c>
      <c r="E120" s="117">
        <v>-110865349000</v>
      </c>
      <c r="F120" s="117">
        <v>-144853561000</v>
      </c>
      <c r="G120" s="117">
        <v>-119245857000</v>
      </c>
      <c r="H120" s="117">
        <v>-124929936000</v>
      </c>
      <c r="I120" s="117">
        <v>-148430974000</v>
      </c>
      <c r="J120" s="117"/>
      <c r="K120" s="117"/>
      <c r="L120" s="117"/>
      <c r="M120" s="117"/>
      <c r="N120" s="117"/>
    </row>
    <row r="121" spans="2:14">
      <c r="B121" s="85" t="s">
        <v>427</v>
      </c>
      <c r="C121" s="66">
        <v>2608255000</v>
      </c>
      <c r="D121" s="66">
        <v>-1124474000</v>
      </c>
      <c r="E121" s="66">
        <v>14280922000</v>
      </c>
      <c r="F121" s="117">
        <v>-3967292000</v>
      </c>
      <c r="G121" s="117">
        <v>3629839000</v>
      </c>
      <c r="H121" s="117">
        <v>-1521833000</v>
      </c>
      <c r="I121" s="117">
        <v>3336545000</v>
      </c>
      <c r="J121" s="117"/>
      <c r="K121" s="117"/>
      <c r="L121" s="117"/>
      <c r="M121" s="117"/>
      <c r="N121" s="117"/>
    </row>
    <row r="122" spans="2:14">
      <c r="B122" s="86" t="s">
        <v>428</v>
      </c>
      <c r="C122" s="64">
        <f t="shared" ref="C122:E122" si="80">+C116+C121+C117+C118+C120+C119</f>
        <v>226819054000</v>
      </c>
      <c r="D122" s="64">
        <f t="shared" si="80"/>
        <v>233071676000</v>
      </c>
      <c r="E122" s="64">
        <f t="shared" si="80"/>
        <v>235636236000</v>
      </c>
      <c r="F122" s="64">
        <f>+F116+F121+F117+F118+F120+F119</f>
        <v>162824880000</v>
      </c>
      <c r="G122" s="64">
        <f t="shared" ref="G122" si="81">+G116+G121+G117+G118+G120+G119</f>
        <v>212947803000</v>
      </c>
      <c r="H122" s="64">
        <f t="shared" ref="H122" si="82">+H116+H121+H117+H118+H120+H119</f>
        <v>228258340000</v>
      </c>
      <c r="I122" s="64">
        <f t="shared" ref="I122:J122" si="83">+I116+I121+I117+I118+I120+I119</f>
        <v>256251484000</v>
      </c>
      <c r="J122" s="64">
        <f t="shared" si="83"/>
        <v>0</v>
      </c>
      <c r="K122" s="64">
        <f t="shared" ref="K122:N122" si="84">+K116+K121+K117+K118+K120+K119</f>
        <v>0</v>
      </c>
      <c r="L122" s="64">
        <f t="shared" si="84"/>
        <v>0</v>
      </c>
      <c r="M122" s="64">
        <f t="shared" si="84"/>
        <v>0</v>
      </c>
      <c r="N122" s="64">
        <f t="shared" si="84"/>
        <v>0</v>
      </c>
    </row>
    <row r="123" spans="2:14">
      <c r="B123" s="85" t="s">
        <v>429</v>
      </c>
      <c r="C123" s="66">
        <v>6052997000</v>
      </c>
      <c r="D123" s="66">
        <v>5856180000</v>
      </c>
      <c r="E123" s="66">
        <v>5223315000</v>
      </c>
      <c r="F123" s="66">
        <v>3868561000</v>
      </c>
      <c r="G123" s="131">
        <v>5074265000</v>
      </c>
      <c r="H123" s="131">
        <v>20981379000</v>
      </c>
      <c r="I123" s="131">
        <v>15927907000</v>
      </c>
      <c r="J123" s="131"/>
      <c r="K123" s="131"/>
      <c r="L123" s="131"/>
      <c r="M123" s="131"/>
      <c r="N123" s="131"/>
    </row>
    <row r="124" spans="2:14">
      <c r="B124" s="85" t="s">
        <v>430</v>
      </c>
      <c r="C124" s="66">
        <v>-31112258000</v>
      </c>
      <c r="D124" s="66">
        <v>-29996785000</v>
      </c>
      <c r="E124" s="66">
        <v>-26752209000</v>
      </c>
      <c r="F124" s="66">
        <v>-28172393000</v>
      </c>
      <c r="G124" s="131">
        <v>-27862844000</v>
      </c>
      <c r="H124" s="131">
        <v>-36630374000</v>
      </c>
      <c r="I124" s="131">
        <v>-48849432000</v>
      </c>
      <c r="J124" s="131"/>
      <c r="K124" s="131"/>
      <c r="L124" s="131"/>
      <c r="M124" s="131"/>
      <c r="N124" s="131"/>
    </row>
    <row r="125" spans="2:14">
      <c r="B125" s="85" t="s">
        <v>431</v>
      </c>
      <c r="C125" s="66"/>
      <c r="D125" s="66"/>
      <c r="E125" s="66"/>
      <c r="F125" s="66"/>
      <c r="G125" s="131">
        <v>-15694733000</v>
      </c>
      <c r="H125" s="131">
        <v>-13830357000</v>
      </c>
      <c r="I125" s="131">
        <v>-12316346000</v>
      </c>
      <c r="J125" s="131"/>
      <c r="K125" s="131"/>
      <c r="L125" s="131"/>
      <c r="M125" s="131"/>
      <c r="N125" s="131"/>
    </row>
    <row r="126" spans="2:14">
      <c r="B126" s="85" t="s">
        <v>432</v>
      </c>
      <c r="C126" s="66">
        <v>8988000</v>
      </c>
      <c r="D126" s="66">
        <v>-83558000</v>
      </c>
      <c r="E126" s="66">
        <v>-481551000</v>
      </c>
      <c r="F126" s="66">
        <v>-496138000</v>
      </c>
      <c r="G126" s="131">
        <v>813905000</v>
      </c>
      <c r="H126" s="131">
        <v>-854215000</v>
      </c>
      <c r="I126" s="131">
        <v>2645936000</v>
      </c>
      <c r="J126" s="131"/>
      <c r="K126" s="131"/>
      <c r="L126" s="131"/>
      <c r="M126" s="131"/>
      <c r="N126" s="131"/>
    </row>
    <row r="127" spans="2:14">
      <c r="B127" s="85" t="s">
        <v>433</v>
      </c>
      <c r="C127" s="66">
        <v>-11945903000</v>
      </c>
      <c r="D127" s="66">
        <v>-23022736000</v>
      </c>
      <c r="E127" s="66">
        <v>-21552953000</v>
      </c>
      <c r="F127" s="66">
        <v>-22343279000</v>
      </c>
      <c r="G127" s="131">
        <v>-54968976000</v>
      </c>
      <c r="H127" s="131">
        <v>-115252282000</v>
      </c>
      <c r="I127" s="131">
        <v>-46357996000</v>
      </c>
      <c r="J127" s="131"/>
      <c r="K127" s="131"/>
      <c r="L127" s="131"/>
      <c r="M127" s="131"/>
      <c r="N127" s="131"/>
    </row>
    <row r="128" spans="2:14">
      <c r="B128" s="86" t="s">
        <v>362</v>
      </c>
      <c r="C128" s="64">
        <f t="shared" ref="C128:E128" si="85">+C122+C123+C124+C125+C126+C127</f>
        <v>189822878000</v>
      </c>
      <c r="D128" s="64">
        <f t="shared" si="85"/>
        <v>185824777000</v>
      </c>
      <c r="E128" s="64">
        <f t="shared" si="85"/>
        <v>192072838000</v>
      </c>
      <c r="F128" s="64">
        <f>+F122+F123+F124+F125+F126+F127</f>
        <v>115681631000</v>
      </c>
      <c r="G128" s="64">
        <f t="shared" ref="G128:I128" si="86">+G122+G123+G124+G125+G126+G127</f>
        <v>120309420000</v>
      </c>
      <c r="H128" s="64">
        <f t="shared" si="86"/>
        <v>82672491000</v>
      </c>
      <c r="I128" s="64">
        <f t="shared" si="86"/>
        <v>167301553000</v>
      </c>
      <c r="J128" s="64"/>
      <c r="K128" s="64"/>
      <c r="L128" s="64"/>
      <c r="M128" s="64"/>
      <c r="N128" s="64"/>
    </row>
    <row r="129" spans="2:14">
      <c r="B129" s="85" t="s">
        <v>363</v>
      </c>
      <c r="C129" s="66">
        <v>-46340625000</v>
      </c>
      <c r="D129" s="66">
        <v>-46506422000</v>
      </c>
      <c r="E129" s="66">
        <v>-49352038000</v>
      </c>
      <c r="F129" s="66">
        <v>-26987579000</v>
      </c>
      <c r="G129" s="91">
        <v>-19662886000</v>
      </c>
      <c r="H129" s="91">
        <v>2578383000</v>
      </c>
      <c r="I129" s="91">
        <v>-33909237000</v>
      </c>
      <c r="J129" s="91"/>
      <c r="K129" s="91"/>
      <c r="L129" s="91"/>
      <c r="M129" s="91"/>
      <c r="N129" s="91"/>
    </row>
    <row r="130" spans="2:14">
      <c r="B130" s="85" t="s">
        <v>434</v>
      </c>
      <c r="C130" s="132"/>
      <c r="D130" s="132"/>
      <c r="E130" s="132">
        <v>-2970428000</v>
      </c>
      <c r="F130" s="132">
        <v>11671443000</v>
      </c>
      <c r="G130" s="278"/>
      <c r="H130" s="278"/>
      <c r="I130" s="278"/>
      <c r="J130" s="278"/>
      <c r="K130" s="278"/>
      <c r="L130" s="278"/>
      <c r="M130" s="278"/>
      <c r="N130" s="278"/>
    </row>
    <row r="131" spans="2:14">
      <c r="B131" s="84" t="s">
        <v>365</v>
      </c>
      <c r="C131" s="130">
        <f t="shared" ref="C131:D131" si="87">+C128+C129+C130</f>
        <v>143482253000</v>
      </c>
      <c r="D131" s="130">
        <f t="shared" si="87"/>
        <v>139318355000</v>
      </c>
      <c r="E131" s="130">
        <f>+E128+E129+E130</f>
        <v>139750372000</v>
      </c>
      <c r="F131" s="130">
        <f t="shared" ref="F131:I131" si="88">+F128+F129+F130</f>
        <v>100365495000</v>
      </c>
      <c r="G131" s="130">
        <f t="shared" si="88"/>
        <v>100646534000</v>
      </c>
      <c r="H131" s="130">
        <f t="shared" si="88"/>
        <v>85250874000</v>
      </c>
      <c r="I131" s="130">
        <f t="shared" si="88"/>
        <v>133392316000</v>
      </c>
      <c r="J131" s="130">
        <f t="shared" ref="J131:N131" si="89">+J128+J129+J130</f>
        <v>0</v>
      </c>
      <c r="K131" s="130">
        <f t="shared" si="89"/>
        <v>0</v>
      </c>
      <c r="L131" s="130">
        <f t="shared" si="89"/>
        <v>0</v>
      </c>
      <c r="M131" s="130">
        <f t="shared" si="89"/>
        <v>0</v>
      </c>
      <c r="N131" s="130">
        <f t="shared" si="89"/>
        <v>0</v>
      </c>
    </row>
    <row r="132" spans="2:14" ht="28.5">
      <c r="B132" s="87" t="s">
        <v>435</v>
      </c>
      <c r="C132" s="66">
        <v>3861973000</v>
      </c>
      <c r="D132" s="66">
        <v>3261838000</v>
      </c>
      <c r="E132" s="66">
        <v>-1986816000</v>
      </c>
      <c r="F132" s="66">
        <v>1673827000</v>
      </c>
      <c r="G132" s="91">
        <v>2005000</v>
      </c>
      <c r="H132" s="91">
        <v>2140000</v>
      </c>
      <c r="I132" s="91">
        <v>1895000</v>
      </c>
      <c r="J132" s="91"/>
      <c r="K132" s="91"/>
      <c r="L132" s="91"/>
      <c r="M132" s="91"/>
      <c r="N132" s="91"/>
    </row>
    <row r="133" spans="2:14">
      <c r="B133" s="84" t="s">
        <v>436</v>
      </c>
      <c r="C133" s="64">
        <f>+C131-C132</f>
        <v>139620280000</v>
      </c>
      <c r="D133" s="64">
        <f t="shared" ref="D133:I133" si="90">+D131-D132</f>
        <v>136056517000</v>
      </c>
      <c r="E133" s="64">
        <f t="shared" si="90"/>
        <v>141737188000</v>
      </c>
      <c r="F133" s="64">
        <f t="shared" si="90"/>
        <v>98691668000</v>
      </c>
      <c r="G133" s="64">
        <f t="shared" si="90"/>
        <v>100644529000</v>
      </c>
      <c r="H133" s="64">
        <f t="shared" si="90"/>
        <v>85248734000</v>
      </c>
      <c r="I133" s="66">
        <f t="shared" si="90"/>
        <v>133390421000</v>
      </c>
      <c r="J133" s="66">
        <f t="shared" ref="J133:N133" si="91">+J131-J132</f>
        <v>0</v>
      </c>
      <c r="K133" s="66">
        <f t="shared" si="91"/>
        <v>0</v>
      </c>
      <c r="L133" s="66">
        <f t="shared" si="91"/>
        <v>0</v>
      </c>
      <c r="M133" s="66">
        <f t="shared" si="91"/>
        <v>0</v>
      </c>
      <c r="N133" s="66">
        <f t="shared" si="91"/>
        <v>0</v>
      </c>
    </row>
    <row r="134" spans="2:14">
      <c r="B134" s="84" t="s">
        <v>366</v>
      </c>
      <c r="C134" s="111">
        <v>22.818000000000001</v>
      </c>
      <c r="D134" s="111">
        <v>22.234999999999999</v>
      </c>
      <c r="E134" s="111">
        <v>23.164000000000001</v>
      </c>
      <c r="F134" s="134">
        <v>16.129000000000001</v>
      </c>
      <c r="G134" s="134">
        <v>16.448</v>
      </c>
      <c r="H134" s="134">
        <v>13.932</v>
      </c>
      <c r="I134" s="134">
        <v>21.8</v>
      </c>
      <c r="J134" s="134"/>
      <c r="K134" s="134"/>
      <c r="L134" s="134"/>
      <c r="M134" s="134"/>
      <c r="N134" s="134"/>
    </row>
    <row r="136" spans="2:14" ht="14.65" thickBot="1">
      <c r="B136" s="75" t="s">
        <v>367</v>
      </c>
    </row>
    <row r="137" spans="2:14" ht="14.65" thickBot="1">
      <c r="B137" s="82" t="s">
        <v>308</v>
      </c>
      <c r="C137" s="88">
        <v>2017</v>
      </c>
      <c r="D137" s="88">
        <v>2018</v>
      </c>
      <c r="E137" s="88">
        <v>2019</v>
      </c>
      <c r="F137" s="88">
        <v>2020</v>
      </c>
      <c r="G137" s="88">
        <v>2021</v>
      </c>
      <c r="H137" s="88">
        <v>2022</v>
      </c>
      <c r="I137" s="88">
        <v>2023</v>
      </c>
      <c r="J137" s="88">
        <v>2024</v>
      </c>
      <c r="K137" s="88">
        <v>2025</v>
      </c>
      <c r="L137" s="88">
        <v>2026</v>
      </c>
      <c r="M137" s="88">
        <v>2027</v>
      </c>
      <c r="N137" s="88">
        <v>2028</v>
      </c>
    </row>
    <row r="138" spans="2:14">
      <c r="B138" s="83" t="s">
        <v>368</v>
      </c>
      <c r="C138" s="90">
        <v>213469168000</v>
      </c>
      <c r="D138" s="90">
        <v>245501004000</v>
      </c>
      <c r="E138" s="90">
        <v>220759469000</v>
      </c>
      <c r="F138" s="90">
        <v>185293280000</v>
      </c>
      <c r="G138" s="90">
        <v>231199221000</v>
      </c>
      <c r="H138" s="90">
        <v>242903240000</v>
      </c>
      <c r="I138" s="90">
        <v>229397451000</v>
      </c>
      <c r="J138" s="90"/>
      <c r="K138" s="90"/>
      <c r="L138" s="90"/>
      <c r="M138" s="90"/>
      <c r="N138" s="90"/>
    </row>
    <row r="139" spans="2:14">
      <c r="B139" s="86" t="s">
        <v>369</v>
      </c>
      <c r="C139" s="91">
        <v>-113828958000</v>
      </c>
      <c r="D139" s="93">
        <v>-135451049000</v>
      </c>
      <c r="E139" s="93">
        <v>-109694362000</v>
      </c>
      <c r="F139" s="66">
        <v>-78371570000</v>
      </c>
      <c r="G139" s="93">
        <v>-157685839000</v>
      </c>
      <c r="H139" s="66">
        <v>-165900708000</v>
      </c>
      <c r="I139" s="66">
        <v>-150000484000</v>
      </c>
      <c r="J139" s="66"/>
      <c r="K139" s="66"/>
      <c r="L139" s="66"/>
      <c r="M139" s="66"/>
      <c r="N139" s="66"/>
    </row>
    <row r="140" spans="2:14">
      <c r="B140" s="85" t="s">
        <v>370</v>
      </c>
      <c r="C140" s="93">
        <v>-112299077000</v>
      </c>
      <c r="D140" s="93">
        <v>-137239472000</v>
      </c>
      <c r="E140" s="93">
        <v>-125868435000</v>
      </c>
      <c r="F140" s="93">
        <v>-149004549000</v>
      </c>
      <c r="G140" s="93">
        <v>-161591752000</v>
      </c>
      <c r="H140" s="93">
        <v>-161366864000</v>
      </c>
      <c r="I140" s="93">
        <v>-149645668000</v>
      </c>
      <c r="J140" s="93"/>
      <c r="K140" s="93"/>
      <c r="L140" s="93"/>
      <c r="M140" s="93"/>
      <c r="N140" s="93"/>
    </row>
    <row r="141" spans="2:14">
      <c r="B141" s="86" t="s">
        <v>372</v>
      </c>
      <c r="C141" s="120">
        <v>-145708313000</v>
      </c>
      <c r="D141" s="120">
        <v>-88877821000</v>
      </c>
      <c r="E141" s="64">
        <v>-78982823000</v>
      </c>
      <c r="F141" s="120">
        <v>-4038882000</v>
      </c>
      <c r="G141" s="120">
        <v>-84945654000</v>
      </c>
      <c r="H141" s="120">
        <v>-61180505000</v>
      </c>
      <c r="I141" s="120">
        <v>-149575627000</v>
      </c>
      <c r="J141" s="120"/>
      <c r="K141" s="120"/>
      <c r="L141" s="120"/>
      <c r="M141" s="120"/>
      <c r="N141" s="120"/>
    </row>
    <row r="142" spans="2:14">
      <c r="B142" s="85" t="s">
        <v>373</v>
      </c>
      <c r="C142" s="93">
        <v>-141462187000</v>
      </c>
      <c r="D142" s="93">
        <v>-143316076000</v>
      </c>
      <c r="E142" s="66">
        <v>-127075487000</v>
      </c>
      <c r="F142" s="93">
        <v>-106199425000</v>
      </c>
      <c r="G142" s="93">
        <v>-108147153000</v>
      </c>
      <c r="H142" s="93">
        <v>-76170116000</v>
      </c>
      <c r="I142" s="93">
        <v>-90611501000</v>
      </c>
      <c r="J142" s="93"/>
      <c r="K142" s="93"/>
      <c r="L142" s="93"/>
      <c r="M142" s="93"/>
      <c r="N142" s="93"/>
    </row>
    <row r="143" spans="2:14">
      <c r="B143" s="85" t="s">
        <v>437</v>
      </c>
      <c r="C143" s="93"/>
      <c r="D143" s="93"/>
      <c r="E143" s="66"/>
      <c r="F143" s="93"/>
      <c r="G143" s="93"/>
      <c r="H143" s="93"/>
      <c r="I143" s="93"/>
      <c r="J143" s="93"/>
      <c r="K143" s="93"/>
      <c r="L143" s="93"/>
      <c r="M143" s="93"/>
      <c r="N143" s="93"/>
    </row>
    <row r="144" spans="2:14">
      <c r="B144" s="86" t="s">
        <v>375</v>
      </c>
      <c r="C144" s="64">
        <v>18808340000</v>
      </c>
      <c r="D144" s="64">
        <v>39980474000</v>
      </c>
      <c r="E144" s="64">
        <v>72062758000</v>
      </c>
      <c r="F144" s="64">
        <v>174945586000</v>
      </c>
      <c r="G144" s="64">
        <v>163513314000</v>
      </c>
      <c r="H144" s="64">
        <v>179335341000</v>
      </c>
      <c r="I144" s="64">
        <v>109156681000</v>
      </c>
      <c r="J144" s="64"/>
      <c r="K144" s="64"/>
      <c r="L144" s="64"/>
      <c r="M144" s="64"/>
      <c r="N144" s="64"/>
    </row>
    <row r="145" spans="2:14">
      <c r="B145" s="85"/>
      <c r="C145" s="66"/>
      <c r="D145" s="66"/>
      <c r="E145" s="66"/>
      <c r="F145" s="66"/>
      <c r="G145" s="66"/>
      <c r="H145" s="66"/>
      <c r="I145" s="66"/>
      <c r="J145" s="66"/>
      <c r="K145" s="66"/>
      <c r="L145" s="66"/>
      <c r="M145" s="66"/>
      <c r="N145" s="66"/>
    </row>
    <row r="146" spans="2:14">
      <c r="B146" s="84" t="s">
        <v>376</v>
      </c>
      <c r="C146" s="131">
        <f t="shared" ref="C146:G146" si="92">+C138+C140+C143</f>
        <v>101170091000</v>
      </c>
      <c r="D146" s="131">
        <f t="shared" si="92"/>
        <v>108261532000</v>
      </c>
      <c r="E146" s="131">
        <f t="shared" si="92"/>
        <v>94891034000</v>
      </c>
      <c r="F146" s="131">
        <f t="shared" si="92"/>
        <v>36288731000</v>
      </c>
      <c r="G146" s="131">
        <f t="shared" si="92"/>
        <v>69607469000</v>
      </c>
      <c r="H146" s="131">
        <f>+H138+H140+H143</f>
        <v>81536376000</v>
      </c>
      <c r="I146" s="131">
        <f>+I138+I140+I143</f>
        <v>79751783000</v>
      </c>
      <c r="J146" s="131"/>
      <c r="K146" s="131"/>
      <c r="L146" s="131"/>
      <c r="M146" s="131"/>
      <c r="N146" s="131"/>
    </row>
  </sheetData>
  <conditionalFormatting sqref="C60:H66 D67:H67 C68:H100">
    <cfRule type="cellIs" dxfId="291" priority="18" operator="lessThan">
      <formula>0</formula>
    </cfRule>
  </conditionalFormatting>
  <conditionalFormatting sqref="C114:N134">
    <cfRule type="cellIs" dxfId="290" priority="2" operator="lessThan">
      <formula>0</formula>
    </cfRule>
  </conditionalFormatting>
  <conditionalFormatting sqref="C138:N146">
    <cfRule type="cellIs" dxfId="289" priority="1" operator="lessThan">
      <formula>0</formula>
    </cfRule>
  </conditionalFormatting>
  <conditionalFormatting sqref="I60:N100 C102:N110">
    <cfRule type="cellIs" dxfId="288" priority="3" operator="lessThan">
      <formula>0</formula>
    </cfRule>
  </conditionalFormatting>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0D6C9-E281-4FE6-88D3-A2BFA860CB3E}">
  <dimension ref="B2:P146"/>
  <sheetViews>
    <sheetView zoomScale="80" zoomScaleNormal="80" workbookViewId="0">
      <pane xSplit="2" ySplit="6" topLeftCell="C147" activePane="bottomRight" state="frozen"/>
      <selection pane="bottomRight" activeCell="C147" sqref="C147"/>
      <selection pane="bottomLeft" activeCell="B1" sqref="B1"/>
      <selection pane="topRight"/>
    </sheetView>
  </sheetViews>
  <sheetFormatPr defaultColWidth="10.7109375" defaultRowHeight="14.25"/>
  <cols>
    <col min="1" max="1" width="4.42578125" customWidth="1"/>
    <col min="2" max="2" width="42.28515625" bestFit="1" customWidth="1"/>
    <col min="3" max="3" width="35.7109375" bestFit="1" customWidth="1"/>
    <col min="4" max="4" width="37" bestFit="1" customWidth="1"/>
    <col min="5" max="6" width="35.7109375" bestFit="1" customWidth="1"/>
    <col min="7" max="7" width="36.28515625" customWidth="1"/>
    <col min="8" max="8" width="35.7109375" customWidth="1"/>
    <col min="9" max="9" width="35.28515625" customWidth="1"/>
    <col min="10" max="14" width="27.28515625" customWidth="1"/>
  </cols>
  <sheetData>
    <row r="2" spans="2:14" ht="21">
      <c r="B2" s="313">
        <f ca="1">TODAY()-1</f>
        <v>46105</v>
      </c>
      <c r="C2" s="314"/>
      <c r="D2" s="344" t="s">
        <v>265</v>
      </c>
      <c r="E2" s="345" t="s">
        <v>266</v>
      </c>
    </row>
    <row r="3" spans="2:14" ht="25.5">
      <c r="B3" s="315" t="e" cm="1" vm="4">
        <f t="array" ref="B3">_FV(B6,"Precio")</f>
        <v>#VALUE!</v>
      </c>
      <c r="C3" s="316"/>
      <c r="D3" s="346">
        <f>AVERAGE(G45:I45)</f>
        <v>9.0020133333333323</v>
      </c>
      <c r="E3" s="346">
        <f>AVERAGE(G44:I44)</f>
        <v>14.895126666666664</v>
      </c>
    </row>
    <row r="4" spans="2:14" ht="28.5">
      <c r="B4" s="319"/>
      <c r="C4" s="320"/>
      <c r="D4" s="328"/>
      <c r="E4" s="328"/>
    </row>
    <row r="6" spans="2:14" ht="33.4">
      <c r="B6" s="3" t="e" vm="5">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150618761000</v>
      </c>
      <c r="D7" s="5">
        <f t="shared" ref="D7:I7" si="0">+D61</f>
        <v>168513972000</v>
      </c>
      <c r="E7" s="5">
        <f t="shared" si="0"/>
        <v>197676646000</v>
      </c>
      <c r="F7" s="5">
        <f t="shared" si="0"/>
        <v>302254499000</v>
      </c>
      <c r="G7" s="5">
        <f t="shared" si="0"/>
        <v>283854689000</v>
      </c>
      <c r="H7" s="5">
        <f t="shared" si="0"/>
        <v>324838124000</v>
      </c>
      <c r="I7" s="5">
        <f t="shared" si="0"/>
        <v>275000996000</v>
      </c>
      <c r="J7" s="5">
        <f t="shared" ref="J7:N7" si="1">+J61</f>
        <v>0</v>
      </c>
      <c r="K7" s="5">
        <f t="shared" si="1"/>
        <v>0</v>
      </c>
      <c r="L7" s="5">
        <f t="shared" si="1"/>
        <v>0</v>
      </c>
      <c r="M7" s="5">
        <f t="shared" si="1"/>
        <v>0</v>
      </c>
      <c r="N7" s="5">
        <f t="shared" si="1"/>
        <v>0</v>
      </c>
    </row>
    <row r="8" spans="2:14" ht="25.5">
      <c r="B8" s="146" t="s">
        <v>377</v>
      </c>
      <c r="C8" s="147">
        <f>+C65</f>
        <v>113515790000</v>
      </c>
      <c r="D8" s="147">
        <f t="shared" ref="D8:I8" si="2">+D65</f>
        <v>116821062000</v>
      </c>
      <c r="E8" s="147">
        <f t="shared" si="2"/>
        <v>115937498000</v>
      </c>
      <c r="F8" s="147">
        <f t="shared" si="2"/>
        <v>87482681000</v>
      </c>
      <c r="G8" s="147">
        <f t="shared" si="2"/>
        <v>101105786000</v>
      </c>
      <c r="H8" s="147">
        <f t="shared" si="2"/>
        <v>122777327000</v>
      </c>
      <c r="I8" s="147">
        <f t="shared" si="2"/>
        <v>132007468000</v>
      </c>
      <c r="J8" s="147">
        <f t="shared" ref="J8:N8" si="3">+J65</f>
        <v>0</v>
      </c>
      <c r="K8" s="147">
        <f t="shared" si="3"/>
        <v>0</v>
      </c>
      <c r="L8" s="147">
        <f t="shared" si="3"/>
        <v>0</v>
      </c>
      <c r="M8" s="147">
        <f t="shared" si="3"/>
        <v>0</v>
      </c>
      <c r="N8" s="147">
        <f t="shared" si="3"/>
        <v>0</v>
      </c>
    </row>
    <row r="9" spans="2:14" ht="25.5">
      <c r="B9" s="146" t="s">
        <v>378</v>
      </c>
      <c r="C9" s="147">
        <f>+C67</f>
        <v>3925378000</v>
      </c>
      <c r="D9" s="147">
        <f t="shared" ref="D9:I9" si="4">+D67</f>
        <v>3636388000</v>
      </c>
      <c r="E9" s="147">
        <f t="shared" si="4"/>
        <v>3810599000</v>
      </c>
      <c r="F9" s="147">
        <f t="shared" si="4"/>
        <v>3954953000</v>
      </c>
      <c r="G9" s="147">
        <f t="shared" si="4"/>
        <v>5185858000</v>
      </c>
      <c r="H9" s="147">
        <f t="shared" si="4"/>
        <v>12790532000</v>
      </c>
      <c r="I9" s="147">
        <f t="shared" si="4"/>
        <v>12812483000</v>
      </c>
      <c r="J9" s="147">
        <f t="shared" ref="J9:N9" si="5">+J67</f>
        <v>0</v>
      </c>
      <c r="K9" s="147">
        <f t="shared" si="5"/>
        <v>0</v>
      </c>
      <c r="L9" s="147">
        <f t="shared" si="5"/>
        <v>0</v>
      </c>
      <c r="M9" s="147">
        <f t="shared" si="5"/>
        <v>0</v>
      </c>
      <c r="N9" s="147">
        <f t="shared" si="5"/>
        <v>0</v>
      </c>
    </row>
    <row r="10" spans="2:14" ht="25.5">
      <c r="B10" s="4" t="s">
        <v>379</v>
      </c>
      <c r="C10" s="5">
        <f>+C70</f>
        <v>1646261375000</v>
      </c>
      <c r="D10" s="5">
        <f t="shared" ref="D10:I10" si="6">+D70</f>
        <v>1737538127000</v>
      </c>
      <c r="E10" s="5">
        <f t="shared" si="6"/>
        <v>1803767656000</v>
      </c>
      <c r="F10" s="5">
        <f t="shared" si="6"/>
        <v>1842181989000</v>
      </c>
      <c r="G10" s="5">
        <f t="shared" si="6"/>
        <v>1945366921000</v>
      </c>
      <c r="H10" s="5">
        <f t="shared" si="6"/>
        <v>2054511436000</v>
      </c>
      <c r="I10" s="5">
        <f t="shared" si="6"/>
        <v>2148343319000</v>
      </c>
      <c r="J10" s="5">
        <f t="shared" ref="J10:N10" si="7">+J70</f>
        <v>0</v>
      </c>
      <c r="K10" s="5">
        <f t="shared" si="7"/>
        <v>0</v>
      </c>
      <c r="L10" s="5">
        <f t="shared" si="7"/>
        <v>0</v>
      </c>
      <c r="M10" s="5">
        <f t="shared" si="7"/>
        <v>0</v>
      </c>
      <c r="N10" s="5">
        <f t="shared" si="7"/>
        <v>0</v>
      </c>
    </row>
    <row r="11" spans="2:14" ht="25.5">
      <c r="B11" s="8" t="s">
        <v>272</v>
      </c>
      <c r="C11" s="9">
        <f>+C10+C7</f>
        <v>1796880136000</v>
      </c>
      <c r="D11" s="9">
        <f t="shared" ref="D11:I11" si="8">+D10+D7</f>
        <v>1906052099000</v>
      </c>
      <c r="E11" s="9">
        <f t="shared" si="8"/>
        <v>2001444302000</v>
      </c>
      <c r="F11" s="9">
        <f t="shared" si="8"/>
        <v>2144436488000</v>
      </c>
      <c r="G11" s="9">
        <f t="shared" si="8"/>
        <v>2229221610000</v>
      </c>
      <c r="H11" s="9">
        <f t="shared" si="8"/>
        <v>2379349560000</v>
      </c>
      <c r="I11" s="9">
        <f t="shared" si="8"/>
        <v>2423344315000</v>
      </c>
      <c r="J11" s="9">
        <f t="shared" ref="J11:N11" si="9">+J10+J7</f>
        <v>0</v>
      </c>
      <c r="K11" s="9">
        <f t="shared" si="9"/>
        <v>0</v>
      </c>
      <c r="L11" s="9">
        <f t="shared" si="9"/>
        <v>0</v>
      </c>
      <c r="M11" s="9">
        <f t="shared" si="9"/>
        <v>0</v>
      </c>
      <c r="N11" s="9">
        <f t="shared" si="9"/>
        <v>0</v>
      </c>
    </row>
    <row r="12" spans="2:14" ht="25.5">
      <c r="B12" s="10" t="s">
        <v>273</v>
      </c>
      <c r="C12" s="11">
        <f>+C84</f>
        <v>237111903000</v>
      </c>
      <c r="D12" s="11">
        <f t="shared" ref="D12:I12" si="10">+D84</f>
        <v>242318524000</v>
      </c>
      <c r="E12" s="11">
        <f t="shared" si="10"/>
        <v>242137717000</v>
      </c>
      <c r="F12" s="11">
        <f t="shared" si="10"/>
        <v>244032589000</v>
      </c>
      <c r="G12" s="11">
        <f t="shared" si="10"/>
        <v>248642211000</v>
      </c>
      <c r="H12" s="11">
        <f t="shared" si="10"/>
        <v>265797147000</v>
      </c>
      <c r="I12" s="11">
        <f t="shared" si="10"/>
        <v>361668126000</v>
      </c>
      <c r="J12" s="11">
        <f t="shared" ref="J12:N12" si="11">+J84</f>
        <v>0</v>
      </c>
      <c r="K12" s="11">
        <f t="shared" si="11"/>
        <v>0</v>
      </c>
      <c r="L12" s="11">
        <f t="shared" si="11"/>
        <v>0</v>
      </c>
      <c r="M12" s="11">
        <f t="shared" si="11"/>
        <v>0</v>
      </c>
      <c r="N12" s="11">
        <f t="shared" si="11"/>
        <v>0</v>
      </c>
    </row>
    <row r="13" spans="2:14" ht="25.5">
      <c r="B13" s="10" t="s">
        <v>274</v>
      </c>
      <c r="C13" s="11">
        <f>+C94</f>
        <v>866468756000</v>
      </c>
      <c r="D13" s="11">
        <f t="shared" ref="D13:I13" si="12">+D94</f>
        <v>976742178000</v>
      </c>
      <c r="E13" s="11">
        <f t="shared" si="12"/>
        <v>1071833122000</v>
      </c>
      <c r="F13" s="11">
        <f t="shared" si="12"/>
        <v>1059655092000</v>
      </c>
      <c r="G13" s="11">
        <f t="shared" si="12"/>
        <v>1138031686000</v>
      </c>
      <c r="H13" s="11">
        <f t="shared" si="12"/>
        <v>1274661314000</v>
      </c>
      <c r="I13" s="11">
        <f t="shared" si="12"/>
        <v>1175540305000</v>
      </c>
      <c r="J13" s="11">
        <f t="shared" ref="J13:N13" si="13">+J94</f>
        <v>0</v>
      </c>
      <c r="K13" s="11">
        <f t="shared" si="13"/>
        <v>0</v>
      </c>
      <c r="L13" s="11">
        <f t="shared" si="13"/>
        <v>0</v>
      </c>
      <c r="M13" s="11">
        <f t="shared" si="13"/>
        <v>0</v>
      </c>
      <c r="N13" s="11">
        <f t="shared" si="13"/>
        <v>0</v>
      </c>
    </row>
    <row r="14" spans="2:14" ht="25.5">
      <c r="B14" s="12" t="s">
        <v>275</v>
      </c>
      <c r="C14" s="13">
        <f>+C12+C13</f>
        <v>1103580659000</v>
      </c>
      <c r="D14" s="13">
        <f t="shared" ref="D14:I14" si="14">+D12+D13</f>
        <v>1219060702000</v>
      </c>
      <c r="E14" s="13">
        <f t="shared" si="14"/>
        <v>1313970839000</v>
      </c>
      <c r="F14" s="13">
        <f t="shared" si="14"/>
        <v>1303687681000</v>
      </c>
      <c r="G14" s="13">
        <f t="shared" si="14"/>
        <v>1386673897000</v>
      </c>
      <c r="H14" s="13">
        <f t="shared" si="14"/>
        <v>1540458461000</v>
      </c>
      <c r="I14" s="13">
        <f t="shared" si="14"/>
        <v>1537208431000</v>
      </c>
      <c r="J14" s="13">
        <f t="shared" ref="J14:N14" si="15">+J12+J13</f>
        <v>0</v>
      </c>
      <c r="K14" s="13">
        <f t="shared" si="15"/>
        <v>0</v>
      </c>
      <c r="L14" s="13">
        <f t="shared" si="15"/>
        <v>0</v>
      </c>
      <c r="M14" s="13">
        <f t="shared" si="15"/>
        <v>0</v>
      </c>
      <c r="N14" s="13">
        <f t="shared" si="15"/>
        <v>0</v>
      </c>
    </row>
    <row r="15" spans="2:14" ht="25.5">
      <c r="B15" s="14" t="s">
        <v>276</v>
      </c>
      <c r="C15" s="15">
        <f>+C109</f>
        <v>642630776000</v>
      </c>
      <c r="D15" s="15">
        <f t="shared" ref="D15:I15" si="16">+D109</f>
        <v>638620196000</v>
      </c>
      <c r="E15" s="15">
        <f t="shared" si="16"/>
        <v>644453334000</v>
      </c>
      <c r="F15" s="15">
        <f t="shared" si="16"/>
        <v>840723242000</v>
      </c>
      <c r="G15" s="15">
        <f t="shared" si="16"/>
        <v>842520215000</v>
      </c>
      <c r="H15" s="15">
        <f t="shared" si="16"/>
        <v>838861526000</v>
      </c>
      <c r="I15" s="15">
        <f t="shared" si="16"/>
        <v>886107830000</v>
      </c>
      <c r="J15" s="15">
        <f t="shared" ref="J15:N15" si="17">+J109</f>
        <v>0</v>
      </c>
      <c r="K15" s="15">
        <f t="shared" si="17"/>
        <v>0</v>
      </c>
      <c r="L15" s="15">
        <f t="shared" si="17"/>
        <v>0</v>
      </c>
      <c r="M15" s="15">
        <f t="shared" si="17"/>
        <v>0</v>
      </c>
      <c r="N15" s="15">
        <f t="shared" si="17"/>
        <v>0</v>
      </c>
    </row>
    <row r="16" spans="2:14" ht="25.5">
      <c r="B16" s="79" t="s">
        <v>278</v>
      </c>
      <c r="C16" s="80">
        <v>6118965160</v>
      </c>
      <c r="D16" s="80">
        <v>6118965160</v>
      </c>
      <c r="E16" s="80">
        <v>6118965160</v>
      </c>
      <c r="F16" s="80">
        <v>6118965160</v>
      </c>
      <c r="G16" s="80">
        <v>6118965160</v>
      </c>
      <c r="H16" s="80">
        <v>6118965160</v>
      </c>
      <c r="I16" s="80">
        <v>6118965160</v>
      </c>
      <c r="J16" s="80"/>
      <c r="K16" s="80"/>
      <c r="L16" s="80"/>
      <c r="M16" s="80"/>
      <c r="N16" s="80"/>
    </row>
    <row r="18" spans="2:14" ht="25.5">
      <c r="B18" s="18" t="s">
        <v>279</v>
      </c>
      <c r="C18" s="19">
        <f t="shared" ref="C18:I18" si="18">(C15/C16)</f>
        <v>105.02278721913821</v>
      </c>
      <c r="D18" s="19">
        <f t="shared" si="18"/>
        <v>104.36735286134559</v>
      </c>
      <c r="E18" s="19">
        <f t="shared" si="18"/>
        <v>105.3206411784832</v>
      </c>
      <c r="F18" s="19">
        <f t="shared" si="18"/>
        <v>137.39631130699232</v>
      </c>
      <c r="G18" s="19">
        <f t="shared" si="18"/>
        <v>137.68998400376577</v>
      </c>
      <c r="H18" s="19">
        <f t="shared" si="18"/>
        <v>137.09205789954194</v>
      </c>
      <c r="I18" s="19">
        <f t="shared" si="18"/>
        <v>144.81334781778688</v>
      </c>
      <c r="J18" s="19" t="e">
        <f t="shared" ref="J18:N18" si="19">(J15/J16)</f>
        <v>#DIV/0!</v>
      </c>
      <c r="K18" s="19" t="e">
        <f t="shared" si="19"/>
        <v>#DIV/0!</v>
      </c>
      <c r="L18" s="19" t="e">
        <f t="shared" si="19"/>
        <v>#DIV/0!</v>
      </c>
      <c r="M18" s="19" t="e">
        <f t="shared" si="19"/>
        <v>#DIV/0!</v>
      </c>
      <c r="N18" s="19" t="e">
        <f t="shared" si="19"/>
        <v>#DIV/0!</v>
      </c>
    </row>
    <row r="19" spans="2:14" ht="25.5">
      <c r="B19" s="76" t="s">
        <v>282</v>
      </c>
      <c r="C19" s="77">
        <v>407</v>
      </c>
      <c r="D19" s="77">
        <v>382</v>
      </c>
      <c r="E19" s="77">
        <v>319</v>
      </c>
      <c r="F19" s="77">
        <v>229</v>
      </c>
      <c r="G19" s="77">
        <v>155</v>
      </c>
      <c r="H19" s="101">
        <v>196</v>
      </c>
      <c r="I19" s="101">
        <v>285</v>
      </c>
      <c r="J19" s="101"/>
      <c r="K19" s="101"/>
      <c r="L19" s="101"/>
      <c r="M19" s="101"/>
      <c r="N19" s="101"/>
    </row>
    <row r="20" spans="2:14" ht="25.5">
      <c r="B20" s="18" t="s">
        <v>283</v>
      </c>
      <c r="C20" s="22">
        <f>+C19/C40</f>
        <v>17.83679551231484</v>
      </c>
      <c r="D20" s="22">
        <f t="shared" ref="D20:I20" si="20">+D19/D40</f>
        <v>17.18012143017765</v>
      </c>
      <c r="E20" s="22">
        <f t="shared" si="20"/>
        <v>13.771369366257986</v>
      </c>
      <c r="F20" s="22">
        <f t="shared" si="20"/>
        <v>14.198028396056792</v>
      </c>
      <c r="G20" s="22">
        <f t="shared" si="20"/>
        <v>9.4236381322957197</v>
      </c>
      <c r="H20" s="22">
        <f t="shared" si="20"/>
        <v>14.068331897789262</v>
      </c>
      <c r="I20" s="22">
        <f t="shared" si="20"/>
        <v>13.073394495412844</v>
      </c>
      <c r="J20" s="22" t="e">
        <f t="shared" ref="J20:N20" si="21">+J19/J40</f>
        <v>#DIV/0!</v>
      </c>
      <c r="K20" s="22" t="e">
        <f t="shared" si="21"/>
        <v>#DIV/0!</v>
      </c>
      <c r="L20" s="22" t="e">
        <f t="shared" si="21"/>
        <v>#DIV/0!</v>
      </c>
      <c r="M20" s="22" t="e">
        <f t="shared" si="21"/>
        <v>#DIV/0!</v>
      </c>
      <c r="N20" s="22" t="e">
        <f t="shared" si="21"/>
        <v>#DIV/0!</v>
      </c>
    </row>
    <row r="21" spans="2:14" ht="25.5">
      <c r="B21" s="18" t="s">
        <v>380</v>
      </c>
      <c r="C21" s="22">
        <f t="shared" ref="C21:I21" si="22">+C19/C18</f>
        <v>3.8753494434570932</v>
      </c>
      <c r="D21" s="22">
        <f t="shared" si="22"/>
        <v>3.6601484039505698</v>
      </c>
      <c r="E21" s="22">
        <f t="shared" si="22"/>
        <v>3.0288459738808644</v>
      </c>
      <c r="F21" s="22">
        <f t="shared" si="22"/>
        <v>1.6667114118393791</v>
      </c>
      <c r="G21" s="22">
        <f t="shared" si="22"/>
        <v>1.1257173215719221</v>
      </c>
      <c r="H21" s="22">
        <f t="shared" si="22"/>
        <v>1.4296962420946697</v>
      </c>
      <c r="I21" s="22">
        <f t="shared" si="22"/>
        <v>1.9680506272018836</v>
      </c>
      <c r="J21" s="22" t="e">
        <f t="shared" ref="J21:N21" si="23">+J19/J18</f>
        <v>#DIV/0!</v>
      </c>
      <c r="K21" s="22" t="e">
        <f t="shared" si="23"/>
        <v>#DIV/0!</v>
      </c>
      <c r="L21" s="22" t="e">
        <f t="shared" si="23"/>
        <v>#DIV/0!</v>
      </c>
      <c r="M21" s="22" t="e">
        <f t="shared" si="23"/>
        <v>#DIV/0!</v>
      </c>
      <c r="N21" s="22" t="e">
        <f t="shared" si="23"/>
        <v>#DIV/0!</v>
      </c>
    </row>
    <row r="22" spans="2:14" ht="25.5">
      <c r="B22" s="18" t="s">
        <v>285</v>
      </c>
      <c r="C22" s="22">
        <f>+C20*C21</f>
        <v>69.123815561707289</v>
      </c>
      <c r="D22" s="22">
        <f t="shared" ref="D22:I22" si="24">+D20*D21</f>
        <v>62.881794032341709</v>
      </c>
      <c r="E22" s="22">
        <f t="shared" si="24"/>
        <v>41.711356659816772</v>
      </c>
      <c r="F22" s="22">
        <f t="shared" si="24"/>
        <v>23.664015953327411</v>
      </c>
      <c r="G22" s="22">
        <f t="shared" si="24"/>
        <v>10.608352677750968</v>
      </c>
      <c r="H22" s="22">
        <f t="shared" si="24"/>
        <v>20.113441246809881</v>
      </c>
      <c r="I22" s="22">
        <f t="shared" si="24"/>
        <v>25.729102236354901</v>
      </c>
      <c r="J22" s="22" t="e">
        <f t="shared" ref="J22:N22" si="25">+J20*J21</f>
        <v>#DIV/0!</v>
      </c>
      <c r="K22" s="22" t="e">
        <f t="shared" si="25"/>
        <v>#DIV/0!</v>
      </c>
      <c r="L22" s="22" t="e">
        <f t="shared" si="25"/>
        <v>#DIV/0!</v>
      </c>
      <c r="M22" s="22" t="e">
        <f t="shared" si="25"/>
        <v>#DIV/0!</v>
      </c>
      <c r="N22" s="22" t="e">
        <f t="shared" si="25"/>
        <v>#DIV/0!</v>
      </c>
    </row>
    <row r="23" spans="2:14" ht="25.5">
      <c r="B23" s="23" t="s">
        <v>286</v>
      </c>
      <c r="C23" s="24">
        <f>IF(C41&lt;10%,0,IF(15%&lt;C41,2,1))</f>
        <v>2</v>
      </c>
      <c r="D23" s="24">
        <f>IF(D41&lt;10%,0,IF(15%&lt;D41,2,1))</f>
        <v>2</v>
      </c>
      <c r="E23" s="24">
        <f t="shared" ref="E23:I23" si="26">IF(E41&lt;10%,0,IF(15%&lt;E41,2,1))</f>
        <v>2</v>
      </c>
      <c r="F23" s="24">
        <f t="shared" si="26"/>
        <v>1</v>
      </c>
      <c r="G23" s="24">
        <f t="shared" si="26"/>
        <v>1</v>
      </c>
      <c r="H23" s="24">
        <f t="shared" si="26"/>
        <v>1</v>
      </c>
      <c r="I23" s="24">
        <f t="shared" si="26"/>
        <v>2</v>
      </c>
      <c r="J23" s="24" t="e">
        <f t="shared" ref="J23:N23" si="27">IF(J41&lt;10%,0,IF(15%&lt;J41,2,1))</f>
        <v>#DIV/0!</v>
      </c>
      <c r="K23" s="24" t="e">
        <f t="shared" si="27"/>
        <v>#DIV/0!</v>
      </c>
      <c r="L23" s="24" t="e">
        <f t="shared" si="27"/>
        <v>#DIV/0!</v>
      </c>
      <c r="M23" s="24" t="e">
        <f t="shared" si="27"/>
        <v>#DIV/0!</v>
      </c>
      <c r="N23" s="24" t="e">
        <f t="shared" si="27"/>
        <v>#DIV/0!</v>
      </c>
    </row>
    <row r="24" spans="2:14" ht="25.5">
      <c r="B24" s="23" t="s">
        <v>287</v>
      </c>
      <c r="C24" s="24">
        <f>IF(C41&lt;10%,1,IF(15%&lt;C41,2.5,2))</f>
        <v>2.5</v>
      </c>
      <c r="D24" s="24">
        <f t="shared" ref="D24:I24" si="28">IF(D41&lt;10%,1,IF(15%&lt;D41,2.5,2))</f>
        <v>2.5</v>
      </c>
      <c r="E24" s="24">
        <f t="shared" si="28"/>
        <v>2.5</v>
      </c>
      <c r="F24" s="24">
        <f t="shared" si="28"/>
        <v>2</v>
      </c>
      <c r="G24" s="24">
        <f t="shared" si="28"/>
        <v>2</v>
      </c>
      <c r="H24" s="24">
        <f t="shared" si="28"/>
        <v>2</v>
      </c>
      <c r="I24" s="24">
        <f t="shared" si="28"/>
        <v>2.5</v>
      </c>
      <c r="J24" s="24" t="e">
        <f t="shared" ref="J24:N24" si="29">IF(J41&lt;10%,1,IF(15%&lt;J41,2.5,2))</f>
        <v>#DIV/0!</v>
      </c>
      <c r="K24" s="24" t="e">
        <f t="shared" si="29"/>
        <v>#DIV/0!</v>
      </c>
      <c r="L24" s="24" t="e">
        <f t="shared" si="29"/>
        <v>#DIV/0!</v>
      </c>
      <c r="M24" s="24" t="e">
        <f t="shared" si="29"/>
        <v>#DIV/0!</v>
      </c>
      <c r="N24" s="24" t="e">
        <f t="shared" si="29"/>
        <v>#DIV/0!</v>
      </c>
    </row>
    <row r="25" spans="2:14" ht="25.5">
      <c r="B25" s="25" t="s">
        <v>288</v>
      </c>
      <c r="C25" s="26">
        <f t="shared" ref="C25:I25" si="30">+C23*C18</f>
        <v>210.04557443827642</v>
      </c>
      <c r="D25" s="26">
        <f t="shared" si="30"/>
        <v>208.73470572269119</v>
      </c>
      <c r="E25" s="26">
        <f t="shared" si="30"/>
        <v>210.6412823569664</v>
      </c>
      <c r="F25" s="26">
        <f t="shared" si="30"/>
        <v>137.39631130699232</v>
      </c>
      <c r="G25" s="26">
        <f t="shared" si="30"/>
        <v>137.68998400376577</v>
      </c>
      <c r="H25" s="26">
        <f t="shared" si="30"/>
        <v>137.09205789954194</v>
      </c>
      <c r="I25" s="26">
        <f t="shared" si="30"/>
        <v>289.62669563557375</v>
      </c>
      <c r="J25" s="26" t="e">
        <f t="shared" ref="J25:N25" si="31">+J23*J18</f>
        <v>#DIV/0!</v>
      </c>
      <c r="K25" s="26" t="e">
        <f t="shared" si="31"/>
        <v>#DIV/0!</v>
      </c>
      <c r="L25" s="26" t="e">
        <f t="shared" si="31"/>
        <v>#DIV/0!</v>
      </c>
      <c r="M25" s="26" t="e">
        <f t="shared" si="31"/>
        <v>#DIV/0!</v>
      </c>
      <c r="N25" s="26" t="e">
        <f t="shared" si="31"/>
        <v>#DIV/0!</v>
      </c>
    </row>
    <row r="26" spans="2:14" ht="25.5">
      <c r="B26" s="25" t="s">
        <v>289</v>
      </c>
      <c r="C26" s="26">
        <f>AVERAGE(C25,C27)</f>
        <v>236.30127124306097</v>
      </c>
      <c r="D26" s="26">
        <f t="shared" ref="D26:I26" si="32">AVERAGE(D25,D27)</f>
        <v>234.82654393802761</v>
      </c>
      <c r="E26" s="26">
        <f t="shared" si="32"/>
        <v>236.97144265158721</v>
      </c>
      <c r="F26" s="26">
        <f t="shared" si="32"/>
        <v>206.09446696048849</v>
      </c>
      <c r="G26" s="26">
        <f t="shared" si="32"/>
        <v>206.53497600564867</v>
      </c>
      <c r="H26" s="26">
        <f t="shared" si="32"/>
        <v>205.63808684931291</v>
      </c>
      <c r="I26" s="26">
        <f t="shared" si="32"/>
        <v>325.83003259002044</v>
      </c>
      <c r="J26" s="26" t="e">
        <f t="shared" ref="J26:N26" si="33">AVERAGE(J25,J27)</f>
        <v>#DIV/0!</v>
      </c>
      <c r="K26" s="26" t="e">
        <f t="shared" si="33"/>
        <v>#DIV/0!</v>
      </c>
      <c r="L26" s="26" t="e">
        <f t="shared" si="33"/>
        <v>#DIV/0!</v>
      </c>
      <c r="M26" s="26" t="e">
        <f t="shared" si="33"/>
        <v>#DIV/0!</v>
      </c>
      <c r="N26" s="26" t="e">
        <f t="shared" si="33"/>
        <v>#DIV/0!</v>
      </c>
    </row>
    <row r="27" spans="2:14" ht="25.5">
      <c r="B27" s="25" t="s">
        <v>290</v>
      </c>
      <c r="C27" s="26">
        <f t="shared" ref="C27:I27" si="34">+C18*C24</f>
        <v>262.55696804784554</v>
      </c>
      <c r="D27" s="26">
        <f t="shared" si="34"/>
        <v>260.91838215336401</v>
      </c>
      <c r="E27" s="26">
        <f t="shared" si="34"/>
        <v>263.30160294620799</v>
      </c>
      <c r="F27" s="26">
        <f t="shared" si="34"/>
        <v>274.79262261398463</v>
      </c>
      <c r="G27" s="26">
        <f t="shared" si="34"/>
        <v>275.37996800753155</v>
      </c>
      <c r="H27" s="26">
        <f t="shared" si="34"/>
        <v>274.18411579908388</v>
      </c>
      <c r="I27" s="26">
        <f t="shared" si="34"/>
        <v>362.03336954446718</v>
      </c>
      <c r="J27" s="26" t="e">
        <f t="shared" ref="J27:N27" si="35">+J18*J24</f>
        <v>#DIV/0!</v>
      </c>
      <c r="K27" s="26" t="e">
        <f t="shared" si="35"/>
        <v>#DIV/0!</v>
      </c>
      <c r="L27" s="26" t="e">
        <f t="shared" si="35"/>
        <v>#DIV/0!</v>
      </c>
      <c r="M27" s="26" t="e">
        <f t="shared" si="35"/>
        <v>#DIV/0!</v>
      </c>
      <c r="N27" s="26" t="e">
        <f t="shared" si="35"/>
        <v>#DIV/0!</v>
      </c>
    </row>
    <row r="29" spans="2:14" ht="25.5">
      <c r="B29" s="243" t="s">
        <v>291</v>
      </c>
      <c r="C29" s="81">
        <f t="shared" ref="C29:I29" si="36">C7-C12</f>
        <v>-86493142000</v>
      </c>
      <c r="D29" s="81">
        <f t="shared" si="36"/>
        <v>-73804552000</v>
      </c>
      <c r="E29" s="81">
        <f t="shared" si="36"/>
        <v>-44461071000</v>
      </c>
      <c r="F29" s="81">
        <f t="shared" si="36"/>
        <v>58221910000</v>
      </c>
      <c r="G29" s="81">
        <f t="shared" si="36"/>
        <v>35212478000</v>
      </c>
      <c r="H29" s="81">
        <f t="shared" si="36"/>
        <v>59040977000</v>
      </c>
      <c r="I29" s="81">
        <f t="shared" si="36"/>
        <v>-86667130000</v>
      </c>
      <c r="J29" s="81">
        <f t="shared" ref="J29:N29" si="37">J7-J12</f>
        <v>0</v>
      </c>
      <c r="K29" s="81">
        <f t="shared" si="37"/>
        <v>0</v>
      </c>
      <c r="L29" s="81">
        <f t="shared" si="37"/>
        <v>0</v>
      </c>
      <c r="M29" s="81">
        <f t="shared" si="37"/>
        <v>0</v>
      </c>
      <c r="N29" s="81">
        <f t="shared" si="37"/>
        <v>0</v>
      </c>
    </row>
    <row r="30" spans="2:14" ht="25.5">
      <c r="B30" s="30" t="s">
        <v>149</v>
      </c>
      <c r="C30" s="241">
        <f t="shared" ref="C30:I30" si="38">C7/C12</f>
        <v>0.63522226887108235</v>
      </c>
      <c r="D30" s="241">
        <f t="shared" si="38"/>
        <v>0.69542340064765329</v>
      </c>
      <c r="E30" s="241">
        <f t="shared" si="38"/>
        <v>0.81638105970909114</v>
      </c>
      <c r="F30" s="241">
        <f t="shared" si="38"/>
        <v>1.2385825198125484</v>
      </c>
      <c r="G30" s="241">
        <f t="shared" si="38"/>
        <v>1.1416190672467919</v>
      </c>
      <c r="H30" s="242">
        <f t="shared" si="38"/>
        <v>1.2221279560987914</v>
      </c>
      <c r="I30" s="242">
        <f t="shared" si="38"/>
        <v>0.76036834940771092</v>
      </c>
      <c r="J30" s="242" t="e">
        <f t="shared" ref="J30:N30" si="39">J7/J12</f>
        <v>#DIV/0!</v>
      </c>
      <c r="K30" s="242" t="e">
        <f t="shared" si="39"/>
        <v>#DIV/0!</v>
      </c>
      <c r="L30" s="242" t="e">
        <f t="shared" si="39"/>
        <v>#DIV/0!</v>
      </c>
      <c r="M30" s="242" t="e">
        <f t="shared" si="39"/>
        <v>#DIV/0!</v>
      </c>
      <c r="N30" s="242" t="e">
        <f t="shared" si="39"/>
        <v>#DIV/0!</v>
      </c>
    </row>
    <row r="31" spans="2:14" ht="25.5">
      <c r="B31" s="30" t="s">
        <v>292</v>
      </c>
      <c r="C31" s="241">
        <f t="shared" ref="C31:I31" si="40">+(C7-C9)/C12</f>
        <v>0.61866730916498947</v>
      </c>
      <c r="D31" s="241">
        <f t="shared" si="40"/>
        <v>0.68041675592246509</v>
      </c>
      <c r="E31" s="241">
        <f t="shared" si="40"/>
        <v>0.80064373862086091</v>
      </c>
      <c r="F31" s="241">
        <f t="shared" si="40"/>
        <v>1.2223758606273689</v>
      </c>
      <c r="G31" s="241">
        <f t="shared" si="40"/>
        <v>1.1207623592118074</v>
      </c>
      <c r="H31" s="241">
        <f t="shared" si="40"/>
        <v>1.1740065516956057</v>
      </c>
      <c r="I31" s="241">
        <f t="shared" si="40"/>
        <v>0.7249422720762515</v>
      </c>
      <c r="J31" s="241" t="e">
        <f t="shared" ref="J31:N31" si="41">+(J7-J9)/J12</f>
        <v>#DIV/0!</v>
      </c>
      <c r="K31" s="241" t="e">
        <f t="shared" si="41"/>
        <v>#DIV/0!</v>
      </c>
      <c r="L31" s="241" t="e">
        <f t="shared" si="41"/>
        <v>#DIV/0!</v>
      </c>
      <c r="M31" s="241" t="e">
        <f t="shared" si="41"/>
        <v>#DIV/0!</v>
      </c>
      <c r="N31" s="241" t="e">
        <f t="shared" si="41"/>
        <v>#DIV/0!</v>
      </c>
    </row>
    <row r="32" spans="2:14" ht="25.5">
      <c r="B32" s="32" t="s">
        <v>153</v>
      </c>
      <c r="C32" s="33">
        <f t="shared" ref="C32:I32" si="42">C14/C11</f>
        <v>0.61416487215260751</v>
      </c>
      <c r="D32" s="33">
        <f t="shared" si="42"/>
        <v>0.63957365207360994</v>
      </c>
      <c r="E32" s="33">
        <f t="shared" si="42"/>
        <v>0.65651131919433248</v>
      </c>
      <c r="F32" s="33">
        <f t="shared" si="42"/>
        <v>0.60793951618305053</v>
      </c>
      <c r="G32" s="33">
        <f t="shared" si="42"/>
        <v>0.62204398646575121</v>
      </c>
      <c r="H32" s="33">
        <f t="shared" si="42"/>
        <v>0.64742839257296858</v>
      </c>
      <c r="I32" s="33">
        <f t="shared" si="42"/>
        <v>0.63433347935124107</v>
      </c>
      <c r="J32" s="33" t="e">
        <f t="shared" ref="J32:N32" si="43">J14/J11</f>
        <v>#DIV/0!</v>
      </c>
      <c r="K32" s="33" t="e">
        <f t="shared" si="43"/>
        <v>#DIV/0!</v>
      </c>
      <c r="L32" s="33" t="e">
        <f t="shared" si="43"/>
        <v>#DIV/0!</v>
      </c>
      <c r="M32" s="33" t="e">
        <f t="shared" si="43"/>
        <v>#DIV/0!</v>
      </c>
      <c r="N32" s="33" t="e">
        <f t="shared" si="43"/>
        <v>#DIV/0!</v>
      </c>
    </row>
    <row r="35" spans="2:14" ht="25.5">
      <c r="B35" s="35" t="s">
        <v>293</v>
      </c>
      <c r="C35" s="36">
        <f>+C114</f>
        <v>509540577000</v>
      </c>
      <c r="D35" s="36">
        <f t="shared" ref="D35:I35" si="44">+D114</f>
        <v>530404680000</v>
      </c>
      <c r="E35" s="36">
        <f t="shared" si="44"/>
        <v>484329084000</v>
      </c>
      <c r="F35" s="36">
        <f t="shared" si="44"/>
        <v>478773563000</v>
      </c>
      <c r="G35" s="36">
        <f t="shared" si="44"/>
        <v>506459633000</v>
      </c>
      <c r="H35" s="36">
        <f t="shared" si="44"/>
        <v>575465445000</v>
      </c>
      <c r="I35" s="36">
        <f t="shared" si="44"/>
        <v>640855854000</v>
      </c>
      <c r="J35" s="36">
        <f t="shared" ref="J35:N35" si="45">+J114</f>
        <v>0</v>
      </c>
      <c r="K35" s="36">
        <f t="shared" si="45"/>
        <v>0</v>
      </c>
      <c r="L35" s="36">
        <f t="shared" si="45"/>
        <v>0</v>
      </c>
      <c r="M35" s="36">
        <f t="shared" si="45"/>
        <v>0</v>
      </c>
      <c r="N35" s="36">
        <f t="shared" si="45"/>
        <v>0</v>
      </c>
    </row>
    <row r="36" spans="2:14" ht="25.5">
      <c r="B36" s="39" t="s">
        <v>156</v>
      </c>
      <c r="C36" s="40">
        <f>+C122</f>
        <v>226819054000</v>
      </c>
      <c r="D36" s="40">
        <f t="shared" ref="D36:H36" si="46">+D122</f>
        <v>233071676000</v>
      </c>
      <c r="E36" s="40">
        <f t="shared" si="46"/>
        <v>235636236000</v>
      </c>
      <c r="F36" s="40">
        <f t="shared" si="46"/>
        <v>162824880000</v>
      </c>
      <c r="G36" s="40">
        <f t="shared" si="46"/>
        <v>212947803000</v>
      </c>
      <c r="H36" s="40">
        <f t="shared" si="46"/>
        <v>228258340000</v>
      </c>
      <c r="I36" s="40">
        <f>+I122</f>
        <v>256251484000</v>
      </c>
      <c r="J36" s="40">
        <f t="shared" ref="J36:N36" si="47">+J122</f>
        <v>0</v>
      </c>
      <c r="K36" s="40">
        <f t="shared" si="47"/>
        <v>0</v>
      </c>
      <c r="L36" s="40">
        <f t="shared" si="47"/>
        <v>0</v>
      </c>
      <c r="M36" s="40">
        <f t="shared" si="47"/>
        <v>0</v>
      </c>
      <c r="N36" s="40">
        <f t="shared" si="47"/>
        <v>0</v>
      </c>
    </row>
    <row r="37" spans="2:14" ht="25.5">
      <c r="B37" s="35" t="s">
        <v>381</v>
      </c>
      <c r="C37" s="41">
        <f>C36/C35</f>
        <v>0.44514424216307313</v>
      </c>
      <c r="D37" s="41">
        <f t="shared" ref="D37:I37" si="48">D36/D35</f>
        <v>0.43942235954629966</v>
      </c>
      <c r="E37" s="41">
        <f t="shared" si="48"/>
        <v>0.4865209292283591</v>
      </c>
      <c r="F37" s="41">
        <f t="shared" si="48"/>
        <v>0.34008744964892723</v>
      </c>
      <c r="G37" s="41">
        <f t="shared" si="48"/>
        <v>0.42046352586603875</v>
      </c>
      <c r="H37" s="41">
        <f t="shared" si="48"/>
        <v>0.39664995002436682</v>
      </c>
      <c r="I37" s="41">
        <f t="shared" si="48"/>
        <v>0.39985822459226533</v>
      </c>
      <c r="J37" s="41" t="e">
        <f t="shared" ref="J37:N37" si="49">J36/J35</f>
        <v>#DIV/0!</v>
      </c>
      <c r="K37" s="41" t="e">
        <f t="shared" si="49"/>
        <v>#DIV/0!</v>
      </c>
      <c r="L37" s="41" t="e">
        <f t="shared" si="49"/>
        <v>#DIV/0!</v>
      </c>
      <c r="M37" s="41" t="e">
        <f t="shared" si="49"/>
        <v>#DIV/0!</v>
      </c>
      <c r="N37" s="41" t="e">
        <f t="shared" si="49"/>
        <v>#DIV/0!</v>
      </c>
    </row>
    <row r="38" spans="2:14" ht="25.5">
      <c r="B38" s="43" t="s">
        <v>295</v>
      </c>
      <c r="C38" s="44">
        <f>+C133</f>
        <v>139620280000</v>
      </c>
      <c r="D38" s="44">
        <f t="shared" ref="D38:I38" si="50">+D133</f>
        <v>136056517000</v>
      </c>
      <c r="E38" s="44">
        <f t="shared" si="50"/>
        <v>141737188000</v>
      </c>
      <c r="F38" s="44">
        <f t="shared" si="50"/>
        <v>98691668000</v>
      </c>
      <c r="G38" s="44">
        <f t="shared" si="50"/>
        <v>100644529000</v>
      </c>
      <c r="H38" s="44">
        <f t="shared" si="50"/>
        <v>85248734000</v>
      </c>
      <c r="I38" s="44">
        <f t="shared" si="50"/>
        <v>133390421000</v>
      </c>
      <c r="J38" s="44">
        <f t="shared" ref="J38:N38" si="51">+J133</f>
        <v>0</v>
      </c>
      <c r="K38" s="44">
        <f t="shared" si="51"/>
        <v>0</v>
      </c>
      <c r="L38" s="44">
        <f t="shared" si="51"/>
        <v>0</v>
      </c>
      <c r="M38" s="44">
        <f t="shared" si="51"/>
        <v>0</v>
      </c>
      <c r="N38" s="44">
        <f t="shared" si="51"/>
        <v>0</v>
      </c>
    </row>
    <row r="39" spans="2:14" ht="25.5">
      <c r="B39" s="30" t="s">
        <v>296</v>
      </c>
      <c r="C39" s="45">
        <f>C38/C35</f>
        <v>0.27401209305456353</v>
      </c>
      <c r="D39" s="45">
        <f t="shared" ref="D39:I39" si="52">D38/D35</f>
        <v>0.25651454847645766</v>
      </c>
      <c r="E39" s="45">
        <f t="shared" si="52"/>
        <v>0.29264645193184391</v>
      </c>
      <c r="F39" s="45">
        <f t="shared" si="52"/>
        <v>0.20613433077130869</v>
      </c>
      <c r="G39" s="45">
        <f t="shared" si="52"/>
        <v>0.19872171924904428</v>
      </c>
      <c r="H39" s="45">
        <f t="shared" si="52"/>
        <v>0.14813875401328397</v>
      </c>
      <c r="I39" s="45">
        <f t="shared" si="52"/>
        <v>0.20814418744468549</v>
      </c>
      <c r="J39" s="45" t="e">
        <f t="shared" ref="J39:N39" si="53">J38/J35</f>
        <v>#DIV/0!</v>
      </c>
      <c r="K39" s="45" t="e">
        <f t="shared" si="53"/>
        <v>#DIV/0!</v>
      </c>
      <c r="L39" s="45" t="e">
        <f t="shared" si="53"/>
        <v>#DIV/0!</v>
      </c>
      <c r="M39" s="45" t="e">
        <f t="shared" si="53"/>
        <v>#DIV/0!</v>
      </c>
      <c r="N39" s="45" t="e">
        <f t="shared" si="53"/>
        <v>#DIV/0!</v>
      </c>
    </row>
    <row r="40" spans="2:14" ht="25.5">
      <c r="B40" s="46" t="s">
        <v>159</v>
      </c>
      <c r="C40" s="121">
        <f>+C134</f>
        <v>22.818000000000001</v>
      </c>
      <c r="D40" s="121">
        <f t="shared" ref="D40:I40" si="54">+D134</f>
        <v>22.234999999999999</v>
      </c>
      <c r="E40" s="121">
        <f t="shared" si="54"/>
        <v>23.164000000000001</v>
      </c>
      <c r="F40" s="121">
        <f t="shared" si="54"/>
        <v>16.129000000000001</v>
      </c>
      <c r="G40" s="121">
        <f t="shared" si="54"/>
        <v>16.448</v>
      </c>
      <c r="H40" s="121">
        <f t="shared" si="54"/>
        <v>13.932</v>
      </c>
      <c r="I40" s="121">
        <f t="shared" si="54"/>
        <v>21.8</v>
      </c>
      <c r="J40" s="121">
        <f t="shared" ref="J40:N40" si="55">+J134</f>
        <v>0</v>
      </c>
      <c r="K40" s="121">
        <f t="shared" si="55"/>
        <v>0</v>
      </c>
      <c r="L40" s="121">
        <f t="shared" si="55"/>
        <v>0</v>
      </c>
      <c r="M40" s="121">
        <f t="shared" si="55"/>
        <v>0</v>
      </c>
      <c r="N40" s="121">
        <f t="shared" si="55"/>
        <v>0</v>
      </c>
    </row>
    <row r="41" spans="2:14" ht="25.5">
      <c r="B41" s="48" t="s">
        <v>160</v>
      </c>
      <c r="C41" s="49">
        <f t="shared" ref="C41:I41" si="56">C38/C15</f>
        <v>0.21726360643518261</v>
      </c>
      <c r="D41" s="49">
        <f t="shared" si="56"/>
        <v>0.21304762651132944</v>
      </c>
      <c r="E41" s="49">
        <f t="shared" si="56"/>
        <v>0.21993398206238468</v>
      </c>
      <c r="F41" s="49">
        <f t="shared" si="56"/>
        <v>0.11738900873636131</v>
      </c>
      <c r="G41" s="49">
        <f t="shared" si="56"/>
        <v>0.11945651535494611</v>
      </c>
      <c r="H41" s="49">
        <f t="shared" si="56"/>
        <v>0.10162432220070611</v>
      </c>
      <c r="I41" s="49">
        <f t="shared" si="56"/>
        <v>0.15053520179366883</v>
      </c>
      <c r="J41" s="49" t="e">
        <f t="shared" ref="J41:N41" si="57">J38/J15</f>
        <v>#DIV/0!</v>
      </c>
      <c r="K41" s="49" t="e">
        <f t="shared" si="57"/>
        <v>#DIV/0!</v>
      </c>
      <c r="L41" s="49" t="e">
        <f t="shared" si="57"/>
        <v>#DIV/0!</v>
      </c>
      <c r="M41" s="49" t="e">
        <f t="shared" si="57"/>
        <v>#DIV/0!</v>
      </c>
      <c r="N41" s="49" t="e">
        <f t="shared" si="57"/>
        <v>#DIV/0!</v>
      </c>
    </row>
    <row r="42" spans="2:14" ht="25.5">
      <c r="B42" s="48" t="s">
        <v>382</v>
      </c>
      <c r="C42" s="49">
        <f>AVERAGE(G41:I41)</f>
        <v>0.12387201311644036</v>
      </c>
      <c r="D42" s="49"/>
      <c r="E42" s="49"/>
      <c r="F42" s="49"/>
      <c r="G42" s="49"/>
      <c r="H42" s="49"/>
      <c r="I42" s="49"/>
      <c r="J42" s="49"/>
      <c r="K42" s="49"/>
      <c r="L42" s="49"/>
      <c r="M42" s="49"/>
      <c r="N42" s="49"/>
    </row>
    <row r="43" spans="2:14" ht="25.5">
      <c r="B43" s="48" t="s">
        <v>298</v>
      </c>
      <c r="C43" s="50">
        <f>+C146</f>
        <v>101170091000</v>
      </c>
      <c r="D43" s="50">
        <f t="shared" ref="D43:I43" si="58">+D146</f>
        <v>108261532000</v>
      </c>
      <c r="E43" s="50">
        <f t="shared" si="58"/>
        <v>94891034000</v>
      </c>
      <c r="F43" s="50">
        <f t="shared" si="58"/>
        <v>36288731000</v>
      </c>
      <c r="G43" s="50">
        <f t="shared" si="58"/>
        <v>69607469000</v>
      </c>
      <c r="H43" s="50">
        <f t="shared" si="58"/>
        <v>81536376000</v>
      </c>
      <c r="I43" s="50">
        <f t="shared" si="58"/>
        <v>79751783000</v>
      </c>
      <c r="J43" s="50">
        <f t="shared" ref="J43:N43" si="59">+J146</f>
        <v>0</v>
      </c>
      <c r="K43" s="50">
        <f t="shared" si="59"/>
        <v>0</v>
      </c>
      <c r="L43" s="50">
        <f t="shared" si="59"/>
        <v>0</v>
      </c>
      <c r="M43" s="50">
        <f t="shared" si="59"/>
        <v>0</v>
      </c>
      <c r="N43" s="50">
        <f t="shared" si="59"/>
        <v>0</v>
      </c>
    </row>
    <row r="44" spans="2:14" ht="25.5">
      <c r="B44" s="51" t="s">
        <v>119</v>
      </c>
      <c r="C44" s="51">
        <f>SUM(C46:C49)</f>
        <v>22.117999999999999</v>
      </c>
      <c r="D44" s="51">
        <f t="shared" ref="D44:F44" si="60">SUM(D46:D49)</f>
        <v>22.224865999999999</v>
      </c>
      <c r="E44" s="51">
        <f t="shared" si="60"/>
        <v>21.711300000000001</v>
      </c>
      <c r="F44" s="51">
        <f t="shared" si="60"/>
        <v>17.852</v>
      </c>
      <c r="G44" s="51">
        <f>SUM(G46:G49)</f>
        <v>17.1891</v>
      </c>
      <c r="H44" s="51">
        <f t="shared" ref="H44:N44" si="61">SUM(H46:H49)</f>
        <v>12.74727</v>
      </c>
      <c r="I44" s="51">
        <f t="shared" si="61"/>
        <v>14.749009999999998</v>
      </c>
      <c r="J44" s="51">
        <f t="shared" si="61"/>
        <v>0</v>
      </c>
      <c r="K44" s="51">
        <f t="shared" si="61"/>
        <v>0</v>
      </c>
      <c r="L44" s="51">
        <f t="shared" si="61"/>
        <v>0</v>
      </c>
      <c r="M44" s="51">
        <f t="shared" si="61"/>
        <v>0</v>
      </c>
      <c r="N44" s="51">
        <f t="shared" si="61"/>
        <v>0</v>
      </c>
    </row>
    <row r="45" spans="2:14" ht="25.5">
      <c r="B45" s="51" t="s">
        <v>383</v>
      </c>
      <c r="C45" s="51">
        <f>+C46+C47</f>
        <v>6.8609999999999998</v>
      </c>
      <c r="D45" s="51">
        <f t="shared" ref="D45:I45" si="62">+D46+D47</f>
        <v>22.224865999999999</v>
      </c>
      <c r="E45" s="51">
        <f t="shared" si="62"/>
        <v>21.711300000000001</v>
      </c>
      <c r="F45" s="51">
        <f t="shared" si="62"/>
        <v>17.852</v>
      </c>
      <c r="G45" s="51">
        <f t="shared" si="62"/>
        <v>6.5370999999999997</v>
      </c>
      <c r="H45" s="51">
        <f t="shared" si="62"/>
        <v>5.7199299999999997</v>
      </c>
      <c r="I45" s="51">
        <f t="shared" si="62"/>
        <v>14.749009999999998</v>
      </c>
      <c r="J45" s="51">
        <f t="shared" ref="J45:N45" si="63">+J46+J47</f>
        <v>0</v>
      </c>
      <c r="K45" s="51">
        <f t="shared" si="63"/>
        <v>0</v>
      </c>
      <c r="L45" s="51">
        <f t="shared" si="63"/>
        <v>0</v>
      </c>
      <c r="M45" s="51">
        <f t="shared" si="63"/>
        <v>0</v>
      </c>
      <c r="N45" s="51">
        <f t="shared" si="63"/>
        <v>0</v>
      </c>
    </row>
    <row r="46" spans="2:14" ht="18">
      <c r="B46" s="135" t="s">
        <v>121</v>
      </c>
      <c r="C46" s="94"/>
      <c r="D46" s="94">
        <v>15.363866</v>
      </c>
      <c r="E46" s="94">
        <v>14.647399999999999</v>
      </c>
      <c r="F46" s="94"/>
      <c r="G46" s="94"/>
      <c r="H46" s="94"/>
      <c r="I46" s="155">
        <v>8.2119599999999995</v>
      </c>
      <c r="J46" s="155"/>
      <c r="K46" s="155"/>
      <c r="L46" s="155"/>
      <c r="M46" s="155"/>
      <c r="N46" s="155"/>
    </row>
    <row r="47" spans="2:14" ht="18">
      <c r="B47" s="135" t="s">
        <v>122</v>
      </c>
      <c r="C47" s="94">
        <v>6.8609999999999998</v>
      </c>
      <c r="D47" s="94">
        <v>6.8609999999999998</v>
      </c>
      <c r="E47" s="94">
        <v>7.0639000000000003</v>
      </c>
      <c r="F47" s="94">
        <f>10.59+7.262</f>
        <v>17.852</v>
      </c>
      <c r="G47" s="94">
        <v>6.5370999999999997</v>
      </c>
      <c r="H47" s="94">
        <v>5.7199299999999997</v>
      </c>
      <c r="I47" s="155">
        <v>6.5370499999999998</v>
      </c>
      <c r="J47" s="155"/>
      <c r="K47" s="155"/>
      <c r="L47" s="155"/>
      <c r="M47" s="155"/>
      <c r="N47" s="155"/>
    </row>
    <row r="48" spans="2:14" ht="18">
      <c r="B48" s="135" t="s">
        <v>123</v>
      </c>
      <c r="C48" s="94">
        <v>15.257</v>
      </c>
      <c r="D48" s="94"/>
      <c r="E48" s="94"/>
      <c r="F48" s="94"/>
      <c r="G48" s="94">
        <v>4.3710000000000004</v>
      </c>
      <c r="H48" s="94">
        <v>7.0273399999999997</v>
      </c>
      <c r="I48" s="155"/>
      <c r="J48" s="155"/>
      <c r="K48" s="155"/>
      <c r="L48" s="155"/>
      <c r="M48" s="155"/>
      <c r="N48" s="155"/>
    </row>
    <row r="49" spans="2:16" ht="18">
      <c r="B49" s="135" t="s">
        <v>124</v>
      </c>
      <c r="C49" s="94"/>
      <c r="D49" s="94"/>
      <c r="E49" s="94"/>
      <c r="F49" s="94"/>
      <c r="G49" s="94">
        <v>6.2809999999999997</v>
      </c>
      <c r="H49" s="94"/>
      <c r="I49" s="94"/>
      <c r="J49" s="94"/>
      <c r="K49" s="94"/>
      <c r="L49" s="94"/>
      <c r="M49" s="94"/>
      <c r="N49" s="94"/>
    </row>
    <row r="50" spans="2:16" ht="25.5">
      <c r="B50" s="541" t="s">
        <v>167</v>
      </c>
      <c r="C50" s="99">
        <f>(C47+C48+D46)/C40</f>
        <v>1.6426446664913663</v>
      </c>
      <c r="D50" s="99">
        <f t="shared" ref="D50:N50" si="64">(D47+D48+E46)/D40</f>
        <v>0.96732178997076679</v>
      </c>
      <c r="E50" s="99">
        <f t="shared" si="64"/>
        <v>0.304951649110689</v>
      </c>
      <c r="F50" s="548">
        <f t="shared" si="64"/>
        <v>1.1068262136524272</v>
      </c>
      <c r="G50" s="99">
        <f t="shared" si="64"/>
        <v>0.66318701361867705</v>
      </c>
      <c r="H50" s="99">
        <f t="shared" si="64"/>
        <v>1.5043949181739877</v>
      </c>
      <c r="I50" s="99">
        <f t="shared" si="64"/>
        <v>0.29986467889908253</v>
      </c>
      <c r="J50" s="99" t="e">
        <f t="shared" si="64"/>
        <v>#DIV/0!</v>
      </c>
      <c r="K50" s="99" t="e">
        <f t="shared" si="64"/>
        <v>#DIV/0!</v>
      </c>
      <c r="L50" s="99" t="e">
        <f t="shared" si="64"/>
        <v>#DIV/0!</v>
      </c>
      <c r="M50" s="99" t="e">
        <f t="shared" si="64"/>
        <v>#DIV/0!</v>
      </c>
      <c r="N50" s="99" t="e">
        <f t="shared" si="64"/>
        <v>#DIV/0!</v>
      </c>
    </row>
    <row r="51" spans="2:16" ht="28.5">
      <c r="B51" s="540" t="s">
        <v>303</v>
      </c>
      <c r="C51" s="54">
        <f>AVERAGE(G50:I50)</f>
        <v>0.82248220356391577</v>
      </c>
      <c r="D51" s="54"/>
      <c r="E51" s="54"/>
      <c r="F51" s="54"/>
      <c r="G51" s="54"/>
      <c r="H51" s="54"/>
      <c r="I51" s="54"/>
      <c r="J51" s="54"/>
      <c r="K51" s="54"/>
      <c r="L51" s="54"/>
      <c r="M51" s="54"/>
      <c r="N51" s="54"/>
    </row>
    <row r="52" spans="2:16" ht="25.5">
      <c r="B52" s="541" t="s">
        <v>299</v>
      </c>
      <c r="C52" s="99">
        <f t="shared" ref="C52:N52" si="65">+C44/C19</f>
        <v>5.4343980343980337E-2</v>
      </c>
      <c r="D52" s="99">
        <f t="shared" si="65"/>
        <v>5.8180277486910993E-2</v>
      </c>
      <c r="E52" s="99">
        <f t="shared" si="65"/>
        <v>6.8060501567398124E-2</v>
      </c>
      <c r="F52" s="99">
        <f t="shared" si="65"/>
        <v>7.7956331877729254E-2</v>
      </c>
      <c r="G52" s="99">
        <f t="shared" si="65"/>
        <v>0.11089741935483871</v>
      </c>
      <c r="H52" s="99">
        <f t="shared" si="65"/>
        <v>6.5037091836734701E-2</v>
      </c>
      <c r="I52" s="99">
        <f t="shared" si="65"/>
        <v>5.175091228070175E-2</v>
      </c>
      <c r="J52" s="99" t="e">
        <f t="shared" si="65"/>
        <v>#DIV/0!</v>
      </c>
      <c r="K52" s="99" t="e">
        <f t="shared" si="65"/>
        <v>#DIV/0!</v>
      </c>
      <c r="L52" s="99" t="e">
        <f t="shared" si="65"/>
        <v>#DIV/0!</v>
      </c>
      <c r="M52" s="99" t="e">
        <f t="shared" si="65"/>
        <v>#DIV/0!</v>
      </c>
      <c r="N52" s="99" t="e">
        <f t="shared" si="65"/>
        <v>#DIV/0!</v>
      </c>
    </row>
    <row r="53" spans="2:16" ht="25.5">
      <c r="B53" s="542" t="s">
        <v>384</v>
      </c>
      <c r="C53" s="534">
        <f>AVERAGE(G52:I52)</f>
        <v>7.5895141157425058E-2</v>
      </c>
      <c r="D53" s="534"/>
      <c r="E53" s="534"/>
      <c r="F53" s="534"/>
      <c r="G53" s="534"/>
      <c r="H53" s="534"/>
      <c r="I53" s="534"/>
      <c r="J53" s="534"/>
      <c r="K53" s="534"/>
      <c r="L53" s="534"/>
      <c r="M53" s="534"/>
      <c r="N53" s="534"/>
      <c r="O53" s="534"/>
      <c r="P53" s="534"/>
    </row>
    <row r="54" spans="2:16" ht="25.5">
      <c r="B54" s="543" t="s">
        <v>176</v>
      </c>
      <c r="C54" s="355">
        <f>+C41*(100%-C50)</f>
        <v>-0.1396232978982494</v>
      </c>
      <c r="D54" s="355">
        <f t="shared" ref="D54:I54" si="66">+D41*(100%-D50)</f>
        <v>6.962015085366857E-3</v>
      </c>
      <c r="E54" s="355">
        <f t="shared" si="66"/>
        <v>0.15286475153697979</v>
      </c>
      <c r="F54" s="549">
        <f t="shared" si="66"/>
        <v>-1.2540223327717172E-2</v>
      </c>
      <c r="G54" s="355">
        <f t="shared" si="66"/>
        <v>4.0234505679405765E-2</v>
      </c>
      <c r="H54" s="355">
        <f t="shared" si="66"/>
        <v>-5.1258791680912123E-2</v>
      </c>
      <c r="I54" s="355">
        <f>+I41*(100%-I50)</f>
        <v>0.10539501184480174</v>
      </c>
      <c r="J54" s="355" t="e">
        <f t="shared" ref="J54:N54" si="67">+J41*(100%-J50)</f>
        <v>#DIV/0!</v>
      </c>
      <c r="K54" s="355" t="e">
        <f t="shared" si="67"/>
        <v>#DIV/0!</v>
      </c>
      <c r="L54" s="355" t="e">
        <f t="shared" si="67"/>
        <v>#DIV/0!</v>
      </c>
      <c r="M54" s="355" t="e">
        <f t="shared" si="67"/>
        <v>#DIV/0!</v>
      </c>
      <c r="N54" s="355" t="e">
        <f t="shared" si="67"/>
        <v>#DIV/0!</v>
      </c>
    </row>
    <row r="55" spans="2:16" ht="25.5">
      <c r="B55" s="542" t="s">
        <v>306</v>
      </c>
      <c r="C55" s="534">
        <f>AVERAGE(G54:I54)</f>
        <v>3.1456908614431796E-2</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v>150618761000</v>
      </c>
      <c r="D61" s="64">
        <v>168513972000</v>
      </c>
      <c r="E61" s="64">
        <v>197676646000</v>
      </c>
      <c r="F61" s="159">
        <v>302254499000</v>
      </c>
      <c r="G61" s="64">
        <v>283854689000</v>
      </c>
      <c r="H61" s="141">
        <v>324838124000</v>
      </c>
      <c r="I61" s="64">
        <v>275000996000</v>
      </c>
      <c r="J61" s="64"/>
      <c r="K61" s="64"/>
      <c r="L61" s="64"/>
      <c r="M61" s="64"/>
      <c r="N61" s="64"/>
    </row>
    <row r="62" spans="2:16">
      <c r="B62" s="59" t="s">
        <v>386</v>
      </c>
      <c r="C62" s="66"/>
      <c r="D62" s="66"/>
      <c r="E62" s="66"/>
      <c r="F62" s="66"/>
      <c r="G62" s="66"/>
      <c r="H62" s="160"/>
      <c r="I62" s="66"/>
      <c r="J62" s="66"/>
      <c r="K62" s="66"/>
      <c r="L62" s="66"/>
      <c r="M62" s="66"/>
      <c r="N62" s="66"/>
    </row>
    <row r="63" spans="2:16">
      <c r="B63" s="59" t="s">
        <v>387</v>
      </c>
      <c r="C63" s="66"/>
      <c r="D63" s="66"/>
      <c r="E63" s="66"/>
      <c r="F63" s="66"/>
      <c r="G63" s="66"/>
      <c r="H63" s="160"/>
      <c r="I63" s="66"/>
      <c r="J63" s="66"/>
      <c r="K63" s="66"/>
      <c r="L63" s="66"/>
      <c r="M63" s="66"/>
      <c r="N63" s="66"/>
    </row>
    <row r="64" spans="2:16">
      <c r="B64" s="59" t="s">
        <v>388</v>
      </c>
      <c r="C64" s="66"/>
      <c r="D64" s="66"/>
      <c r="E64" s="66"/>
      <c r="F64" s="66"/>
      <c r="G64" s="66"/>
      <c r="H64" s="160"/>
      <c r="I64" s="66"/>
      <c r="J64" s="66"/>
      <c r="K64" s="66"/>
      <c r="L64" s="66"/>
      <c r="M64" s="66"/>
      <c r="N64" s="66"/>
    </row>
    <row r="65" spans="2:14">
      <c r="B65" s="59" t="s">
        <v>389</v>
      </c>
      <c r="C65" s="66">
        <v>113515790000</v>
      </c>
      <c r="D65" s="66">
        <v>116821062000</v>
      </c>
      <c r="E65" s="66">
        <v>115937498000</v>
      </c>
      <c r="F65" s="66">
        <v>87482681000</v>
      </c>
      <c r="G65" s="66">
        <v>101105786000</v>
      </c>
      <c r="H65" s="160">
        <v>122777327000</v>
      </c>
      <c r="I65" s="66">
        <v>132007468000</v>
      </c>
      <c r="J65" s="66"/>
      <c r="K65" s="66"/>
      <c r="L65" s="66"/>
      <c r="M65" s="66"/>
      <c r="N65" s="66"/>
    </row>
    <row r="66" spans="2:14">
      <c r="B66" s="59" t="s">
        <v>390</v>
      </c>
      <c r="C66" s="66"/>
      <c r="D66" s="66"/>
      <c r="E66" s="66"/>
      <c r="F66" s="66"/>
      <c r="G66" s="66"/>
      <c r="H66" s="160"/>
      <c r="I66" s="66"/>
      <c r="J66" s="66"/>
      <c r="K66" s="66"/>
      <c r="L66" s="66"/>
      <c r="M66" s="66"/>
      <c r="N66" s="66"/>
    </row>
    <row r="67" spans="2:14">
      <c r="B67" s="59" t="s">
        <v>391</v>
      </c>
      <c r="C67" s="161">
        <v>3925378000</v>
      </c>
      <c r="D67" s="66">
        <v>3636388000</v>
      </c>
      <c r="E67" s="66">
        <v>3810599000</v>
      </c>
      <c r="F67" s="66">
        <v>3954953000</v>
      </c>
      <c r="G67" s="66">
        <v>5185858000</v>
      </c>
      <c r="H67" s="160">
        <v>12790532000</v>
      </c>
      <c r="I67" s="66">
        <v>12812483000</v>
      </c>
      <c r="J67" s="66"/>
      <c r="K67" s="66"/>
      <c r="L67" s="66"/>
      <c r="M67" s="66"/>
      <c r="N67" s="66"/>
    </row>
    <row r="68" spans="2:14">
      <c r="B68" s="59" t="s">
        <v>392</v>
      </c>
      <c r="C68" s="66"/>
      <c r="D68" s="66"/>
      <c r="E68" s="66"/>
      <c r="F68" s="66"/>
      <c r="G68" s="66"/>
      <c r="H68" s="160"/>
      <c r="I68" s="66"/>
      <c r="J68" s="66"/>
      <c r="K68" s="66"/>
      <c r="L68" s="66"/>
      <c r="M68" s="66"/>
      <c r="N68" s="66"/>
    </row>
    <row r="69" spans="2:14">
      <c r="B69" s="59" t="s">
        <v>318</v>
      </c>
      <c r="C69" s="66">
        <f t="shared" ref="C69:I69" si="68">+C61-C62-C67-C68-C66-C65-C64-C63</f>
        <v>33177593000</v>
      </c>
      <c r="D69" s="66">
        <f t="shared" si="68"/>
        <v>48056522000</v>
      </c>
      <c r="E69" s="66">
        <f t="shared" si="68"/>
        <v>77928549000</v>
      </c>
      <c r="F69" s="66">
        <f t="shared" si="68"/>
        <v>210816865000</v>
      </c>
      <c r="G69" s="66">
        <f t="shared" si="68"/>
        <v>177563045000</v>
      </c>
      <c r="H69" s="66">
        <f t="shared" si="68"/>
        <v>189270265000</v>
      </c>
      <c r="I69" s="66">
        <f t="shared" si="68"/>
        <v>130181045000</v>
      </c>
      <c r="J69" s="66"/>
      <c r="K69" s="66"/>
      <c r="L69" s="66"/>
      <c r="M69" s="66"/>
      <c r="N69" s="66"/>
    </row>
    <row r="70" spans="2:14">
      <c r="B70" s="58" t="s">
        <v>319</v>
      </c>
      <c r="C70" s="64">
        <v>1646261375000</v>
      </c>
      <c r="D70" s="64">
        <v>1737538127000</v>
      </c>
      <c r="E70" s="64">
        <v>1803767656000</v>
      </c>
      <c r="F70" s="159">
        <v>1842181989000</v>
      </c>
      <c r="G70" s="64">
        <v>1945366921000</v>
      </c>
      <c r="H70" s="141">
        <v>2054511436000</v>
      </c>
      <c r="I70" s="64">
        <v>2148343319000</v>
      </c>
      <c r="J70" s="64"/>
      <c r="K70" s="64"/>
      <c r="L70" s="64"/>
      <c r="M70" s="64"/>
      <c r="N70" s="64"/>
    </row>
    <row r="71" spans="2:14">
      <c r="B71" s="59" t="s">
        <v>393</v>
      </c>
      <c r="C71" s="66"/>
      <c r="D71" s="66"/>
      <c r="E71" s="66"/>
      <c r="F71" s="66"/>
      <c r="G71" s="66"/>
      <c r="H71" s="160"/>
      <c r="I71" s="66"/>
      <c r="J71" s="66"/>
      <c r="K71" s="66"/>
      <c r="L71" s="66"/>
      <c r="M71" s="66"/>
      <c r="N71" s="66"/>
    </row>
    <row r="72" spans="2:14">
      <c r="B72" s="59" t="s">
        <v>394</v>
      </c>
      <c r="C72" s="66"/>
      <c r="D72" s="66"/>
      <c r="E72" s="66"/>
      <c r="F72" s="66"/>
      <c r="G72" s="66"/>
      <c r="H72" s="160"/>
      <c r="I72" s="66"/>
      <c r="J72" s="66"/>
      <c r="K72" s="66"/>
      <c r="L72" s="66"/>
      <c r="M72" s="66"/>
      <c r="N72" s="66"/>
    </row>
    <row r="73" spans="2:14">
      <c r="B73" s="59" t="s">
        <v>395</v>
      </c>
      <c r="C73" s="66"/>
      <c r="D73" s="66"/>
      <c r="E73" s="66"/>
      <c r="F73" s="66"/>
      <c r="G73" s="66"/>
      <c r="H73" s="160"/>
      <c r="I73" s="66"/>
      <c r="J73" s="66"/>
      <c r="K73" s="66"/>
      <c r="L73" s="66"/>
      <c r="M73" s="66"/>
      <c r="N73" s="66"/>
    </row>
    <row r="74" spans="2:14">
      <c r="B74" s="59" t="s">
        <v>396</v>
      </c>
      <c r="C74" s="66"/>
      <c r="D74" s="66"/>
      <c r="E74" s="66"/>
      <c r="F74" s="66"/>
      <c r="G74" s="66"/>
      <c r="H74" s="160"/>
      <c r="I74" s="66"/>
      <c r="J74" s="66"/>
      <c r="K74" s="66"/>
      <c r="L74" s="66"/>
      <c r="M74" s="66"/>
      <c r="N74" s="66"/>
    </row>
    <row r="75" spans="2:14">
      <c r="B75" s="59" t="s">
        <v>397</v>
      </c>
      <c r="C75" s="66"/>
      <c r="D75" s="66"/>
      <c r="E75" s="66"/>
      <c r="F75" s="66"/>
      <c r="G75" s="66"/>
      <c r="H75" s="160"/>
      <c r="I75" s="66"/>
      <c r="J75" s="66"/>
      <c r="K75" s="66"/>
      <c r="L75" s="66"/>
      <c r="M75" s="66"/>
      <c r="N75" s="66"/>
    </row>
    <row r="76" spans="2:14">
      <c r="B76" s="59" t="s">
        <v>398</v>
      </c>
      <c r="C76" s="66">
        <v>1351763816000</v>
      </c>
      <c r="D76" s="66">
        <v>1440093131000</v>
      </c>
      <c r="E76" s="66">
        <v>1495658317000</v>
      </c>
      <c r="F76" s="66">
        <v>1568189347000</v>
      </c>
      <c r="G76" s="66">
        <v>1660157909000</v>
      </c>
      <c r="H76" s="160">
        <v>1713896622000</v>
      </c>
      <c r="I76" s="66">
        <v>1805370932000</v>
      </c>
      <c r="J76" s="66"/>
      <c r="K76" s="66"/>
      <c r="L76" s="66"/>
      <c r="M76" s="66"/>
      <c r="N76" s="66"/>
    </row>
    <row r="77" spans="2:14">
      <c r="B77" s="59" t="s">
        <v>399</v>
      </c>
      <c r="C77" s="66"/>
      <c r="D77" s="66"/>
      <c r="E77" s="66"/>
      <c r="F77" s="66"/>
      <c r="G77" s="66"/>
      <c r="H77" s="160"/>
      <c r="I77" s="66"/>
      <c r="J77" s="66"/>
      <c r="K77" s="66"/>
      <c r="L77" s="66"/>
      <c r="M77" s="66"/>
      <c r="N77" s="66"/>
    </row>
    <row r="78" spans="2:14">
      <c r="B78" s="59" t="s">
        <v>400</v>
      </c>
      <c r="C78" s="66"/>
      <c r="D78" s="66"/>
      <c r="E78" s="66"/>
      <c r="F78" s="161"/>
      <c r="G78" s="66"/>
      <c r="H78" s="160"/>
      <c r="I78" s="66"/>
      <c r="J78" s="66"/>
      <c r="K78" s="66"/>
      <c r="L78" s="66"/>
      <c r="M78" s="66"/>
      <c r="N78" s="66"/>
    </row>
    <row r="79" spans="2:14">
      <c r="B79" s="59" t="s">
        <v>401</v>
      </c>
      <c r="C79" s="66"/>
      <c r="D79" s="66"/>
      <c r="E79" s="66"/>
      <c r="F79" s="66"/>
      <c r="G79" s="66"/>
      <c r="H79" s="160"/>
      <c r="I79" s="66"/>
      <c r="J79" s="66"/>
      <c r="K79" s="66"/>
      <c r="L79" s="66"/>
      <c r="M79" s="66"/>
      <c r="N79" s="66"/>
    </row>
    <row r="80" spans="2:14">
      <c r="B80" s="59" t="s">
        <v>328</v>
      </c>
      <c r="C80" s="66">
        <f t="shared" ref="C80:I80" si="69">+C70-C77-C78-C76-C71-C79-C75-C74-C73-C72</f>
        <v>294497559000</v>
      </c>
      <c r="D80" s="66">
        <f t="shared" si="69"/>
        <v>297444996000</v>
      </c>
      <c r="E80" s="66">
        <f t="shared" si="69"/>
        <v>308109339000</v>
      </c>
      <c r="F80" s="66">
        <f t="shared" si="69"/>
        <v>273992642000</v>
      </c>
      <c r="G80" s="66">
        <f t="shared" si="69"/>
        <v>285209012000</v>
      </c>
      <c r="H80" s="66">
        <f t="shared" si="69"/>
        <v>340614814000</v>
      </c>
      <c r="I80" s="66">
        <f t="shared" si="69"/>
        <v>342972387000</v>
      </c>
      <c r="J80" s="66"/>
      <c r="K80" s="66"/>
      <c r="L80" s="66"/>
      <c r="M80" s="66"/>
      <c r="N80" s="66"/>
    </row>
    <row r="81" spans="2:14" ht="14.65" thickBot="1">
      <c r="B81" s="60" t="s">
        <v>329</v>
      </c>
      <c r="C81" s="70">
        <f t="shared" ref="C81:I81" si="70">+C70+C61</f>
        <v>1796880136000</v>
      </c>
      <c r="D81" s="70">
        <f t="shared" si="70"/>
        <v>1906052099000</v>
      </c>
      <c r="E81" s="70">
        <f t="shared" si="70"/>
        <v>2001444302000</v>
      </c>
      <c r="F81" s="70">
        <f t="shared" si="70"/>
        <v>2144436488000</v>
      </c>
      <c r="G81" s="70">
        <f t="shared" si="70"/>
        <v>2229221610000</v>
      </c>
      <c r="H81" s="162">
        <f t="shared" si="70"/>
        <v>2379349560000</v>
      </c>
      <c r="I81" s="162">
        <f t="shared" si="70"/>
        <v>2423344315000</v>
      </c>
      <c r="J81" s="70"/>
      <c r="K81" s="70"/>
      <c r="L81" s="70"/>
      <c r="M81" s="70"/>
      <c r="N81" s="70"/>
    </row>
    <row r="82" spans="2:14" ht="14.65" thickBot="1">
      <c r="B82" s="61"/>
      <c r="C82" s="72"/>
      <c r="D82" s="72"/>
      <c r="E82" s="72"/>
      <c r="F82" s="72"/>
      <c r="G82" s="72"/>
      <c r="H82" s="163"/>
      <c r="I82" s="72"/>
      <c r="J82" s="72"/>
      <c r="K82" s="72"/>
      <c r="L82" s="72"/>
      <c r="M82" s="72"/>
      <c r="N82" s="72"/>
    </row>
    <row r="83" spans="2:14">
      <c r="B83" s="57" t="s">
        <v>330</v>
      </c>
      <c r="C83" s="62"/>
      <c r="D83" s="62"/>
      <c r="E83" s="62"/>
      <c r="F83" s="62"/>
      <c r="G83" s="62"/>
      <c r="H83" s="164"/>
      <c r="I83" s="62"/>
      <c r="J83" s="62"/>
      <c r="K83" s="62"/>
      <c r="L83" s="62"/>
      <c r="M83" s="62"/>
      <c r="N83" s="62"/>
    </row>
    <row r="84" spans="2:14">
      <c r="B84" s="58" t="s">
        <v>310</v>
      </c>
      <c r="C84" s="64">
        <v>237111903000</v>
      </c>
      <c r="D84" s="64">
        <v>242318524000</v>
      </c>
      <c r="E84" s="64">
        <v>242137717000</v>
      </c>
      <c r="F84" s="64">
        <v>244032589000</v>
      </c>
      <c r="G84" s="64">
        <v>248642211000</v>
      </c>
      <c r="H84" s="141">
        <v>265797147000</v>
      </c>
      <c r="I84" s="64">
        <v>361668126000</v>
      </c>
      <c r="J84" s="64"/>
      <c r="K84" s="64"/>
      <c r="L84" s="64"/>
      <c r="M84" s="64"/>
      <c r="N84" s="64"/>
    </row>
    <row r="85" spans="2:14">
      <c r="B85" s="59" t="s">
        <v>402</v>
      </c>
      <c r="C85" s="66"/>
      <c r="D85" s="66"/>
      <c r="E85" s="66"/>
      <c r="F85" s="66"/>
      <c r="G85" s="66"/>
      <c r="H85" s="160">
        <v>74347139000</v>
      </c>
      <c r="I85" s="66">
        <v>155416801000</v>
      </c>
      <c r="J85" s="66"/>
      <c r="K85" s="66"/>
      <c r="L85" s="66"/>
      <c r="M85" s="66"/>
      <c r="N85" s="66"/>
    </row>
    <row r="86" spans="2:14">
      <c r="B86" s="59" t="s">
        <v>403</v>
      </c>
      <c r="C86" s="66"/>
      <c r="D86" s="66"/>
      <c r="E86" s="66"/>
      <c r="F86" s="66"/>
      <c r="G86" s="66"/>
      <c r="H86" s="160"/>
      <c r="I86" s="66"/>
      <c r="J86" s="66"/>
      <c r="K86" s="66"/>
      <c r="L86" s="66"/>
      <c r="M86" s="66"/>
      <c r="N86" s="66"/>
    </row>
    <row r="87" spans="2:14">
      <c r="B87" s="59" t="s">
        <v>404</v>
      </c>
      <c r="C87" s="66"/>
      <c r="D87" s="66"/>
      <c r="E87" s="66"/>
      <c r="F87" s="66"/>
      <c r="G87" s="66"/>
      <c r="H87" s="160"/>
      <c r="I87" s="66"/>
      <c r="J87" s="66"/>
      <c r="K87" s="66"/>
      <c r="L87" s="66"/>
      <c r="M87" s="66"/>
      <c r="N87" s="66"/>
    </row>
    <row r="88" spans="2:14">
      <c r="B88" s="59" t="s">
        <v>405</v>
      </c>
      <c r="C88" s="66">
        <v>105645880000</v>
      </c>
      <c r="D88" s="66">
        <v>136872967000</v>
      </c>
      <c r="E88" s="66">
        <v>132451851000</v>
      </c>
      <c r="F88" s="66">
        <v>98758134000</v>
      </c>
      <c r="G88" s="66">
        <v>126774156000</v>
      </c>
      <c r="H88" s="160">
        <v>138331675000</v>
      </c>
      <c r="I88" s="66">
        <v>177288051000</v>
      </c>
      <c r="J88" s="66"/>
      <c r="K88" s="66"/>
      <c r="L88" s="66"/>
      <c r="M88" s="66"/>
      <c r="N88" s="66"/>
    </row>
    <row r="89" spans="2:14">
      <c r="B89" s="59" t="s">
        <v>406</v>
      </c>
      <c r="C89" s="66"/>
      <c r="D89" s="66"/>
      <c r="E89" s="66"/>
      <c r="F89" s="66"/>
      <c r="G89" s="66"/>
      <c r="H89" s="160"/>
      <c r="I89" s="66"/>
      <c r="J89" s="66"/>
      <c r="K89" s="66"/>
      <c r="L89" s="66"/>
      <c r="M89" s="66"/>
      <c r="N89" s="66"/>
    </row>
    <row r="90" spans="2:14">
      <c r="B90" s="59" t="s">
        <v>407</v>
      </c>
      <c r="C90" s="66"/>
      <c r="D90" s="66"/>
      <c r="E90" s="66"/>
      <c r="F90" s="66"/>
      <c r="G90" s="66"/>
      <c r="H90" s="160"/>
      <c r="I90" s="66"/>
      <c r="J90" s="66"/>
      <c r="K90" s="66"/>
      <c r="L90" s="66"/>
      <c r="M90" s="66"/>
      <c r="N90" s="66"/>
    </row>
    <row r="91" spans="2:14">
      <c r="B91" s="59" t="s">
        <v>408</v>
      </c>
      <c r="C91" s="66"/>
      <c r="D91" s="66"/>
      <c r="E91" s="66"/>
      <c r="F91" s="66"/>
      <c r="G91" s="66"/>
      <c r="H91" s="160"/>
      <c r="I91" s="66"/>
      <c r="J91" s="66"/>
      <c r="K91" s="66"/>
      <c r="L91" s="66"/>
      <c r="M91" s="66"/>
      <c r="N91" s="66"/>
    </row>
    <row r="92" spans="2:14">
      <c r="B92" s="59" t="s">
        <v>409</v>
      </c>
      <c r="C92" s="66"/>
      <c r="D92" s="66"/>
      <c r="E92" s="66"/>
      <c r="F92" s="66"/>
      <c r="G92" s="66"/>
      <c r="H92" s="160"/>
      <c r="I92" s="66"/>
      <c r="J92" s="66"/>
      <c r="K92" s="66"/>
      <c r="L92" s="66"/>
      <c r="M92" s="66"/>
      <c r="N92" s="66"/>
    </row>
    <row r="93" spans="2:14">
      <c r="B93" s="59" t="s">
        <v>410</v>
      </c>
      <c r="C93" s="66">
        <f t="shared" ref="C93:I93" si="71">+C84-C85-C91-C92-C90-C89-C88-C87-C86</f>
        <v>131466023000</v>
      </c>
      <c r="D93" s="66">
        <f t="shared" si="71"/>
        <v>105445557000</v>
      </c>
      <c r="E93" s="66">
        <f t="shared" si="71"/>
        <v>109685866000</v>
      </c>
      <c r="F93" s="66">
        <f t="shared" si="71"/>
        <v>145274455000</v>
      </c>
      <c r="G93" s="66">
        <f t="shared" si="71"/>
        <v>121868055000</v>
      </c>
      <c r="H93" s="66">
        <f t="shared" si="71"/>
        <v>53118333000</v>
      </c>
      <c r="I93" s="66">
        <f t="shared" si="71"/>
        <v>28963274000</v>
      </c>
      <c r="J93" s="66"/>
      <c r="K93" s="66"/>
      <c r="L93" s="66"/>
      <c r="M93" s="66"/>
      <c r="N93" s="66"/>
    </row>
    <row r="94" spans="2:14">
      <c r="B94" s="58" t="s">
        <v>319</v>
      </c>
      <c r="C94" s="64">
        <v>866468756000</v>
      </c>
      <c r="D94" s="64">
        <v>976742178000</v>
      </c>
      <c r="E94" s="64">
        <v>1071833122000</v>
      </c>
      <c r="F94" s="64">
        <v>1059655092000</v>
      </c>
      <c r="G94" s="64">
        <v>1138031686000</v>
      </c>
      <c r="H94" s="141">
        <v>1274661314000</v>
      </c>
      <c r="I94" s="64">
        <v>1175540305000</v>
      </c>
      <c r="J94" s="64"/>
      <c r="K94" s="64"/>
      <c r="L94" s="64"/>
      <c r="M94" s="64"/>
      <c r="N94" s="64"/>
    </row>
    <row r="95" spans="2:14">
      <c r="B95" s="59" t="s">
        <v>411</v>
      </c>
      <c r="C95" s="66"/>
      <c r="D95" s="66"/>
      <c r="E95" s="66"/>
      <c r="F95" s="66"/>
      <c r="G95" s="66"/>
      <c r="H95" s="160"/>
      <c r="I95" s="66"/>
      <c r="J95" s="66"/>
      <c r="K95" s="66"/>
      <c r="L95" s="66"/>
      <c r="M95" s="66"/>
      <c r="N95" s="66"/>
    </row>
    <row r="96" spans="2:14">
      <c r="B96" s="59" t="s">
        <v>412</v>
      </c>
      <c r="C96" s="66"/>
      <c r="D96" s="66"/>
      <c r="E96" s="66"/>
      <c r="F96" s="66"/>
      <c r="G96" s="66"/>
      <c r="H96" s="160"/>
      <c r="I96" s="66"/>
      <c r="J96" s="66"/>
      <c r="K96" s="66"/>
      <c r="L96" s="66"/>
      <c r="M96" s="66"/>
      <c r="N96" s="66"/>
    </row>
    <row r="97" spans="2:14">
      <c r="B97" s="59" t="s">
        <v>413</v>
      </c>
      <c r="C97" s="66"/>
      <c r="D97" s="66"/>
      <c r="E97" s="66"/>
      <c r="F97" s="66"/>
      <c r="G97" s="66"/>
      <c r="H97" s="160"/>
      <c r="I97" s="66"/>
      <c r="J97" s="66"/>
      <c r="K97" s="66"/>
      <c r="L97" s="66"/>
      <c r="M97" s="66"/>
      <c r="N97" s="66"/>
    </row>
    <row r="98" spans="2:14">
      <c r="B98" s="59" t="s">
        <v>414</v>
      </c>
      <c r="C98" s="66"/>
      <c r="D98" s="66"/>
      <c r="E98" s="66"/>
      <c r="F98" s="66"/>
      <c r="G98" s="66"/>
      <c r="H98" s="160"/>
      <c r="I98" s="66"/>
      <c r="J98" s="66"/>
      <c r="K98" s="66"/>
      <c r="L98" s="66"/>
      <c r="M98" s="66"/>
      <c r="N98" s="66"/>
    </row>
    <row r="99" spans="2:14">
      <c r="B99" s="59" t="s">
        <v>341</v>
      </c>
      <c r="C99" s="66">
        <f t="shared" ref="C99:H99" si="72">+C94-C95-C97-C98-C96</f>
        <v>866468756000</v>
      </c>
      <c r="D99" s="66">
        <f t="shared" si="72"/>
        <v>976742178000</v>
      </c>
      <c r="E99" s="66">
        <f t="shared" si="72"/>
        <v>1071833122000</v>
      </c>
      <c r="F99" s="66">
        <f t="shared" si="72"/>
        <v>1059655092000</v>
      </c>
      <c r="G99" s="66">
        <f t="shared" si="72"/>
        <v>1138031686000</v>
      </c>
      <c r="H99" s="66">
        <f t="shared" si="72"/>
        <v>1274661314000</v>
      </c>
      <c r="I99" s="66">
        <v>1125060897000</v>
      </c>
      <c r="J99" s="66"/>
      <c r="K99" s="66"/>
      <c r="L99" s="66"/>
      <c r="M99" s="66"/>
      <c r="N99" s="66"/>
    </row>
    <row r="100" spans="2:14" ht="14.65" thickBot="1">
      <c r="B100" s="60" t="s">
        <v>342</v>
      </c>
      <c r="C100" s="70">
        <f t="shared" ref="C100:I100" si="73">+C94+C84</f>
        <v>1103580659000</v>
      </c>
      <c r="D100" s="70">
        <f t="shared" si="73"/>
        <v>1219060702000</v>
      </c>
      <c r="E100" s="70">
        <f t="shared" si="73"/>
        <v>1313970839000</v>
      </c>
      <c r="F100" s="70">
        <f t="shared" si="73"/>
        <v>1303687681000</v>
      </c>
      <c r="G100" s="70">
        <f t="shared" si="73"/>
        <v>1386673897000</v>
      </c>
      <c r="H100" s="162">
        <f t="shared" si="73"/>
        <v>1540458461000</v>
      </c>
      <c r="I100" s="162">
        <f t="shared" si="73"/>
        <v>1537208431000</v>
      </c>
      <c r="J100" s="70"/>
      <c r="K100" s="70"/>
      <c r="L100" s="70"/>
      <c r="M100" s="70"/>
      <c r="N100" s="70"/>
    </row>
    <row r="101" spans="2:14" ht="14.65" thickBot="1">
      <c r="B101" s="61"/>
      <c r="C101" s="61"/>
      <c r="D101" s="61"/>
      <c r="E101" s="61"/>
      <c r="F101" s="61"/>
      <c r="G101" s="61"/>
      <c r="H101" s="61"/>
      <c r="I101" s="61"/>
      <c r="J101" s="61"/>
      <c r="K101" s="61"/>
      <c r="L101" s="61"/>
      <c r="M101" s="61"/>
      <c r="N101" s="61"/>
    </row>
    <row r="102" spans="2:14">
      <c r="B102" s="57" t="s">
        <v>343</v>
      </c>
      <c r="C102" s="62"/>
      <c r="D102" s="62"/>
      <c r="E102" s="62"/>
      <c r="F102" s="62"/>
      <c r="G102" s="62"/>
      <c r="H102" s="164"/>
      <c r="I102" s="62"/>
      <c r="J102" s="62"/>
      <c r="K102" s="62"/>
      <c r="L102" s="62"/>
      <c r="M102" s="62"/>
      <c r="N102" s="62"/>
    </row>
    <row r="103" spans="2:14">
      <c r="B103" s="59" t="s">
        <v>415</v>
      </c>
      <c r="C103" s="160">
        <v>155567354000</v>
      </c>
      <c r="D103" s="160">
        <v>155567354000</v>
      </c>
      <c r="E103" s="160">
        <v>155567354000</v>
      </c>
      <c r="F103" s="160">
        <v>155567354000</v>
      </c>
      <c r="G103" s="160">
        <v>155567354000</v>
      </c>
      <c r="H103" s="160">
        <v>155567354000</v>
      </c>
      <c r="I103" s="160">
        <v>155567354000</v>
      </c>
      <c r="J103" s="160"/>
      <c r="K103" s="160"/>
      <c r="L103" s="160"/>
      <c r="M103" s="160"/>
      <c r="N103" s="160"/>
    </row>
    <row r="104" spans="2:14">
      <c r="B104" s="59" t="s">
        <v>416</v>
      </c>
      <c r="C104" s="66">
        <v>328964934000</v>
      </c>
      <c r="D104" s="66">
        <v>324954354000</v>
      </c>
      <c r="E104" s="66">
        <v>330787492000</v>
      </c>
      <c r="F104" s="66">
        <v>364961863000</v>
      </c>
      <c r="G104" s="66">
        <v>361776346000</v>
      </c>
      <c r="H104" s="160">
        <v>362648832000</v>
      </c>
      <c r="I104" s="66">
        <v>411044222000</v>
      </c>
      <c r="J104" s="66"/>
      <c r="K104" s="66"/>
      <c r="L104" s="66"/>
      <c r="M104" s="66"/>
      <c r="N104" s="66"/>
    </row>
    <row r="105" spans="2:14">
      <c r="B105" s="59" t="s">
        <v>417</v>
      </c>
      <c r="C105" s="160">
        <v>164064038000</v>
      </c>
      <c r="D105" s="160">
        <v>164064038000</v>
      </c>
      <c r="E105" s="160">
        <v>164064038000</v>
      </c>
      <c r="F105" s="160">
        <v>164064038000</v>
      </c>
      <c r="G105" s="160">
        <v>164064038000</v>
      </c>
      <c r="H105" s="160">
        <v>164064038000</v>
      </c>
      <c r="I105" s="66">
        <v>164064038000</v>
      </c>
      <c r="J105" s="66"/>
      <c r="K105" s="66"/>
      <c r="L105" s="66"/>
      <c r="M105" s="66"/>
      <c r="N105" s="66"/>
    </row>
    <row r="106" spans="2:14">
      <c r="B106" s="59" t="s">
        <v>418</v>
      </c>
      <c r="C106" s="66">
        <v>-5965550000</v>
      </c>
      <c r="D106" s="66">
        <v>-5965550000</v>
      </c>
      <c r="E106" s="160">
        <v>-5965550000</v>
      </c>
      <c r="F106" s="160">
        <v>-5965550000</v>
      </c>
      <c r="G106" s="160">
        <v>-5965550000</v>
      </c>
      <c r="H106" s="160">
        <v>-5965550000</v>
      </c>
      <c r="I106" s="66">
        <v>-5965550000</v>
      </c>
      <c r="J106" s="66"/>
      <c r="K106" s="66"/>
      <c r="L106" s="66"/>
      <c r="M106" s="66"/>
      <c r="N106" s="66"/>
    </row>
    <row r="107" spans="2:14">
      <c r="B107" s="59" t="s">
        <v>345</v>
      </c>
      <c r="C107" s="66"/>
      <c r="D107" s="66"/>
      <c r="E107" s="66">
        <v>0</v>
      </c>
      <c r="F107" s="66">
        <v>162095537000</v>
      </c>
      <c r="G107" s="66">
        <v>167078027000</v>
      </c>
      <c r="H107" s="160">
        <v>162546852000</v>
      </c>
      <c r="I107" s="66">
        <v>161397766000</v>
      </c>
      <c r="J107" s="66"/>
      <c r="K107" s="66"/>
      <c r="L107" s="66"/>
      <c r="M107" s="66"/>
      <c r="N107" s="66"/>
    </row>
    <row r="108" spans="2:14">
      <c r="B108" s="59" t="s">
        <v>419</v>
      </c>
      <c r="C108" s="66">
        <v>50668701000</v>
      </c>
      <c r="D108" s="66">
        <v>48370742000</v>
      </c>
      <c r="E108" s="66">
        <v>43020129000</v>
      </c>
      <c r="F108" s="66">
        <v>25565000</v>
      </c>
      <c r="G108" s="66">
        <v>27498000</v>
      </c>
      <c r="H108" s="160">
        <v>29573000</v>
      </c>
      <c r="I108" s="66">
        <v>31468000</v>
      </c>
      <c r="J108" s="66"/>
      <c r="K108" s="66"/>
      <c r="L108" s="66"/>
      <c r="M108" s="66"/>
      <c r="N108" s="66"/>
    </row>
    <row r="109" spans="2:14" ht="14.65" thickBot="1">
      <c r="B109" s="60" t="s">
        <v>420</v>
      </c>
      <c r="C109" s="70">
        <f>+C103+C107+C104+C105+C106</f>
        <v>642630776000</v>
      </c>
      <c r="D109" s="70">
        <f>+D103+D107+D104+D105+D106</f>
        <v>638620196000</v>
      </c>
      <c r="E109" s="70">
        <f t="shared" ref="E109:I109" si="74">+E103+E107+E104+E105+E106</f>
        <v>644453334000</v>
      </c>
      <c r="F109" s="70">
        <f t="shared" si="74"/>
        <v>840723242000</v>
      </c>
      <c r="G109" s="70">
        <f t="shared" si="74"/>
        <v>842520215000</v>
      </c>
      <c r="H109" s="70">
        <f t="shared" si="74"/>
        <v>838861526000</v>
      </c>
      <c r="I109" s="70">
        <f t="shared" si="74"/>
        <v>886107830000</v>
      </c>
      <c r="J109" s="70"/>
      <c r="K109" s="70"/>
      <c r="L109" s="70"/>
      <c r="M109" s="70"/>
      <c r="N109" s="70"/>
    </row>
    <row r="110" spans="2:14" ht="14.65" thickBot="1">
      <c r="B110" s="60" t="s">
        <v>347</v>
      </c>
      <c r="C110" s="70">
        <f>+C109+C108</f>
        <v>693299477000</v>
      </c>
      <c r="D110" s="70">
        <f t="shared" ref="D110:I110" si="75">+D109+D108</f>
        <v>686990938000</v>
      </c>
      <c r="E110" s="70">
        <f t="shared" si="75"/>
        <v>687473463000</v>
      </c>
      <c r="F110" s="70">
        <f t="shared" si="75"/>
        <v>840748807000</v>
      </c>
      <c r="G110" s="70">
        <f t="shared" si="75"/>
        <v>842547713000</v>
      </c>
      <c r="H110" s="70">
        <f t="shared" si="75"/>
        <v>838891099000</v>
      </c>
      <c r="I110" s="70">
        <f t="shared" si="75"/>
        <v>886139298000</v>
      </c>
      <c r="J110" s="70">
        <f t="shared" ref="J110:N110" si="76">+J109+J108</f>
        <v>0</v>
      </c>
      <c r="K110" s="70">
        <f t="shared" si="76"/>
        <v>0</v>
      </c>
      <c r="L110" s="70">
        <f t="shared" si="76"/>
        <v>0</v>
      </c>
      <c r="M110" s="70">
        <f t="shared" si="76"/>
        <v>0</v>
      </c>
      <c r="N110" s="70">
        <f t="shared" si="76"/>
        <v>0</v>
      </c>
    </row>
    <row r="112" spans="2:14" ht="14.65" thickBot="1">
      <c r="B112" s="75" t="s">
        <v>348</v>
      </c>
    </row>
    <row r="113" spans="2:14" ht="14.65" thickBot="1">
      <c r="B113" s="82" t="s">
        <v>308</v>
      </c>
      <c r="C113" s="88">
        <v>2017</v>
      </c>
      <c r="D113" s="88">
        <v>2018</v>
      </c>
      <c r="E113" s="88">
        <v>2019</v>
      </c>
      <c r="F113" s="88">
        <v>2020</v>
      </c>
      <c r="G113" s="88">
        <v>2021</v>
      </c>
      <c r="H113" s="88">
        <v>2022</v>
      </c>
      <c r="I113" s="88">
        <v>2023</v>
      </c>
      <c r="J113" s="88">
        <v>2024</v>
      </c>
      <c r="K113" s="88">
        <v>2025</v>
      </c>
      <c r="L113" s="88">
        <v>2026</v>
      </c>
      <c r="M113" s="88">
        <v>2027</v>
      </c>
      <c r="N113" s="88">
        <v>2028</v>
      </c>
    </row>
    <row r="114" spans="2:14">
      <c r="B114" s="83" t="s">
        <v>349</v>
      </c>
      <c r="C114" s="90">
        <v>509540577000</v>
      </c>
      <c r="D114" s="90">
        <v>530404680000</v>
      </c>
      <c r="E114" s="90">
        <v>484329084000</v>
      </c>
      <c r="F114" s="90">
        <v>478773563000</v>
      </c>
      <c r="G114" s="90">
        <v>506459633000</v>
      </c>
      <c r="H114" s="90">
        <v>575465445000</v>
      </c>
      <c r="I114" s="90">
        <v>640855854000</v>
      </c>
      <c r="J114" s="90"/>
      <c r="K114" s="90"/>
      <c r="L114" s="90"/>
      <c r="M114" s="90"/>
      <c r="N114" s="90"/>
    </row>
    <row r="115" spans="2:14">
      <c r="B115" s="85" t="s">
        <v>421</v>
      </c>
      <c r="C115" s="66">
        <v>-34924849000</v>
      </c>
      <c r="D115" s="66">
        <v>-39229232000</v>
      </c>
      <c r="E115" s="66">
        <v>-37518383000</v>
      </c>
      <c r="F115" s="66">
        <v>-43542356000</v>
      </c>
      <c r="G115" s="66">
        <v>-53622709000</v>
      </c>
      <c r="H115" s="66">
        <v>-79574233000</v>
      </c>
      <c r="I115" s="66">
        <v>-85361668000</v>
      </c>
      <c r="J115" s="66"/>
      <c r="K115" s="66"/>
      <c r="L115" s="66"/>
      <c r="M115" s="66"/>
      <c r="N115" s="66"/>
    </row>
    <row r="116" spans="2:14">
      <c r="B116" s="86" t="s">
        <v>422</v>
      </c>
      <c r="C116" s="64">
        <f>+C114+C115</f>
        <v>474615728000</v>
      </c>
      <c r="D116" s="64">
        <f>+D114+D115</f>
        <v>491175448000</v>
      </c>
      <c r="E116" s="64">
        <f t="shared" ref="C116:F116" si="77">+E114+E115</f>
        <v>446810701000</v>
      </c>
      <c r="F116" s="64">
        <f t="shared" si="77"/>
        <v>435231207000</v>
      </c>
      <c r="G116" s="64">
        <f>+G114+G115</f>
        <v>452836924000</v>
      </c>
      <c r="H116" s="64">
        <f t="shared" ref="H116:I116" si="78">+H114+H115</f>
        <v>495891212000</v>
      </c>
      <c r="I116" s="64">
        <f t="shared" si="78"/>
        <v>555494186000</v>
      </c>
      <c r="J116" s="64"/>
      <c r="K116" s="64"/>
      <c r="L116" s="64"/>
      <c r="M116" s="64"/>
      <c r="N116" s="64"/>
    </row>
    <row r="117" spans="2:14">
      <c r="B117" s="85" t="s">
        <v>423</v>
      </c>
      <c r="C117" s="117">
        <v>-55548304000</v>
      </c>
      <c r="D117" s="117">
        <v>-59153387000</v>
      </c>
      <c r="E117" s="117">
        <v>-50638865000</v>
      </c>
      <c r="F117" s="117">
        <v>-55045719000</v>
      </c>
      <c r="G117" s="117">
        <v>-55077943000</v>
      </c>
      <c r="H117" s="117">
        <v>-66369413000</v>
      </c>
      <c r="I117" s="117">
        <v>-76458923000</v>
      </c>
      <c r="J117" s="117"/>
      <c r="K117" s="117"/>
      <c r="L117" s="117"/>
      <c r="M117" s="117"/>
      <c r="N117" s="117"/>
    </row>
    <row r="118" spans="2:14">
      <c r="B118" s="85" t="s">
        <v>424</v>
      </c>
      <c r="C118" s="117">
        <v>-74394154000</v>
      </c>
      <c r="D118" s="117">
        <v>-75467585000</v>
      </c>
      <c r="E118" s="117">
        <v>-63951173000</v>
      </c>
      <c r="F118" s="117">
        <v>-67134809000</v>
      </c>
      <c r="G118" s="117">
        <v>-69195160000</v>
      </c>
      <c r="H118" s="117">
        <v>-74811690000</v>
      </c>
      <c r="I118" s="117">
        <v>-77689350000</v>
      </c>
      <c r="J118" s="117"/>
      <c r="K118" s="117"/>
      <c r="L118" s="117"/>
      <c r="M118" s="117"/>
      <c r="N118" s="117"/>
    </row>
    <row r="119" spans="2:14">
      <c r="B119" s="85" t="s">
        <v>425</v>
      </c>
      <c r="C119" s="117"/>
      <c r="D119" s="117"/>
      <c r="E119" s="117">
        <v>0</v>
      </c>
      <c r="F119" s="117">
        <v>-1404946000</v>
      </c>
      <c r="G119" s="117"/>
      <c r="H119" s="117"/>
      <c r="I119" s="117"/>
      <c r="J119" s="117"/>
      <c r="K119" s="117"/>
      <c r="L119" s="117"/>
      <c r="M119" s="117"/>
      <c r="N119" s="117"/>
    </row>
    <row r="120" spans="2:14">
      <c r="B120" s="85" t="s">
        <v>426</v>
      </c>
      <c r="C120" s="117">
        <v>-120462471000</v>
      </c>
      <c r="D120" s="117">
        <v>-122358326000</v>
      </c>
      <c r="E120" s="117">
        <v>-110865349000</v>
      </c>
      <c r="F120" s="117">
        <v>-144853561000</v>
      </c>
      <c r="G120" s="117">
        <v>-119245857000</v>
      </c>
      <c r="H120" s="117">
        <v>-124929936000</v>
      </c>
      <c r="I120" s="117">
        <v>-148430974000</v>
      </c>
      <c r="J120" s="117"/>
      <c r="K120" s="117"/>
      <c r="L120" s="117"/>
      <c r="M120" s="117"/>
      <c r="N120" s="117"/>
    </row>
    <row r="121" spans="2:14">
      <c r="B121" s="85" t="s">
        <v>427</v>
      </c>
      <c r="C121" s="66">
        <v>2608255000</v>
      </c>
      <c r="D121" s="66">
        <v>-1124474000</v>
      </c>
      <c r="E121" s="66">
        <v>14280922000</v>
      </c>
      <c r="F121" s="117">
        <v>-3967292000</v>
      </c>
      <c r="G121" s="117">
        <v>3629839000</v>
      </c>
      <c r="H121" s="117">
        <v>-1521833000</v>
      </c>
      <c r="I121" s="117">
        <v>3336545000</v>
      </c>
      <c r="J121" s="117"/>
      <c r="K121" s="117"/>
      <c r="L121" s="117"/>
      <c r="M121" s="117"/>
      <c r="N121" s="117"/>
    </row>
    <row r="122" spans="2:14">
      <c r="B122" s="86" t="s">
        <v>428</v>
      </c>
      <c r="C122" s="64">
        <f>+C116+C121+C117+C118+C120+C119</f>
        <v>226819054000</v>
      </c>
      <c r="D122" s="64">
        <f t="shared" ref="C122:E122" si="79">+D116+D121+D117+D118+D120+D119</f>
        <v>233071676000</v>
      </c>
      <c r="E122" s="64">
        <f t="shared" si="79"/>
        <v>235636236000</v>
      </c>
      <c r="F122" s="64">
        <f>+F116+F121+F117+F118+F120+F119</f>
        <v>162824880000</v>
      </c>
      <c r="G122" s="64">
        <f t="shared" ref="G122:I122" si="80">+G116+G121+G117+G118+G120+G119</f>
        <v>212947803000</v>
      </c>
      <c r="H122" s="64">
        <f t="shared" si="80"/>
        <v>228258340000</v>
      </c>
      <c r="I122" s="64">
        <f t="shared" si="80"/>
        <v>256251484000</v>
      </c>
      <c r="J122" s="64">
        <f t="shared" ref="J122:N122" si="81">+J116+J121+J117+J118+J120+J119</f>
        <v>0</v>
      </c>
      <c r="K122" s="64">
        <f t="shared" si="81"/>
        <v>0</v>
      </c>
      <c r="L122" s="64">
        <f t="shared" si="81"/>
        <v>0</v>
      </c>
      <c r="M122" s="64">
        <f t="shared" si="81"/>
        <v>0</v>
      </c>
      <c r="N122" s="64">
        <f t="shared" si="81"/>
        <v>0</v>
      </c>
    </row>
    <row r="123" spans="2:14">
      <c r="B123" s="85" t="s">
        <v>429</v>
      </c>
      <c r="C123" s="66">
        <v>6052997000</v>
      </c>
      <c r="D123" s="66">
        <v>5856180000</v>
      </c>
      <c r="E123" s="66">
        <v>5223315000</v>
      </c>
      <c r="F123" s="66">
        <v>3868561000</v>
      </c>
      <c r="G123" s="131">
        <v>5074265000</v>
      </c>
      <c r="H123" s="131">
        <v>20981379000</v>
      </c>
      <c r="I123" s="131">
        <v>15927907000</v>
      </c>
      <c r="J123" s="131"/>
      <c r="K123" s="131"/>
      <c r="L123" s="131"/>
      <c r="M123" s="131"/>
      <c r="N123" s="131"/>
    </row>
    <row r="124" spans="2:14">
      <c r="B124" s="85" t="s">
        <v>430</v>
      </c>
      <c r="C124" s="66">
        <v>-31112258000</v>
      </c>
      <c r="D124" s="66">
        <v>-29996785000</v>
      </c>
      <c r="E124" s="66">
        <v>-26752209000</v>
      </c>
      <c r="F124" s="66">
        <v>-28172393000</v>
      </c>
      <c r="G124" s="131">
        <v>-27862844000</v>
      </c>
      <c r="H124" s="131">
        <v>-36630374000</v>
      </c>
      <c r="I124" s="131">
        <v>-48849432000</v>
      </c>
      <c r="J124" s="131"/>
      <c r="K124" s="131"/>
      <c r="L124" s="131"/>
      <c r="M124" s="131"/>
      <c r="N124" s="131"/>
    </row>
    <row r="125" spans="2:14">
      <c r="B125" s="85" t="s">
        <v>431</v>
      </c>
      <c r="C125" s="66"/>
      <c r="D125" s="66"/>
      <c r="E125" s="66"/>
      <c r="F125" s="66"/>
      <c r="G125" s="131">
        <v>-15694733000</v>
      </c>
      <c r="H125" s="131">
        <v>-13830357000</v>
      </c>
      <c r="I125" s="131">
        <v>-12316346000</v>
      </c>
      <c r="J125" s="131"/>
      <c r="K125" s="131"/>
      <c r="L125" s="131"/>
      <c r="M125" s="131"/>
      <c r="N125" s="131"/>
    </row>
    <row r="126" spans="2:14">
      <c r="B126" s="85" t="s">
        <v>432</v>
      </c>
      <c r="C126" s="66">
        <v>8988000</v>
      </c>
      <c r="D126" s="66">
        <v>-83558000</v>
      </c>
      <c r="E126" s="66">
        <v>-481551000</v>
      </c>
      <c r="F126" s="66">
        <v>-496138000</v>
      </c>
      <c r="G126" s="131">
        <v>813905000</v>
      </c>
      <c r="H126" s="131">
        <v>-854215000</v>
      </c>
      <c r="I126" s="131">
        <v>2645936000</v>
      </c>
      <c r="J126" s="131"/>
      <c r="K126" s="131"/>
      <c r="L126" s="131"/>
      <c r="M126" s="131"/>
      <c r="N126" s="131"/>
    </row>
    <row r="127" spans="2:14">
      <c r="B127" s="85" t="s">
        <v>433</v>
      </c>
      <c r="C127" s="66">
        <v>-11945903000</v>
      </c>
      <c r="D127" s="66">
        <v>-23022736000</v>
      </c>
      <c r="E127" s="66">
        <v>-21552953000</v>
      </c>
      <c r="F127" s="66">
        <v>-22343279000</v>
      </c>
      <c r="G127" s="131">
        <v>-54968976000</v>
      </c>
      <c r="H127" s="131">
        <v>-115252282000</v>
      </c>
      <c r="I127" s="131">
        <v>-46357996000</v>
      </c>
      <c r="J127" s="131"/>
      <c r="K127" s="131"/>
      <c r="L127" s="131"/>
      <c r="M127" s="131"/>
      <c r="N127" s="131"/>
    </row>
    <row r="128" spans="2:14">
      <c r="B128" s="86" t="s">
        <v>362</v>
      </c>
      <c r="C128" s="64">
        <f t="shared" ref="C128:E128" si="82">+C122+C123+C124+C125+C126+C127</f>
        <v>189822878000</v>
      </c>
      <c r="D128" s="64">
        <f t="shared" si="82"/>
        <v>185824777000</v>
      </c>
      <c r="E128" s="64">
        <f t="shared" si="82"/>
        <v>192072838000</v>
      </c>
      <c r="F128" s="64">
        <f>+F122+F123+F124+F125+F126+F127</f>
        <v>115681631000</v>
      </c>
      <c r="G128" s="64">
        <f t="shared" ref="G128:I128" si="83">+G122+G123+G124+G125+G126+G127</f>
        <v>120309420000</v>
      </c>
      <c r="H128" s="64">
        <f t="shared" si="83"/>
        <v>82672491000</v>
      </c>
      <c r="I128" s="64">
        <f t="shared" si="83"/>
        <v>167301553000</v>
      </c>
      <c r="J128" s="64"/>
      <c r="K128" s="64"/>
      <c r="L128" s="64"/>
      <c r="M128" s="64"/>
      <c r="N128" s="64"/>
    </row>
    <row r="129" spans="2:14">
      <c r="B129" s="85" t="s">
        <v>363</v>
      </c>
      <c r="C129" s="66">
        <v>-46340625000</v>
      </c>
      <c r="D129" s="66">
        <v>-46506422000</v>
      </c>
      <c r="E129" s="66">
        <v>-49352038000</v>
      </c>
      <c r="F129" s="66">
        <v>-26987579000</v>
      </c>
      <c r="G129" s="91">
        <v>-19662886000</v>
      </c>
      <c r="H129" s="91">
        <v>2578383000</v>
      </c>
      <c r="I129" s="91">
        <v>-33909237000</v>
      </c>
      <c r="J129" s="91"/>
      <c r="K129" s="91"/>
      <c r="L129" s="91"/>
      <c r="M129" s="91"/>
      <c r="N129" s="91"/>
    </row>
    <row r="130" spans="2:14">
      <c r="B130" s="85" t="s">
        <v>434</v>
      </c>
      <c r="C130" s="132"/>
      <c r="D130" s="132"/>
      <c r="E130" s="132">
        <v>-2970428000</v>
      </c>
      <c r="F130" s="132">
        <v>11671443000</v>
      </c>
      <c r="G130" s="278"/>
      <c r="H130" s="278"/>
      <c r="I130" s="278"/>
      <c r="J130" s="278"/>
      <c r="K130" s="278"/>
      <c r="L130" s="278"/>
      <c r="M130" s="278"/>
      <c r="N130" s="278"/>
    </row>
    <row r="131" spans="2:14">
      <c r="B131" s="84" t="s">
        <v>365</v>
      </c>
      <c r="C131" s="130">
        <f t="shared" ref="C131:D131" si="84">+C128+C129+C130</f>
        <v>143482253000</v>
      </c>
      <c r="D131" s="130">
        <f t="shared" si="84"/>
        <v>139318355000</v>
      </c>
      <c r="E131" s="130">
        <f>+E128+E129+E130</f>
        <v>139750372000</v>
      </c>
      <c r="F131" s="130">
        <f t="shared" ref="F131:I131" si="85">+F128+F129+F130</f>
        <v>100365495000</v>
      </c>
      <c r="G131" s="130">
        <f t="shared" si="85"/>
        <v>100646534000</v>
      </c>
      <c r="H131" s="130">
        <f t="shared" si="85"/>
        <v>85250874000</v>
      </c>
      <c r="I131" s="130">
        <f t="shared" si="85"/>
        <v>133392316000</v>
      </c>
      <c r="J131" s="130">
        <f t="shared" ref="J131:N131" si="86">+J128+J129+J130</f>
        <v>0</v>
      </c>
      <c r="K131" s="130">
        <f t="shared" si="86"/>
        <v>0</v>
      </c>
      <c r="L131" s="130">
        <f t="shared" si="86"/>
        <v>0</v>
      </c>
      <c r="M131" s="130">
        <f t="shared" si="86"/>
        <v>0</v>
      </c>
      <c r="N131" s="130">
        <f t="shared" si="86"/>
        <v>0</v>
      </c>
    </row>
    <row r="132" spans="2:14" ht="28.5">
      <c r="B132" s="87" t="s">
        <v>435</v>
      </c>
      <c r="C132" s="66">
        <v>3861973000</v>
      </c>
      <c r="D132" s="66">
        <v>3261838000</v>
      </c>
      <c r="E132" s="66">
        <v>-1986816000</v>
      </c>
      <c r="F132" s="66">
        <v>1673827000</v>
      </c>
      <c r="G132" s="91">
        <v>2005000</v>
      </c>
      <c r="H132" s="91">
        <v>2140000</v>
      </c>
      <c r="I132" s="91">
        <v>1895000</v>
      </c>
      <c r="J132" s="91"/>
      <c r="K132" s="91"/>
      <c r="L132" s="91"/>
      <c r="M132" s="91"/>
      <c r="N132" s="91"/>
    </row>
    <row r="133" spans="2:14">
      <c r="B133" s="84" t="s">
        <v>436</v>
      </c>
      <c r="C133" s="64">
        <f>+C131-C132</f>
        <v>139620280000</v>
      </c>
      <c r="D133" s="64">
        <f t="shared" ref="D133:I133" si="87">+D131-D132</f>
        <v>136056517000</v>
      </c>
      <c r="E133" s="64">
        <f t="shared" si="87"/>
        <v>141737188000</v>
      </c>
      <c r="F133" s="64">
        <f t="shared" si="87"/>
        <v>98691668000</v>
      </c>
      <c r="G133" s="64">
        <f t="shared" si="87"/>
        <v>100644529000</v>
      </c>
      <c r="H133" s="64">
        <f t="shared" si="87"/>
        <v>85248734000</v>
      </c>
      <c r="I133" s="66">
        <f t="shared" si="87"/>
        <v>133390421000</v>
      </c>
      <c r="J133" s="66">
        <f t="shared" ref="J133:N133" si="88">+J131-J132</f>
        <v>0</v>
      </c>
      <c r="K133" s="66">
        <f t="shared" si="88"/>
        <v>0</v>
      </c>
      <c r="L133" s="66">
        <f t="shared" si="88"/>
        <v>0</v>
      </c>
      <c r="M133" s="66">
        <f t="shared" si="88"/>
        <v>0</v>
      </c>
      <c r="N133" s="66">
        <f t="shared" si="88"/>
        <v>0</v>
      </c>
    </row>
    <row r="134" spans="2:14">
      <c r="B134" s="84" t="s">
        <v>366</v>
      </c>
      <c r="C134" s="111">
        <v>22.818000000000001</v>
      </c>
      <c r="D134" s="111">
        <v>22.234999999999999</v>
      </c>
      <c r="E134" s="111">
        <v>23.164000000000001</v>
      </c>
      <c r="F134" s="134">
        <v>16.129000000000001</v>
      </c>
      <c r="G134" s="134">
        <v>16.448</v>
      </c>
      <c r="H134" s="134">
        <v>13.932</v>
      </c>
      <c r="I134" s="134">
        <v>21.8</v>
      </c>
      <c r="J134" s="134"/>
      <c r="K134" s="134"/>
      <c r="L134" s="134"/>
      <c r="M134" s="134"/>
      <c r="N134" s="134"/>
    </row>
    <row r="136" spans="2:14" ht="14.65" thickBot="1">
      <c r="B136" s="75" t="s">
        <v>367</v>
      </c>
    </row>
    <row r="137" spans="2:14" ht="14.65" thickBot="1">
      <c r="B137" s="82" t="s">
        <v>308</v>
      </c>
      <c r="C137" s="88">
        <v>2017</v>
      </c>
      <c r="D137" s="88">
        <v>2018</v>
      </c>
      <c r="E137" s="88">
        <v>2019</v>
      </c>
      <c r="F137" s="88">
        <v>2020</v>
      </c>
      <c r="G137" s="88">
        <v>2021</v>
      </c>
      <c r="H137" s="88">
        <v>2022</v>
      </c>
      <c r="I137" s="88">
        <v>2023</v>
      </c>
      <c r="J137" s="88">
        <v>2024</v>
      </c>
      <c r="K137" s="88">
        <v>2025</v>
      </c>
      <c r="L137" s="88">
        <v>2026</v>
      </c>
      <c r="M137" s="88">
        <v>2027</v>
      </c>
      <c r="N137" s="88">
        <v>2028</v>
      </c>
    </row>
    <row r="138" spans="2:14">
      <c r="B138" s="83" t="s">
        <v>368</v>
      </c>
      <c r="C138" s="90">
        <v>213469168000</v>
      </c>
      <c r="D138" s="90">
        <v>245501004000</v>
      </c>
      <c r="E138" s="90">
        <v>220759469000</v>
      </c>
      <c r="F138" s="90">
        <v>185293280000</v>
      </c>
      <c r="G138" s="90">
        <v>231199221000</v>
      </c>
      <c r="H138" s="90">
        <v>242903240000</v>
      </c>
      <c r="I138" s="90">
        <v>229397451000</v>
      </c>
      <c r="J138" s="90"/>
      <c r="K138" s="90"/>
      <c r="L138" s="90"/>
      <c r="M138" s="90"/>
      <c r="N138" s="90"/>
    </row>
    <row r="139" spans="2:14">
      <c r="B139" s="86" t="s">
        <v>369</v>
      </c>
      <c r="C139" s="91">
        <v>-113828958000</v>
      </c>
      <c r="D139" s="93">
        <v>-135451049000</v>
      </c>
      <c r="E139" s="93">
        <v>-109694362000</v>
      </c>
      <c r="F139" s="66">
        <v>-78371570000</v>
      </c>
      <c r="G139" s="93">
        <v>-157685839000</v>
      </c>
      <c r="H139" s="66">
        <v>-165900708000</v>
      </c>
      <c r="I139" s="66">
        <v>-150000484000</v>
      </c>
      <c r="J139" s="66"/>
      <c r="K139" s="66"/>
      <c r="L139" s="66"/>
      <c r="M139" s="66"/>
      <c r="N139" s="66"/>
    </row>
    <row r="140" spans="2:14">
      <c r="B140" s="85" t="s">
        <v>370</v>
      </c>
      <c r="C140" s="93">
        <v>-112299077000</v>
      </c>
      <c r="D140" s="93">
        <v>-137239472000</v>
      </c>
      <c r="E140" s="93">
        <v>-125868435000</v>
      </c>
      <c r="F140" s="93">
        <v>-149004549000</v>
      </c>
      <c r="G140" s="93">
        <v>-161591752000</v>
      </c>
      <c r="H140" s="93">
        <v>-161366864000</v>
      </c>
      <c r="I140" s="93">
        <v>-149645668000</v>
      </c>
      <c r="J140" s="93"/>
      <c r="K140" s="93"/>
      <c r="L140" s="93"/>
      <c r="M140" s="93"/>
      <c r="N140" s="93"/>
    </row>
    <row r="141" spans="2:14">
      <c r="B141" s="86" t="s">
        <v>372</v>
      </c>
      <c r="C141" s="120">
        <v>-145708313000</v>
      </c>
      <c r="D141" s="120">
        <v>-88877821000</v>
      </c>
      <c r="E141" s="64">
        <v>-78982823000</v>
      </c>
      <c r="F141" s="120">
        <v>-4038882000</v>
      </c>
      <c r="G141" s="120">
        <v>-84945654000</v>
      </c>
      <c r="H141" s="120">
        <v>-61180505000</v>
      </c>
      <c r="I141" s="120">
        <v>-149575627000</v>
      </c>
      <c r="J141" s="120"/>
      <c r="K141" s="120"/>
      <c r="L141" s="120"/>
      <c r="M141" s="120"/>
      <c r="N141" s="120"/>
    </row>
    <row r="142" spans="2:14">
      <c r="B142" s="85" t="s">
        <v>373</v>
      </c>
      <c r="C142" s="93">
        <v>-141462187000</v>
      </c>
      <c r="D142" s="93">
        <v>-143316076000</v>
      </c>
      <c r="E142" s="66">
        <v>-127075487000</v>
      </c>
      <c r="F142" s="93">
        <v>-106199425000</v>
      </c>
      <c r="G142" s="93">
        <v>-108147153000</v>
      </c>
      <c r="H142" s="93">
        <v>-76170116000</v>
      </c>
      <c r="I142" s="93">
        <v>-90611501000</v>
      </c>
      <c r="J142" s="93"/>
      <c r="K142" s="93"/>
      <c r="L142" s="93"/>
      <c r="M142" s="93"/>
      <c r="N142" s="93"/>
    </row>
    <row r="143" spans="2:14">
      <c r="B143" s="85" t="s">
        <v>437</v>
      </c>
      <c r="C143" s="93"/>
      <c r="D143" s="93"/>
      <c r="E143" s="66"/>
      <c r="F143" s="93"/>
      <c r="G143" s="93"/>
      <c r="H143" s="93"/>
      <c r="I143" s="93"/>
      <c r="J143" s="93"/>
      <c r="K143" s="93"/>
      <c r="L143" s="93"/>
      <c r="M143" s="93"/>
      <c r="N143" s="93"/>
    </row>
    <row r="144" spans="2:14">
      <c r="B144" s="86" t="s">
        <v>375</v>
      </c>
      <c r="C144" s="64">
        <v>18808340000</v>
      </c>
      <c r="D144" s="64">
        <v>39980474000</v>
      </c>
      <c r="E144" s="64">
        <v>72062758000</v>
      </c>
      <c r="F144" s="64">
        <v>174945586000</v>
      </c>
      <c r="G144" s="64">
        <v>163513314000</v>
      </c>
      <c r="H144" s="64">
        <v>179335341000</v>
      </c>
      <c r="I144" s="64">
        <v>109156681000</v>
      </c>
      <c r="J144" s="64"/>
      <c r="K144" s="64"/>
      <c r="L144" s="64"/>
      <c r="M144" s="64"/>
      <c r="N144" s="64"/>
    </row>
    <row r="145" spans="2:14">
      <c r="B145" s="85"/>
      <c r="C145" s="66"/>
      <c r="D145" s="66"/>
      <c r="E145" s="66"/>
      <c r="F145" s="66"/>
      <c r="G145" s="66"/>
      <c r="H145" s="66"/>
      <c r="I145" s="66"/>
      <c r="J145" s="66"/>
      <c r="K145" s="66"/>
      <c r="L145" s="66"/>
      <c r="M145" s="66"/>
      <c r="N145" s="66"/>
    </row>
    <row r="146" spans="2:14">
      <c r="B146" s="84" t="s">
        <v>376</v>
      </c>
      <c r="C146" s="131">
        <f>+C138+C140+C143</f>
        <v>101170091000</v>
      </c>
      <c r="D146" s="131">
        <f t="shared" ref="C146:G146" si="89">+D138+D140+D143</f>
        <v>108261532000</v>
      </c>
      <c r="E146" s="131">
        <f t="shared" si="89"/>
        <v>94891034000</v>
      </c>
      <c r="F146" s="131">
        <f t="shared" si="89"/>
        <v>36288731000</v>
      </c>
      <c r="G146" s="131">
        <f t="shared" si="89"/>
        <v>69607469000</v>
      </c>
      <c r="H146" s="131">
        <f>+H138+H140+H143</f>
        <v>81536376000</v>
      </c>
      <c r="I146" s="131">
        <f>+I138+I140+I143</f>
        <v>79751783000</v>
      </c>
      <c r="J146" s="131"/>
      <c r="K146" s="131"/>
      <c r="L146" s="131"/>
      <c r="M146" s="131"/>
      <c r="N146" s="131"/>
    </row>
  </sheetData>
  <conditionalFormatting sqref="C60:H66 D67:H67 C68:H100">
    <cfRule type="cellIs" dxfId="287" priority="21" operator="lessThan">
      <formula>0</formula>
    </cfRule>
  </conditionalFormatting>
  <conditionalFormatting sqref="C114:N134">
    <cfRule type="cellIs" dxfId="286" priority="2" operator="lessThan">
      <formula>0</formula>
    </cfRule>
  </conditionalFormatting>
  <conditionalFormatting sqref="C138:N146">
    <cfRule type="cellIs" dxfId="285" priority="1" operator="lessThan">
      <formula>0</formula>
    </cfRule>
  </conditionalFormatting>
  <conditionalFormatting sqref="I60:N100 C102:N110">
    <cfRule type="cellIs" dxfId="284" priority="3" operator="lessThan">
      <formula>0</formula>
    </cfRule>
  </conditionalFormatting>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CEBF3-8F4B-431F-BB28-619DD44664D8}">
  <sheetPr codeName="Hoja20">
    <tabColor rgb="FFFF0000"/>
  </sheetPr>
  <dimension ref="B2:E25"/>
  <sheetViews>
    <sheetView topLeftCell="A9" workbookViewId="0">
      <selection activeCell="E8" sqref="E8"/>
    </sheetView>
  </sheetViews>
  <sheetFormatPr defaultColWidth="10.7109375" defaultRowHeight="14.25"/>
  <cols>
    <col min="1" max="1" width="9" customWidth="1"/>
    <col min="2" max="2" width="41.7109375" bestFit="1" customWidth="1"/>
    <col min="3" max="3" width="45.7109375" bestFit="1" customWidth="1"/>
    <col min="4" max="4" width="45.42578125" customWidth="1"/>
  </cols>
  <sheetData>
    <row r="2" spans="2:4" ht="21">
      <c r="B2" s="313">
        <f ca="1">TODAY()-1</f>
        <v>46105</v>
      </c>
      <c r="C2" s="314"/>
    </row>
    <row r="3" spans="2:4" ht="78.75">
      <c r="B3" s="376" cm="1">
        <f t="array" aca="1" ref="B3" ca="1">_FV(B6,"Precio")</f>
        <v>24.58</v>
      </c>
      <c r="C3" s="316"/>
      <c r="D3" s="1336" t="s">
        <v>438</v>
      </c>
    </row>
    <row r="4" spans="2:4" ht="28.5">
      <c r="B4" s="319"/>
      <c r="C4" s="320"/>
    </row>
    <row r="5" spans="2:4" ht="14.65" thickBot="1"/>
    <row r="6" spans="2:4" ht="25.9" thickBot="1">
      <c r="B6" s="237" t="e" vm="6">
        <v>#VALUE!</v>
      </c>
      <c r="C6" s="237" t="s">
        <v>439</v>
      </c>
      <c r="D6" s="236">
        <v>45170</v>
      </c>
    </row>
    <row r="7" spans="2:4" ht="21">
      <c r="B7" s="2" t="s">
        <v>440</v>
      </c>
      <c r="C7" s="169" t="s">
        <v>441</v>
      </c>
      <c r="D7" s="235">
        <v>2931.1</v>
      </c>
    </row>
    <row r="8" spans="2:4" ht="21">
      <c r="B8" s="2" t="s">
        <v>442</v>
      </c>
      <c r="C8" s="169" t="s">
        <v>443</v>
      </c>
      <c r="D8" s="222">
        <v>302017113</v>
      </c>
    </row>
    <row r="9" spans="2:4" ht="21">
      <c r="B9" s="2" t="s">
        <v>444</v>
      </c>
      <c r="C9" s="169"/>
      <c r="D9" s="223">
        <v>0.54759999999999998</v>
      </c>
    </row>
    <row r="10" spans="2:4" ht="21">
      <c r="B10" s="2" t="s">
        <v>445</v>
      </c>
      <c r="C10" s="169" t="s">
        <v>446</v>
      </c>
      <c r="D10" s="224">
        <f>+D8*D9</f>
        <v>165384571.07879999</v>
      </c>
    </row>
    <row r="11" spans="2:4" ht="21">
      <c r="B11" s="2" t="s">
        <v>447</v>
      </c>
      <c r="C11" s="169" t="s">
        <v>448</v>
      </c>
      <c r="D11" s="225">
        <f>+D7*D8</f>
        <v>885242359914.29993</v>
      </c>
    </row>
    <row r="12" spans="2:4" ht="21">
      <c r="B12" s="2" t="s">
        <v>449</v>
      </c>
      <c r="C12" s="169" t="s">
        <v>450</v>
      </c>
      <c r="D12" s="225">
        <f>+D11*D9</f>
        <v>484758716289.07062</v>
      </c>
    </row>
    <row r="13" spans="2:4" ht="21">
      <c r="B13" s="2" t="s">
        <v>451</v>
      </c>
      <c r="C13" s="169" t="s">
        <v>452</v>
      </c>
      <c r="D13" s="226">
        <v>206689544000</v>
      </c>
    </row>
    <row r="14" spans="2:4" ht="21">
      <c r="B14" s="2" t="s">
        <v>453</v>
      </c>
      <c r="C14" s="169" t="s">
        <v>454</v>
      </c>
      <c r="D14" s="226">
        <v>209811976000</v>
      </c>
    </row>
    <row r="15" spans="2:4" ht="21">
      <c r="B15" s="2" t="s">
        <v>455</v>
      </c>
      <c r="C15" s="169" t="s">
        <v>456</v>
      </c>
      <c r="D15" s="225">
        <f>+D14-D13</f>
        <v>3122432000</v>
      </c>
    </row>
    <row r="16" spans="2:4" ht="21">
      <c r="B16" s="2" t="s">
        <v>457</v>
      </c>
      <c r="C16" s="169" t="s">
        <v>458</v>
      </c>
      <c r="D16" s="226">
        <f>2927866545000+1103117081000</f>
        <v>4030983626000</v>
      </c>
    </row>
    <row r="17" spans="2:5" ht="21">
      <c r="B17" s="2" t="s">
        <v>459</v>
      </c>
      <c r="C17" s="169" t="s">
        <v>460</v>
      </c>
      <c r="D17" s="226">
        <v>4093061555000</v>
      </c>
    </row>
    <row r="18" spans="2:5" ht="21">
      <c r="B18" s="2" t="s">
        <v>461</v>
      </c>
      <c r="C18" s="169" t="s">
        <v>456</v>
      </c>
      <c r="D18" s="225">
        <f>+D17-D16</f>
        <v>62077929000</v>
      </c>
    </row>
    <row r="19" spans="2:5" ht="21">
      <c r="B19" s="1" t="s">
        <v>462</v>
      </c>
      <c r="C19" s="227" t="s">
        <v>463</v>
      </c>
      <c r="D19" s="228">
        <f>+D18-D15</f>
        <v>58955497000</v>
      </c>
    </row>
    <row r="20" spans="2:5" ht="21">
      <c r="B20" s="2" t="s">
        <v>464</v>
      </c>
      <c r="C20" s="169" t="s">
        <v>465</v>
      </c>
      <c r="D20" s="225">
        <f>+D12-D19</f>
        <v>425803219289.07062</v>
      </c>
    </row>
    <row r="21" spans="2:5" ht="21">
      <c r="B21" s="2" t="s">
        <v>466</v>
      </c>
      <c r="C21" s="169"/>
      <c r="D21" s="229">
        <v>18017579131</v>
      </c>
    </row>
    <row r="22" spans="2:5" ht="21">
      <c r="B22" s="2" t="s">
        <v>467</v>
      </c>
      <c r="C22" s="169" t="s">
        <v>467</v>
      </c>
      <c r="D22" s="230">
        <f>+D20/D21</f>
        <v>23.632654320161045</v>
      </c>
    </row>
    <row r="23" spans="2:5" ht="21">
      <c r="B23" s="2" t="s">
        <v>468</v>
      </c>
      <c r="C23" s="169"/>
      <c r="D23" s="221">
        <v>21.35</v>
      </c>
    </row>
    <row r="24" spans="2:5" ht="21">
      <c r="B24" s="2" t="s">
        <v>469</v>
      </c>
      <c r="C24" s="2"/>
      <c r="D24" s="231">
        <f>+D22-D23</f>
        <v>2.2826543201610434</v>
      </c>
      <c r="E24" s="126"/>
    </row>
    <row r="25" spans="2:5" ht="21">
      <c r="B25" s="232" t="s">
        <v>470</v>
      </c>
      <c r="C25" s="233"/>
      <c r="D25" s="234">
        <f>+D24/D23</f>
        <v>0.10691589321597392</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9842-8C07-4E43-8AA8-735E3D32ABBF}">
  <sheetPr codeName="Hoja17"/>
  <dimension ref="B2:P138"/>
  <sheetViews>
    <sheetView zoomScale="80" zoomScaleNormal="80" workbookViewId="0">
      <pane ySplit="6" topLeftCell="B58" activePane="bottomLeft" state="frozen"/>
      <selection pane="bottomLeft" activeCell="B71" sqref="B71"/>
    </sheetView>
  </sheetViews>
  <sheetFormatPr defaultColWidth="10.7109375" defaultRowHeight="14.25"/>
  <cols>
    <col min="1" max="1" width="7.7109375" customWidth="1"/>
    <col min="2" max="2" width="50.42578125" customWidth="1"/>
    <col min="3" max="3" width="35.28515625" customWidth="1"/>
    <col min="4" max="4" width="37" bestFit="1" customWidth="1"/>
    <col min="5" max="8" width="35.28515625" customWidth="1"/>
    <col min="9" max="9" width="23.42578125" bestFit="1" customWidth="1"/>
    <col min="11" max="11" width="12.28515625" bestFit="1" customWidth="1"/>
  </cols>
  <sheetData>
    <row r="2" spans="2:16" ht="21">
      <c r="B2" s="313">
        <f ca="1">TODAY()-1</f>
        <v>46105</v>
      </c>
      <c r="C2" s="314"/>
      <c r="D2" s="344" t="s">
        <v>265</v>
      </c>
      <c r="E2" s="345" t="s">
        <v>266</v>
      </c>
    </row>
    <row r="3" spans="2:16" ht="25.5">
      <c r="B3" s="376" cm="1">
        <f t="array" aca="1" ref="B3" ca="1">_FV(B6,"Precio")</f>
        <v>2600</v>
      </c>
      <c r="C3" s="316"/>
      <c r="D3" s="346">
        <f>AVERAGE(C44:J44)</f>
        <v>163.40585714285712</v>
      </c>
      <c r="E3" s="346">
        <f>AVERAGE(C43:J43)</f>
        <v>232.25700000000001</v>
      </c>
    </row>
    <row r="4" spans="2:16" ht="28.5">
      <c r="B4" s="319"/>
      <c r="C4" s="320"/>
      <c r="D4" s="328"/>
      <c r="E4" s="328"/>
    </row>
    <row r="6" spans="2:16" ht="33.75">
      <c r="B6" s="3" t="e" vm="7">
        <v>#VALUE!</v>
      </c>
      <c r="C6" s="3">
        <v>2017</v>
      </c>
      <c r="D6" s="3">
        <v>2018</v>
      </c>
      <c r="E6" s="3">
        <v>2019</v>
      </c>
      <c r="F6" s="3">
        <v>2020</v>
      </c>
      <c r="G6" s="3">
        <v>2021</v>
      </c>
      <c r="H6" s="3">
        <v>2022</v>
      </c>
      <c r="I6" s="251">
        <v>2023</v>
      </c>
      <c r="J6" s="3">
        <v>2024</v>
      </c>
      <c r="K6" s="3">
        <v>2025</v>
      </c>
      <c r="L6" s="3">
        <v>2026</v>
      </c>
      <c r="M6" s="3"/>
      <c r="N6" s="3"/>
      <c r="O6" s="3"/>
      <c r="P6" s="3"/>
    </row>
    <row r="7" spans="2:16" ht="25.5">
      <c r="B7" s="4" t="s">
        <v>267</v>
      </c>
      <c r="C7" s="5">
        <f>+C58</f>
        <v>151879608000</v>
      </c>
      <c r="D7" s="5">
        <f t="shared" ref="D7:H7" si="0">+D58</f>
        <v>171777619000</v>
      </c>
      <c r="E7" s="5">
        <f t="shared" si="0"/>
        <v>164884687000</v>
      </c>
      <c r="F7" s="5">
        <f t="shared" si="0"/>
        <v>173765217000</v>
      </c>
      <c r="G7" s="5">
        <f t="shared" si="0"/>
        <v>202868299000</v>
      </c>
      <c r="H7" s="5">
        <f t="shared" si="0"/>
        <v>234849123000</v>
      </c>
      <c r="I7" s="252">
        <f t="shared" ref="I7" si="1">+I58</f>
        <v>0</v>
      </c>
    </row>
    <row r="8" spans="2:16" ht="25.5">
      <c r="B8" s="211" t="s">
        <v>471</v>
      </c>
      <c r="C8" s="212">
        <f>+C64</f>
        <v>48155878000</v>
      </c>
      <c r="D8" s="212">
        <f t="shared" ref="D8:H8" si="2">+D64</f>
        <v>54833575000</v>
      </c>
      <c r="E8" s="212">
        <f t="shared" si="2"/>
        <v>56383490000</v>
      </c>
      <c r="F8" s="212">
        <f t="shared" si="2"/>
        <v>59423360000</v>
      </c>
      <c r="G8" s="212">
        <f t="shared" si="2"/>
        <v>66994665000</v>
      </c>
      <c r="H8" s="212">
        <f t="shared" si="2"/>
        <v>89984406000</v>
      </c>
      <c r="I8" s="252">
        <f t="shared" ref="I8" si="3">+I64</f>
        <v>0</v>
      </c>
    </row>
    <row r="9" spans="2:16" ht="25.5">
      <c r="B9" s="4" t="s">
        <v>269</v>
      </c>
      <c r="C9" s="5">
        <f>+C68</f>
        <v>48771960000</v>
      </c>
      <c r="D9" s="5">
        <f t="shared" ref="D9:H9" si="4">+D68</f>
        <v>49853310000</v>
      </c>
      <c r="E9" s="5">
        <f t="shared" si="4"/>
        <v>56835988000</v>
      </c>
      <c r="F9" s="5">
        <f t="shared" si="4"/>
        <v>54210228000</v>
      </c>
      <c r="G9" s="5">
        <f t="shared" si="4"/>
        <v>59153916000</v>
      </c>
      <c r="H9" s="5">
        <f t="shared" si="4"/>
        <v>61542215000</v>
      </c>
      <c r="I9" s="252">
        <f t="shared" ref="I9" si="5">+I68</f>
        <v>0</v>
      </c>
    </row>
    <row r="10" spans="2:16" ht="25.5">
      <c r="B10" s="8" t="s">
        <v>272</v>
      </c>
      <c r="C10" s="9">
        <f t="shared" ref="C10" si="6">+C7+C9</f>
        <v>200651568000</v>
      </c>
      <c r="D10" s="9">
        <f t="shared" ref="D10:H10" si="7">+D7+D9</f>
        <v>221630929000</v>
      </c>
      <c r="E10" s="9">
        <f t="shared" si="7"/>
        <v>221720675000</v>
      </c>
      <c r="F10" s="9">
        <f t="shared" si="7"/>
        <v>227975445000</v>
      </c>
      <c r="G10" s="9">
        <f t="shared" si="7"/>
        <v>262022215000</v>
      </c>
      <c r="H10" s="9">
        <f t="shared" si="7"/>
        <v>296391338000</v>
      </c>
      <c r="I10" s="238">
        <f t="shared" ref="I10" si="8">+I7+I9</f>
        <v>0</v>
      </c>
      <c r="J10" s="213" t="s">
        <v>472</v>
      </c>
    </row>
    <row r="11" spans="2:16" ht="25.5">
      <c r="B11" s="10" t="s">
        <v>273</v>
      </c>
      <c r="C11" s="11">
        <f>+C81</f>
        <v>88225173000</v>
      </c>
      <c r="D11" s="11">
        <f t="shared" ref="D11:H11" si="9">+D81</f>
        <v>76085281000</v>
      </c>
      <c r="E11" s="11">
        <f t="shared" si="9"/>
        <v>60650736000</v>
      </c>
      <c r="F11" s="11">
        <f t="shared" si="9"/>
        <v>85606829000</v>
      </c>
      <c r="G11" s="11">
        <f t="shared" si="9"/>
        <v>80522199000</v>
      </c>
      <c r="H11" s="11">
        <f t="shared" si="9"/>
        <v>95952963000</v>
      </c>
      <c r="I11" s="252">
        <f t="shared" ref="I11" si="10">+I81</f>
        <v>0</v>
      </c>
    </row>
    <row r="12" spans="2:16" ht="25.5">
      <c r="B12" s="10" t="s">
        <v>274</v>
      </c>
      <c r="C12" s="11">
        <f>+C90</f>
        <v>12099696000</v>
      </c>
      <c r="D12" s="11">
        <f t="shared" ref="D12:H12" si="11">+D90</f>
        <v>38723216000</v>
      </c>
      <c r="E12" s="11">
        <f t="shared" si="11"/>
        <v>49182469000</v>
      </c>
      <c r="F12" s="11">
        <f t="shared" si="11"/>
        <v>22604867000</v>
      </c>
      <c r="G12" s="11">
        <f t="shared" si="11"/>
        <v>56087851000</v>
      </c>
      <c r="H12" s="11">
        <f t="shared" si="11"/>
        <v>65556118000</v>
      </c>
      <c r="I12" s="252">
        <f t="shared" ref="I12" si="12">+I90</f>
        <v>0</v>
      </c>
    </row>
    <row r="13" spans="2:16" ht="25.5">
      <c r="B13" s="12" t="s">
        <v>275</v>
      </c>
      <c r="C13" s="13">
        <f t="shared" ref="C13" si="13">SUM(C11:C12)</f>
        <v>100324869000</v>
      </c>
      <c r="D13" s="13">
        <f t="shared" ref="D13:H13" si="14">SUM(D11:D12)</f>
        <v>114808497000</v>
      </c>
      <c r="E13" s="13">
        <f t="shared" si="14"/>
        <v>109833205000</v>
      </c>
      <c r="F13" s="13">
        <f t="shared" si="14"/>
        <v>108211696000</v>
      </c>
      <c r="G13" s="13">
        <f t="shared" si="14"/>
        <v>136610050000</v>
      </c>
      <c r="H13" s="13">
        <f t="shared" si="14"/>
        <v>161509081000</v>
      </c>
      <c r="I13" s="238">
        <f t="shared" ref="I13" si="15">SUM(I11:I12)</f>
        <v>0</v>
      </c>
    </row>
    <row r="14" spans="2:16" ht="25.5">
      <c r="B14" s="14" t="s">
        <v>473</v>
      </c>
      <c r="C14" s="15">
        <f>+C102</f>
        <v>99102312000</v>
      </c>
      <c r="D14" s="15">
        <f t="shared" ref="D14:H14" si="16">+D102</f>
        <v>105716809000</v>
      </c>
      <c r="E14" s="15">
        <f t="shared" si="16"/>
        <v>110559836000</v>
      </c>
      <c r="F14" s="15">
        <f t="shared" si="16"/>
        <v>118415550000</v>
      </c>
      <c r="G14" s="15">
        <f t="shared" si="16"/>
        <v>124234457000</v>
      </c>
      <c r="H14" s="15">
        <f t="shared" si="16"/>
        <v>133520577000</v>
      </c>
      <c r="I14" s="238">
        <f t="shared" ref="I14" si="17">+I102</f>
        <v>0</v>
      </c>
      <c r="J14" s="213" t="s">
        <v>472</v>
      </c>
    </row>
    <row r="15" spans="2:16" ht="25.5">
      <c r="B15" s="79" t="s">
        <v>278</v>
      </c>
      <c r="C15" s="80">
        <v>22000000</v>
      </c>
      <c r="D15" s="80">
        <v>22000000</v>
      </c>
      <c r="E15" s="80">
        <v>22000000</v>
      </c>
      <c r="F15" s="80">
        <v>22000000</v>
      </c>
      <c r="G15" s="80">
        <v>22000000</v>
      </c>
      <c r="H15" s="80">
        <v>22000000</v>
      </c>
      <c r="I15" s="252">
        <v>22000001</v>
      </c>
      <c r="J15" s="213"/>
    </row>
    <row r="16" spans="2:16">
      <c r="I16" s="253"/>
    </row>
    <row r="17" spans="2:10" ht="25.5">
      <c r="B17" s="18" t="s">
        <v>279</v>
      </c>
      <c r="C17" s="19">
        <f t="shared" ref="C17:H17" si="18">(C14/C15)</f>
        <v>4504.6505454545459</v>
      </c>
      <c r="D17" s="19">
        <f t="shared" si="18"/>
        <v>4805.3095000000003</v>
      </c>
      <c r="E17" s="19">
        <f t="shared" si="18"/>
        <v>5025.4470909090905</v>
      </c>
      <c r="F17" s="19">
        <f t="shared" si="18"/>
        <v>5382.5249999999996</v>
      </c>
      <c r="G17" s="19">
        <f t="shared" si="18"/>
        <v>5647.0207727272727</v>
      </c>
      <c r="H17" s="19">
        <f t="shared" si="18"/>
        <v>6069.1171363636367</v>
      </c>
      <c r="I17" s="254">
        <f t="shared" ref="I17" si="19">(I14/I15)</f>
        <v>0</v>
      </c>
    </row>
    <row r="18" spans="2:10" ht="25.5">
      <c r="B18" s="76" t="s">
        <v>282</v>
      </c>
      <c r="C18" s="77">
        <v>1801</v>
      </c>
      <c r="D18" s="77">
        <v>1801</v>
      </c>
      <c r="E18" s="77">
        <v>1801</v>
      </c>
      <c r="F18" s="77">
        <v>1801</v>
      </c>
      <c r="G18" s="77">
        <v>2302</v>
      </c>
      <c r="H18" s="77">
        <v>2302</v>
      </c>
      <c r="I18" s="254">
        <v>2303</v>
      </c>
      <c r="J18" s="77"/>
    </row>
    <row r="19" spans="2:10" ht="25.5">
      <c r="B19" s="18" t="s">
        <v>283</v>
      </c>
      <c r="C19" s="22">
        <f>+C18/C39</f>
        <v>4.3788308691772606</v>
      </c>
      <c r="D19" s="22">
        <f t="shared" ref="D19:H19" si="20">+D18/D39</f>
        <v>6.6960136225396516</v>
      </c>
      <c r="E19" s="22">
        <f t="shared" si="20"/>
        <v>9.6820669411979736</v>
      </c>
      <c r="F19" s="22">
        <f t="shared" si="20"/>
        <v>2.6619487652459752</v>
      </c>
      <c r="G19" s="22">
        <f t="shared" si="20"/>
        <v>2.5928650031932112</v>
      </c>
      <c r="H19" s="22">
        <f t="shared" si="20"/>
        <v>2.9800818681048389</v>
      </c>
      <c r="I19" s="246" t="e">
        <f t="shared" ref="I19" si="21">+I18/I39</f>
        <v>#DIV/0!</v>
      </c>
    </row>
    <row r="20" spans="2:10" ht="25.5">
      <c r="B20" s="18" t="s">
        <v>474</v>
      </c>
      <c r="C20" s="22">
        <f>+C18/C17</f>
        <v>0.39980903775484061</v>
      </c>
      <c r="D20" s="22">
        <f t="shared" ref="D20:H20" si="22">+D18/D17</f>
        <v>0.37479375678091076</v>
      </c>
      <c r="E20" s="22">
        <f t="shared" si="22"/>
        <v>0.35837607429157187</v>
      </c>
      <c r="F20" s="22">
        <f t="shared" si="22"/>
        <v>0.33460132558604005</v>
      </c>
      <c r="G20" s="22">
        <f t="shared" si="22"/>
        <v>0.40764858013586358</v>
      </c>
      <c r="H20" s="22">
        <f t="shared" si="22"/>
        <v>0.37929734231151502</v>
      </c>
      <c r="I20" s="246" t="e">
        <f t="shared" ref="I20" si="23">+I18/I17</f>
        <v>#DIV/0!</v>
      </c>
    </row>
    <row r="21" spans="2:10" ht="25.5">
      <c r="B21" s="18" t="s">
        <v>285</v>
      </c>
      <c r="C21" s="22">
        <f>+C19*C20</f>
        <v>1.750696156296953</v>
      </c>
      <c r="D21" s="22">
        <f t="shared" ref="D21:H21" si="24">+D19*D20</f>
        <v>2.5096241010477915</v>
      </c>
      <c r="E21" s="22">
        <f t="shared" si="24"/>
        <v>3.4698211414147369</v>
      </c>
      <c r="F21" s="22">
        <f t="shared" si="24"/>
        <v>0.89069158549342586</v>
      </c>
      <c r="G21" s="22">
        <f t="shared" si="24"/>
        <v>1.0569777370356839</v>
      </c>
      <c r="H21" s="22">
        <f t="shared" si="24"/>
        <v>1.1303371324429001</v>
      </c>
      <c r="I21" s="246" t="e">
        <f t="shared" ref="I21" si="25">+I19*I20</f>
        <v>#DIV/0!</v>
      </c>
    </row>
    <row r="22" spans="2:10" ht="25.5">
      <c r="B22" s="23" t="s">
        <v>286</v>
      </c>
      <c r="C22" s="24">
        <f>IF(C40&lt;10%,0,IF(15%&lt;C41,2,1))</f>
        <v>0</v>
      </c>
      <c r="D22" s="24">
        <f t="shared" ref="D22:H22" si="26">IF(D40&lt;10%,0,IF(15%&lt;D41,2,1))</f>
        <v>0</v>
      </c>
      <c r="E22" s="24">
        <f t="shared" si="26"/>
        <v>0</v>
      </c>
      <c r="F22" s="24">
        <f t="shared" si="26"/>
        <v>1</v>
      </c>
      <c r="G22" s="24">
        <f t="shared" si="26"/>
        <v>1</v>
      </c>
      <c r="H22" s="24">
        <f t="shared" si="26"/>
        <v>1</v>
      </c>
      <c r="I22" s="246" t="e">
        <f t="shared" ref="I22" si="27">IF(I40&lt;10%,0,IF(15%&lt;I41,2,1))</f>
        <v>#DIV/0!</v>
      </c>
    </row>
    <row r="23" spans="2:10" ht="25.5">
      <c r="B23" s="23" t="s">
        <v>287</v>
      </c>
      <c r="C23" s="24">
        <f>IF(C40&lt;10%,1,IF(15%&lt;C41,2.5,2))</f>
        <v>1</v>
      </c>
      <c r="D23" s="24">
        <f t="shared" ref="D23:H23" si="28">IF(D40&lt;10%,1,IF(15%&lt;D41,2.5,2))</f>
        <v>1</v>
      </c>
      <c r="E23" s="24">
        <f t="shared" si="28"/>
        <v>1</v>
      </c>
      <c r="F23" s="24">
        <f t="shared" si="28"/>
        <v>2</v>
      </c>
      <c r="G23" s="24">
        <f t="shared" si="28"/>
        <v>2</v>
      </c>
      <c r="H23" s="24">
        <f t="shared" si="28"/>
        <v>2</v>
      </c>
      <c r="I23" s="246" t="e">
        <f t="shared" ref="I23" si="29">IF(I40&lt;10%,1,IF(15%&lt;I41,2.5,2))</f>
        <v>#DIV/0!</v>
      </c>
    </row>
    <row r="24" spans="2:10" ht="25.5">
      <c r="B24" s="25" t="s">
        <v>288</v>
      </c>
      <c r="C24" s="26">
        <f t="shared" ref="C24:H24" si="30">+C22*C17</f>
        <v>0</v>
      </c>
      <c r="D24" s="26">
        <f t="shared" si="30"/>
        <v>0</v>
      </c>
      <c r="E24" s="26">
        <f t="shared" si="30"/>
        <v>0</v>
      </c>
      <c r="F24" s="26">
        <f t="shared" si="30"/>
        <v>5382.5249999999996</v>
      </c>
      <c r="G24" s="26">
        <f t="shared" si="30"/>
        <v>5647.0207727272727</v>
      </c>
      <c r="H24" s="26">
        <f t="shared" si="30"/>
        <v>6069.1171363636367</v>
      </c>
      <c r="I24" s="246" t="e">
        <f t="shared" ref="I24" si="31">+I22*I17</f>
        <v>#DIV/0!</v>
      </c>
    </row>
    <row r="25" spans="2:10" ht="25.5">
      <c r="B25" s="25" t="s">
        <v>289</v>
      </c>
      <c r="C25" s="26">
        <f>AVERAGE(C24,C26)</f>
        <v>2252.3252727272729</v>
      </c>
      <c r="D25" s="26">
        <f t="shared" ref="D25:H25" si="32">AVERAGE(D24,D26)</f>
        <v>2402.6547500000001</v>
      </c>
      <c r="E25" s="26">
        <f t="shared" si="32"/>
        <v>2512.7235454545453</v>
      </c>
      <c r="F25" s="26">
        <f t="shared" si="32"/>
        <v>8073.7874999999995</v>
      </c>
      <c r="G25" s="26">
        <f t="shared" si="32"/>
        <v>8470.5311590909096</v>
      </c>
      <c r="H25" s="26">
        <f t="shared" si="32"/>
        <v>9103.6757045454542</v>
      </c>
      <c r="I25" s="246" t="e">
        <f t="shared" ref="I25" si="33">AVERAGE(I24,I26)</f>
        <v>#DIV/0!</v>
      </c>
    </row>
    <row r="26" spans="2:10" ht="25.5">
      <c r="B26" s="25" t="s">
        <v>290</v>
      </c>
      <c r="C26" s="26">
        <f t="shared" ref="C26:H26" si="34">+C17*C23</f>
        <v>4504.6505454545459</v>
      </c>
      <c r="D26" s="26">
        <f t="shared" si="34"/>
        <v>4805.3095000000003</v>
      </c>
      <c r="E26" s="26">
        <f t="shared" si="34"/>
        <v>5025.4470909090905</v>
      </c>
      <c r="F26" s="26">
        <f t="shared" si="34"/>
        <v>10765.05</v>
      </c>
      <c r="G26" s="26">
        <f t="shared" si="34"/>
        <v>11294.041545454545</v>
      </c>
      <c r="H26" s="26">
        <f t="shared" si="34"/>
        <v>12138.234272727273</v>
      </c>
      <c r="I26" s="246" t="e">
        <f t="shared" ref="I26" si="35">+I17*I23</f>
        <v>#DIV/0!</v>
      </c>
    </row>
    <row r="27" spans="2:10">
      <c r="I27" s="253"/>
    </row>
    <row r="28" spans="2:10" ht="25.5">
      <c r="B28" s="27" t="s">
        <v>291</v>
      </c>
      <c r="C28" s="28">
        <f t="shared" ref="C28:H28" si="36">C7-C11</f>
        <v>63654435000</v>
      </c>
      <c r="D28" s="28">
        <f t="shared" si="36"/>
        <v>95692338000</v>
      </c>
      <c r="E28" s="28">
        <f t="shared" si="36"/>
        <v>104233951000</v>
      </c>
      <c r="F28" s="28">
        <f t="shared" si="36"/>
        <v>88158388000</v>
      </c>
      <c r="G28" s="28">
        <f t="shared" si="36"/>
        <v>122346100000</v>
      </c>
      <c r="H28" s="28">
        <f t="shared" si="36"/>
        <v>138896160000</v>
      </c>
      <c r="I28" s="29">
        <f t="shared" ref="I28" si="37">I7-I11</f>
        <v>0</v>
      </c>
    </row>
    <row r="29" spans="2:10" ht="25.5">
      <c r="B29" s="30" t="s">
        <v>149</v>
      </c>
      <c r="C29" s="204">
        <f t="shared" ref="C29:H29" si="38">C7/C11</f>
        <v>1.7214996903434805</v>
      </c>
      <c r="D29" s="204">
        <f t="shared" si="38"/>
        <v>2.2576984239566653</v>
      </c>
      <c r="E29" s="204">
        <f t="shared" si="38"/>
        <v>2.7185933407304406</v>
      </c>
      <c r="F29" s="204">
        <f t="shared" si="38"/>
        <v>2.0298055544143563</v>
      </c>
      <c r="G29" s="204">
        <f t="shared" si="38"/>
        <v>2.5194083311112752</v>
      </c>
      <c r="H29" s="204">
        <f t="shared" si="38"/>
        <v>2.4475442514474515</v>
      </c>
      <c r="I29" s="518" t="e">
        <f t="shared" ref="I29" si="39">I7/I11</f>
        <v>#DIV/0!</v>
      </c>
      <c r="J29" s="213" t="s">
        <v>472</v>
      </c>
    </row>
    <row r="30" spans="2:10" ht="25.5">
      <c r="B30" s="30" t="s">
        <v>292</v>
      </c>
      <c r="C30" s="204">
        <f t="shared" ref="C30:H30" si="40">+(C7-C8)/C11</f>
        <v>1.1756704631228097</v>
      </c>
      <c r="D30" s="204">
        <f t="shared" si="40"/>
        <v>1.5370127107764773</v>
      </c>
      <c r="E30" s="204">
        <f t="shared" si="40"/>
        <v>1.7889510359775354</v>
      </c>
      <c r="F30" s="204">
        <f t="shared" si="40"/>
        <v>1.3356628009197724</v>
      </c>
      <c r="G30" s="204">
        <f t="shared" si="40"/>
        <v>1.6874059040538623</v>
      </c>
      <c r="H30" s="204">
        <f t="shared" si="40"/>
        <v>1.5097471976972718</v>
      </c>
      <c r="I30" s="518" t="e">
        <f t="shared" ref="I30" si="41">+(I7-I8)/I11</f>
        <v>#DIV/0!</v>
      </c>
      <c r="J30" s="213" t="s">
        <v>472</v>
      </c>
    </row>
    <row r="31" spans="2:10" ht="25.5">
      <c r="B31" s="32" t="s">
        <v>153</v>
      </c>
      <c r="C31" s="33">
        <f t="shared" ref="C31:H31" si="42">C13/C10</f>
        <v>0.4999954398562188</v>
      </c>
      <c r="D31" s="33">
        <f t="shared" si="42"/>
        <v>0.5180165851310401</v>
      </c>
      <c r="E31" s="33">
        <f t="shared" si="42"/>
        <v>0.49536744825443096</v>
      </c>
      <c r="F31" s="33">
        <f t="shared" si="42"/>
        <v>0.47466382179887839</v>
      </c>
      <c r="G31" s="33">
        <f t="shared" si="42"/>
        <v>0.52136819773086795</v>
      </c>
      <c r="H31" s="33">
        <f t="shared" si="42"/>
        <v>0.54491835722945448</v>
      </c>
      <c r="I31" s="239" t="e">
        <f t="shared" ref="I31" si="43">I13/I10</f>
        <v>#DIV/0!</v>
      </c>
      <c r="J31" s="213" t="s">
        <v>472</v>
      </c>
    </row>
    <row r="32" spans="2:10">
      <c r="I32" s="253"/>
    </row>
    <row r="33" spans="2:11">
      <c r="I33" s="253"/>
    </row>
    <row r="34" spans="2:11" ht="25.5">
      <c r="B34" s="35" t="s">
        <v>293</v>
      </c>
      <c r="C34" s="36">
        <f>+C108</f>
        <v>172808914000</v>
      </c>
      <c r="D34" s="36">
        <f t="shared" ref="D34:H34" si="44">+D108</f>
        <v>174580741000</v>
      </c>
      <c r="E34" s="36">
        <f t="shared" si="44"/>
        <v>186046901000</v>
      </c>
      <c r="F34" s="36">
        <f t="shared" si="44"/>
        <v>225071441000</v>
      </c>
      <c r="G34" s="36">
        <f t="shared" si="44"/>
        <v>248484804000</v>
      </c>
      <c r="H34" s="36">
        <f t="shared" si="44"/>
        <v>270058911000</v>
      </c>
      <c r="I34" s="252">
        <f t="shared" ref="I34" si="45">+I108</f>
        <v>0</v>
      </c>
      <c r="J34" s="213" t="s">
        <v>472</v>
      </c>
    </row>
    <row r="35" spans="2:11" ht="25.5">
      <c r="B35" s="39" t="s">
        <v>156</v>
      </c>
      <c r="C35" s="40">
        <f>+C116</f>
        <v>15422202000</v>
      </c>
      <c r="D35" s="40">
        <f t="shared" ref="D35:H35" si="46">+D116</f>
        <v>17369424000</v>
      </c>
      <c r="E35" s="40">
        <f t="shared" si="46"/>
        <v>15128605000</v>
      </c>
      <c r="F35" s="40">
        <f t="shared" si="46"/>
        <v>27418687000</v>
      </c>
      <c r="G35" s="40">
        <f t="shared" si="46"/>
        <v>31791243000</v>
      </c>
      <c r="H35" s="40">
        <f t="shared" si="46"/>
        <v>28337095000</v>
      </c>
      <c r="I35" s="238">
        <f t="shared" ref="I35" si="47">+I116</f>
        <v>0</v>
      </c>
      <c r="J35" s="213" t="s">
        <v>472</v>
      </c>
    </row>
    <row r="36" spans="2:11" ht="25.5">
      <c r="B36" s="35" t="s">
        <v>381</v>
      </c>
      <c r="C36" s="41">
        <f>C35/C34</f>
        <v>8.9244250444164008E-2</v>
      </c>
      <c r="D36" s="41">
        <f t="shared" ref="D36:H36" si="48">D35/D34</f>
        <v>9.9492211457620064E-2</v>
      </c>
      <c r="E36" s="41">
        <f t="shared" si="48"/>
        <v>8.1316081690605529E-2</v>
      </c>
      <c r="F36" s="41">
        <f t="shared" si="48"/>
        <v>0.12182215068325794</v>
      </c>
      <c r="G36" s="41">
        <f t="shared" si="48"/>
        <v>0.12794039107518221</v>
      </c>
      <c r="H36" s="41">
        <f t="shared" si="48"/>
        <v>0.1049293092942969</v>
      </c>
      <c r="I36" s="239" t="e">
        <f t="shared" ref="I36" si="49">I35/I34</f>
        <v>#DIV/0!</v>
      </c>
    </row>
    <row r="37" spans="2:11" ht="25.5">
      <c r="B37" s="43" t="s">
        <v>295</v>
      </c>
      <c r="C37" s="44">
        <f>+C124</f>
        <v>9048525000</v>
      </c>
      <c r="D37" s="44">
        <f t="shared" ref="D37:H37" si="50">+D124</f>
        <v>5917243000</v>
      </c>
      <c r="E37" s="44">
        <f t="shared" si="50"/>
        <v>4092299000</v>
      </c>
      <c r="F37" s="44">
        <f t="shared" si="50"/>
        <v>14884582000</v>
      </c>
      <c r="G37" s="44">
        <f t="shared" si="50"/>
        <v>19532052000</v>
      </c>
      <c r="H37" s="44">
        <f t="shared" si="50"/>
        <v>16994156000</v>
      </c>
      <c r="I37" s="238">
        <f t="shared" ref="I37" si="51">+I124</f>
        <v>0</v>
      </c>
      <c r="J37" s="213" t="s">
        <v>472</v>
      </c>
    </row>
    <row r="38" spans="2:11" ht="25.5">
      <c r="B38" s="30" t="s">
        <v>296</v>
      </c>
      <c r="C38" s="45">
        <f>C37/C34</f>
        <v>5.2361448206311854E-2</v>
      </c>
      <c r="D38" s="45">
        <f t="shared" ref="D38:H38" si="52">D37/D34</f>
        <v>3.3894019272148697E-2</v>
      </c>
      <c r="E38" s="45">
        <f t="shared" si="52"/>
        <v>2.1996061089993645E-2</v>
      </c>
      <c r="F38" s="45">
        <f t="shared" si="52"/>
        <v>6.6132699616918519E-2</v>
      </c>
      <c r="G38" s="45">
        <f t="shared" si="52"/>
        <v>7.8604613584338137E-2</v>
      </c>
      <c r="H38" s="45">
        <f t="shared" si="52"/>
        <v>6.2927588417921149E-2</v>
      </c>
      <c r="I38" s="239" t="e">
        <f t="shared" ref="I38" si="53">I37/I34</f>
        <v>#DIV/0!</v>
      </c>
    </row>
    <row r="39" spans="2:11" ht="25.5">
      <c r="B39" s="46" t="s">
        <v>475</v>
      </c>
      <c r="C39" s="47">
        <f>+C127</f>
        <v>411.29700000000003</v>
      </c>
      <c r="D39" s="47">
        <f t="shared" ref="D39:H39" si="54">+D127</f>
        <v>268.96600000000001</v>
      </c>
      <c r="E39" s="47">
        <f t="shared" si="54"/>
        <v>186.01400000000001</v>
      </c>
      <c r="F39" s="47">
        <f t="shared" si="54"/>
        <v>676.572</v>
      </c>
      <c r="G39" s="47">
        <f t="shared" si="54"/>
        <v>887.82100000000003</v>
      </c>
      <c r="H39" s="47">
        <f t="shared" si="54"/>
        <v>772.46199999999999</v>
      </c>
      <c r="I39" s="29">
        <f t="shared" ref="I39" si="55">+I127</f>
        <v>0</v>
      </c>
      <c r="J39" s="213" t="s">
        <v>472</v>
      </c>
    </row>
    <row r="40" spans="2:11" ht="25.5">
      <c r="B40" s="48" t="s">
        <v>160</v>
      </c>
      <c r="C40" s="49">
        <f>C37/C14</f>
        <v>9.1304882977906718E-2</v>
      </c>
      <c r="D40" s="49">
        <f t="shared" ref="D40:H40" si="56">D37/D14</f>
        <v>5.5972584265194761E-2</v>
      </c>
      <c r="E40" s="49">
        <f t="shared" si="56"/>
        <v>3.7014336743408337E-2</v>
      </c>
      <c r="F40" s="49">
        <f t="shared" si="56"/>
        <v>0.12569786653864293</v>
      </c>
      <c r="G40" s="49">
        <f t="shared" si="56"/>
        <v>0.15721928096003188</v>
      </c>
      <c r="H40" s="49">
        <f t="shared" si="56"/>
        <v>0.12727743080379289</v>
      </c>
      <c r="I40" s="240" t="e">
        <f t="shared" ref="I40" si="57">I37/I14</f>
        <v>#DIV/0!</v>
      </c>
      <c r="J40" s="213" t="s">
        <v>472</v>
      </c>
    </row>
    <row r="41" spans="2:11" ht="25.5">
      <c r="B41" s="48" t="s">
        <v>382</v>
      </c>
      <c r="C41" s="49">
        <f>AVERAGE(C40:H40)</f>
        <v>9.9081063714829568E-2</v>
      </c>
      <c r="D41" s="49"/>
      <c r="E41" s="49"/>
      <c r="F41" s="49"/>
      <c r="G41" s="49"/>
      <c r="H41" s="49"/>
      <c r="I41" s="240"/>
      <c r="J41" s="38"/>
      <c r="K41" s="38"/>
    </row>
    <row r="42" spans="2:11" ht="25.5">
      <c r="B42" s="48" t="s">
        <v>298</v>
      </c>
      <c r="C42" s="50">
        <f>+C138</f>
        <v>29369000</v>
      </c>
      <c r="D42" s="50">
        <f t="shared" ref="D42:H42" si="58">+D138</f>
        <v>-632633000</v>
      </c>
      <c r="E42" s="50">
        <f t="shared" si="58"/>
        <v>21246162000</v>
      </c>
      <c r="F42" s="50">
        <f t="shared" si="58"/>
        <v>25933974000</v>
      </c>
      <c r="G42" s="50">
        <f t="shared" si="58"/>
        <v>11671072000</v>
      </c>
      <c r="H42" s="50">
        <f t="shared" si="58"/>
        <v>-12673885000</v>
      </c>
      <c r="I42" s="257">
        <f t="shared" ref="I42" si="59">+I138</f>
        <v>0</v>
      </c>
    </row>
    <row r="43" spans="2:11" ht="25.5">
      <c r="B43" s="51" t="s">
        <v>476</v>
      </c>
      <c r="C43" s="51">
        <f>SUM(C45:C49)</f>
        <v>18.391999999999999</v>
      </c>
      <c r="D43" s="51">
        <f t="shared" ref="D43:I43" si="60">SUM(D45:D49)</f>
        <v>123.389</v>
      </c>
      <c r="E43" s="51">
        <f t="shared" si="60"/>
        <v>80.69</v>
      </c>
      <c r="F43" s="51">
        <f t="shared" si="60"/>
        <v>74.41</v>
      </c>
      <c r="G43" s="51">
        <f t="shared" si="60"/>
        <v>648.04200000000003</v>
      </c>
      <c r="H43" s="51">
        <f t="shared" si="60"/>
        <v>370.89100000000002</v>
      </c>
      <c r="I43" s="258">
        <f t="shared" si="60"/>
        <v>309.98500000000001</v>
      </c>
    </row>
    <row r="44" spans="2:11" ht="25.5">
      <c r="B44" s="51" t="s">
        <v>383</v>
      </c>
      <c r="C44" s="51">
        <f>+C45+C46+C47+C48</f>
        <v>18.391999999999999</v>
      </c>
      <c r="D44" s="51">
        <f t="shared" ref="D44:I44" si="61">+D45+D46+D47+D48</f>
        <v>123.389</v>
      </c>
      <c r="E44" s="51">
        <f t="shared" si="61"/>
        <v>80.69</v>
      </c>
      <c r="F44" s="51">
        <f t="shared" si="61"/>
        <v>74.41</v>
      </c>
      <c r="G44" s="51">
        <f t="shared" si="61"/>
        <v>270.62900000000002</v>
      </c>
      <c r="H44" s="51">
        <f t="shared" si="61"/>
        <v>266.346</v>
      </c>
      <c r="I44" s="258">
        <f t="shared" si="61"/>
        <v>309.98500000000001</v>
      </c>
    </row>
    <row r="45" spans="2:11" ht="21">
      <c r="B45" s="96" t="s">
        <v>121</v>
      </c>
      <c r="C45" s="325">
        <v>18.391999999999999</v>
      </c>
      <c r="D45" s="325">
        <v>123.389</v>
      </c>
      <c r="E45" s="325">
        <v>80.69</v>
      </c>
      <c r="F45" s="325">
        <v>74.41</v>
      </c>
      <c r="G45" s="325">
        <v>270.62900000000002</v>
      </c>
      <c r="H45" s="325">
        <v>266.346</v>
      </c>
      <c r="I45" s="519">
        <v>309.98500000000001</v>
      </c>
    </row>
    <row r="46" spans="2:11" ht="21">
      <c r="B46" s="96" t="s">
        <v>122</v>
      </c>
      <c r="C46" s="325"/>
      <c r="D46" s="325"/>
      <c r="E46" s="325"/>
      <c r="F46" s="325"/>
      <c r="G46" s="325"/>
      <c r="H46" s="325"/>
      <c r="I46" s="519"/>
    </row>
    <row r="47" spans="2:11" ht="21">
      <c r="B47" s="96" t="s">
        <v>122</v>
      </c>
      <c r="C47" s="325"/>
      <c r="D47" s="325"/>
      <c r="E47" s="325"/>
      <c r="F47" s="325"/>
      <c r="G47" s="325"/>
      <c r="H47" s="325"/>
      <c r="I47" s="519"/>
    </row>
    <row r="48" spans="2:11" ht="21">
      <c r="B48" s="96" t="s">
        <v>122</v>
      </c>
      <c r="C48" s="325"/>
      <c r="D48" s="325"/>
      <c r="E48" s="325"/>
      <c r="F48" s="325"/>
      <c r="G48" s="325"/>
      <c r="H48" s="325"/>
      <c r="I48" s="519"/>
    </row>
    <row r="49" spans="2:9" ht="21">
      <c r="B49" s="96" t="s">
        <v>477</v>
      </c>
      <c r="C49" s="325"/>
      <c r="D49" s="325"/>
      <c r="E49" s="325"/>
      <c r="F49" s="325"/>
      <c r="G49" s="325">
        <v>377.41300000000001</v>
      </c>
      <c r="H49" s="325">
        <v>104.545</v>
      </c>
      <c r="I49" s="519"/>
    </row>
    <row r="50" spans="2:9" ht="21">
      <c r="B50" s="214" t="s">
        <v>167</v>
      </c>
      <c r="C50" s="215">
        <f t="shared" ref="C50:G50" si="62">(C46+C47+C48+D45+C49)/C39</f>
        <v>0.29999975686669239</v>
      </c>
      <c r="D50" s="215">
        <f t="shared" si="62"/>
        <v>0.30000074358840895</v>
      </c>
      <c r="E50" s="215">
        <f t="shared" si="62"/>
        <v>0.40002365413355978</v>
      </c>
      <c r="F50" s="215">
        <f t="shared" si="62"/>
        <v>0.40000029560785849</v>
      </c>
      <c r="G50" s="215">
        <f t="shared" si="62"/>
        <v>0.72509999200289244</v>
      </c>
      <c r="H50" s="215">
        <f>(H46+H47+H48+I45+H49)/H39</f>
        <v>0.536634811809513</v>
      </c>
      <c r="I50" s="520" t="e">
        <f>(I46+I47+I48+J45+I49)/J39</f>
        <v>#VALUE!</v>
      </c>
    </row>
    <row r="51" spans="2:9" ht="21">
      <c r="B51" s="216" t="s">
        <v>478</v>
      </c>
      <c r="C51" s="217">
        <f t="shared" ref="C51:H51" si="63">+C43/C18</f>
        <v>1.0212104386451971E-2</v>
      </c>
      <c r="D51" s="217">
        <f t="shared" si="63"/>
        <v>6.851138256524153E-2</v>
      </c>
      <c r="E51" s="217">
        <f t="shared" si="63"/>
        <v>4.4802887284841754E-2</v>
      </c>
      <c r="F51" s="217">
        <f t="shared" si="63"/>
        <v>4.1315935591338143E-2</v>
      </c>
      <c r="G51" s="217">
        <f t="shared" si="63"/>
        <v>0.28151259774109472</v>
      </c>
      <c r="H51" s="217">
        <f t="shared" si="63"/>
        <v>0.16111685490877498</v>
      </c>
      <c r="I51" s="521" t="e">
        <f>+I43/J18</f>
        <v>#DIV/0!</v>
      </c>
    </row>
    <row r="52" spans="2:9" ht="25.5">
      <c r="B52" s="354" t="s">
        <v>176</v>
      </c>
      <c r="C52" s="355">
        <f>+C40*(100%-C50)</f>
        <v>6.3913440283792908E-2</v>
      </c>
      <c r="D52" s="355">
        <f t="shared" ref="D52:I52" si="64">+D40*(100%-D50)</f>
        <v>3.9180767365071457E-2</v>
      </c>
      <c r="E52" s="355">
        <f t="shared" si="64"/>
        <v>2.2207726503980046E-2</v>
      </c>
      <c r="F52" s="355">
        <f t="shared" si="64"/>
        <v>7.5418682765908601E-2</v>
      </c>
      <c r="G52" s="355">
        <f t="shared" si="64"/>
        <v>4.3219581593212264E-2</v>
      </c>
      <c r="H52" s="355">
        <f t="shared" si="64"/>
        <v>5.897593067680118E-2</v>
      </c>
      <c r="I52" s="522" t="e">
        <f t="shared" si="64"/>
        <v>#DIV/0!</v>
      </c>
    </row>
    <row r="54" spans="2:9">
      <c r="B54" s="75" t="s">
        <v>307</v>
      </c>
    </row>
    <row r="55" spans="2:9" ht="14.65" thickBot="1"/>
    <row r="56" spans="2:9" ht="14.65" thickBot="1">
      <c r="B56" s="82" t="s">
        <v>479</v>
      </c>
      <c r="C56" s="88">
        <v>2017</v>
      </c>
      <c r="D56" s="88">
        <v>2018</v>
      </c>
      <c r="E56" s="88">
        <v>2019</v>
      </c>
      <c r="F56" s="88">
        <v>2020</v>
      </c>
      <c r="G56" s="88">
        <v>2021</v>
      </c>
      <c r="H56" s="89">
        <v>2022</v>
      </c>
      <c r="I56" s="103">
        <v>2023</v>
      </c>
    </row>
    <row r="57" spans="2:9">
      <c r="B57" s="57" t="s">
        <v>309</v>
      </c>
      <c r="C57" s="179"/>
      <c r="D57" s="179"/>
      <c r="E57" s="179"/>
      <c r="F57" s="179"/>
      <c r="G57" s="179"/>
      <c r="H57" s="184"/>
      <c r="I57" s="104"/>
    </row>
    <row r="58" spans="2:9">
      <c r="B58" s="58" t="s">
        <v>310</v>
      </c>
      <c r="C58" s="64">
        <v>151879608000</v>
      </c>
      <c r="D58" s="64">
        <v>171777619000</v>
      </c>
      <c r="E58" s="64">
        <v>164884687000</v>
      </c>
      <c r="F58" s="69">
        <v>173765217000</v>
      </c>
      <c r="G58" s="65">
        <v>202868299000</v>
      </c>
      <c r="H58" s="130">
        <v>234849123000</v>
      </c>
      <c r="I58" s="105"/>
    </row>
    <row r="59" spans="2:9">
      <c r="B59" s="59" t="s">
        <v>480</v>
      </c>
      <c r="C59" s="66">
        <v>8451241000</v>
      </c>
      <c r="D59" s="66">
        <v>9345448000</v>
      </c>
      <c r="E59" s="66">
        <v>9470988000</v>
      </c>
      <c r="F59" s="66">
        <v>17863795000</v>
      </c>
      <c r="G59" s="66">
        <v>11837751000</v>
      </c>
      <c r="H59" s="160">
        <v>11829143000</v>
      </c>
      <c r="I59" s="105"/>
    </row>
    <row r="60" spans="2:9">
      <c r="B60" s="59" t="s">
        <v>481</v>
      </c>
      <c r="C60" s="68"/>
      <c r="D60" s="66"/>
      <c r="E60" s="66">
        <v>114291000</v>
      </c>
      <c r="F60" s="66">
        <v>1326363000</v>
      </c>
      <c r="G60" s="67">
        <v>536114000</v>
      </c>
      <c r="H60" s="131">
        <v>1008684000</v>
      </c>
      <c r="I60" s="105"/>
    </row>
    <row r="61" spans="2:9">
      <c r="B61" s="59" t="s">
        <v>482</v>
      </c>
      <c r="C61" s="68">
        <v>1681153000</v>
      </c>
      <c r="D61" s="66">
        <v>1244554000</v>
      </c>
      <c r="E61" s="66">
        <v>529807000</v>
      </c>
      <c r="F61" s="66">
        <v>391839000</v>
      </c>
      <c r="G61" s="67">
        <v>2741097000</v>
      </c>
      <c r="H61" s="131">
        <v>1760368000</v>
      </c>
      <c r="I61" s="105"/>
    </row>
    <row r="62" spans="2:9">
      <c r="B62" s="59" t="s">
        <v>483</v>
      </c>
      <c r="C62" s="66">
        <v>85339759000</v>
      </c>
      <c r="D62" s="66">
        <v>98588611000</v>
      </c>
      <c r="E62" s="66">
        <v>90592302000</v>
      </c>
      <c r="F62" s="66">
        <v>86983408000</v>
      </c>
      <c r="G62" s="67">
        <v>109465809000</v>
      </c>
      <c r="H62" s="131">
        <v>117821206000</v>
      </c>
      <c r="I62" s="105"/>
    </row>
    <row r="63" spans="2:9">
      <c r="B63" s="59" t="s">
        <v>484</v>
      </c>
      <c r="C63" s="66">
        <v>383749000</v>
      </c>
      <c r="D63" s="66">
        <v>128773000</v>
      </c>
      <c r="E63" s="66">
        <v>103643000</v>
      </c>
      <c r="F63" s="66">
        <v>157613000</v>
      </c>
      <c r="G63" s="132">
        <v>184364000</v>
      </c>
      <c r="H63" s="131">
        <v>245098000</v>
      </c>
      <c r="I63" s="105"/>
    </row>
    <row r="64" spans="2:9">
      <c r="B64" s="59" t="s">
        <v>471</v>
      </c>
      <c r="C64" s="66">
        <v>48155878000</v>
      </c>
      <c r="D64" s="66">
        <v>54833575000</v>
      </c>
      <c r="E64" s="66">
        <v>56383490000</v>
      </c>
      <c r="F64" s="66">
        <v>59423360000</v>
      </c>
      <c r="G64" s="132">
        <v>66994665000</v>
      </c>
      <c r="H64" s="131">
        <v>89984406000</v>
      </c>
      <c r="I64" s="105"/>
    </row>
    <row r="65" spans="2:9">
      <c r="B65" s="59" t="s">
        <v>392</v>
      </c>
      <c r="C65" s="66">
        <v>7303779000</v>
      </c>
      <c r="D65" s="66">
        <v>7248204000</v>
      </c>
      <c r="E65" s="66">
        <v>7418665000</v>
      </c>
      <c r="F65" s="66">
        <v>7576818000</v>
      </c>
      <c r="G65" s="132">
        <v>11086934000</v>
      </c>
      <c r="H65" s="131">
        <v>12121261000</v>
      </c>
      <c r="I65" s="105"/>
    </row>
    <row r="66" spans="2:9">
      <c r="B66" s="59" t="s">
        <v>485</v>
      </c>
      <c r="C66" s="66">
        <v>564049000</v>
      </c>
      <c r="D66" s="66">
        <v>388454000</v>
      </c>
      <c r="E66" s="66">
        <v>271501000</v>
      </c>
      <c r="F66" s="66">
        <v>42021000</v>
      </c>
      <c r="G66" s="131">
        <v>21565000</v>
      </c>
      <c r="H66" s="131">
        <v>78957000</v>
      </c>
      <c r="I66" s="105"/>
    </row>
    <row r="67" spans="2:9">
      <c r="B67" s="59" t="s">
        <v>317</v>
      </c>
      <c r="C67" s="131">
        <f t="shared" ref="C67:F67" si="65">+C58-C59-C60-C62-C63-C64-C65-C66-C61</f>
        <v>0</v>
      </c>
      <c r="D67" s="131">
        <f t="shared" si="65"/>
        <v>0</v>
      </c>
      <c r="E67" s="131">
        <f t="shared" si="65"/>
        <v>0</v>
      </c>
      <c r="F67" s="131">
        <f t="shared" si="65"/>
        <v>0</v>
      </c>
      <c r="G67" s="131">
        <f>+G58-G59-G60-G62-G63-G64-G65-G66-G61</f>
        <v>0</v>
      </c>
      <c r="H67" s="131">
        <f>+H58-H59-H60-H62-H63-H64-H65-H66-H61</f>
        <v>0</v>
      </c>
      <c r="I67" s="131">
        <f t="shared" ref="I67" si="66">+I58-I59-I60-I62-I63-I64-I65-I66-I61</f>
        <v>0</v>
      </c>
    </row>
    <row r="68" spans="2:9">
      <c r="B68" s="58" t="s">
        <v>319</v>
      </c>
      <c r="C68" s="64">
        <v>48771960000</v>
      </c>
      <c r="D68" s="64">
        <v>49853310000</v>
      </c>
      <c r="E68" s="64">
        <v>56835988000</v>
      </c>
      <c r="F68" s="69">
        <v>54210228000</v>
      </c>
      <c r="G68" s="65">
        <v>59153916000</v>
      </c>
      <c r="H68" s="130">
        <v>61542215000</v>
      </c>
      <c r="I68" s="105"/>
    </row>
    <row r="69" spans="2:9">
      <c r="B69" s="59" t="s">
        <v>486</v>
      </c>
      <c r="C69" s="66">
        <v>164237000</v>
      </c>
      <c r="D69" s="66">
        <v>133680000</v>
      </c>
      <c r="E69" s="66">
        <v>160840000</v>
      </c>
      <c r="F69" s="66">
        <v>158247000</v>
      </c>
      <c r="G69" s="67">
        <v>1089829000</v>
      </c>
      <c r="H69" s="131">
        <v>0</v>
      </c>
      <c r="I69" s="105"/>
    </row>
    <row r="70" spans="2:9">
      <c r="B70" s="59" t="s">
        <v>487</v>
      </c>
      <c r="C70" s="66">
        <v>242868000</v>
      </c>
      <c r="D70" s="66">
        <v>305777000</v>
      </c>
      <c r="E70" s="66">
        <v>436592000</v>
      </c>
      <c r="F70" s="66">
        <v>523576000</v>
      </c>
      <c r="G70" s="67">
        <v>678678000</v>
      </c>
      <c r="H70" s="131">
        <v>782584000</v>
      </c>
      <c r="I70" s="105"/>
    </row>
    <row r="71" spans="2:9">
      <c r="B71" s="59" t="s">
        <v>488</v>
      </c>
      <c r="C71" s="66">
        <v>6766942000</v>
      </c>
      <c r="D71" s="66">
        <v>7318672000</v>
      </c>
      <c r="E71" s="66">
        <v>8018695000</v>
      </c>
      <c r="F71" s="66">
        <v>8037943000</v>
      </c>
      <c r="G71" s="67">
        <v>8947007000</v>
      </c>
      <c r="H71" s="131">
        <v>9339343000</v>
      </c>
      <c r="I71" s="105"/>
    </row>
    <row r="72" spans="2:9">
      <c r="B72" s="59" t="s">
        <v>396</v>
      </c>
      <c r="C72" s="66">
        <v>1873096000</v>
      </c>
      <c r="D72" s="66">
        <v>1873096000</v>
      </c>
      <c r="E72" s="66">
        <v>1611124000</v>
      </c>
      <c r="F72" s="68">
        <v>1349150000</v>
      </c>
      <c r="G72" s="67">
        <v>1349150000</v>
      </c>
      <c r="H72" s="131">
        <v>1349150000</v>
      </c>
      <c r="I72" s="105"/>
    </row>
    <row r="73" spans="2:9">
      <c r="B73" s="59" t="s">
        <v>489</v>
      </c>
      <c r="C73" s="66">
        <v>38395642000</v>
      </c>
      <c r="D73" s="66">
        <v>39036020000</v>
      </c>
      <c r="E73" s="66">
        <v>27577213000</v>
      </c>
      <c r="F73" s="66">
        <v>26671079000</v>
      </c>
      <c r="G73" s="132">
        <v>28362703000</v>
      </c>
      <c r="H73" s="197">
        <v>29647614000</v>
      </c>
      <c r="I73" s="105"/>
    </row>
    <row r="74" spans="2:9">
      <c r="B74" s="59" t="s">
        <v>399</v>
      </c>
      <c r="C74" s="66">
        <v>0</v>
      </c>
      <c r="D74" s="66">
        <v>0</v>
      </c>
      <c r="E74" s="66">
        <v>136940000</v>
      </c>
      <c r="F74" s="66">
        <v>117722000</v>
      </c>
      <c r="G74" s="132">
        <v>120590000</v>
      </c>
      <c r="H74" s="197">
        <v>0</v>
      </c>
      <c r="I74" s="105"/>
    </row>
    <row r="75" spans="2:9">
      <c r="B75" s="59" t="s">
        <v>400</v>
      </c>
      <c r="C75" s="66">
        <v>0</v>
      </c>
      <c r="D75" s="66">
        <v>0</v>
      </c>
      <c r="E75" s="66">
        <v>17677608000</v>
      </c>
      <c r="F75" s="66">
        <v>15943223000</v>
      </c>
      <c r="G75" s="132">
        <v>17108822000</v>
      </c>
      <c r="H75" s="197">
        <v>15635793000</v>
      </c>
      <c r="I75" s="105"/>
    </row>
    <row r="76" spans="2:9">
      <c r="B76" s="59" t="s">
        <v>325</v>
      </c>
      <c r="C76" s="66">
        <v>1329175000</v>
      </c>
      <c r="D76" s="66">
        <v>1189065000</v>
      </c>
      <c r="E76" s="66">
        <v>1216976000</v>
      </c>
      <c r="F76" s="66">
        <v>1409288000</v>
      </c>
      <c r="G76" s="132">
        <v>1497137000</v>
      </c>
      <c r="H76" s="197">
        <v>4787731000</v>
      </c>
      <c r="I76" s="105"/>
    </row>
    <row r="77" spans="2:9">
      <c r="B77" s="59" t="s">
        <v>490</v>
      </c>
      <c r="C77" s="160">
        <f t="shared" ref="C77:G77" si="67">+C68-C71-C72-C70-C69-C73-C74-C75-C76</f>
        <v>0</v>
      </c>
      <c r="D77" s="160">
        <f t="shared" si="67"/>
        <v>-3000000</v>
      </c>
      <c r="E77" s="160">
        <f t="shared" si="67"/>
        <v>0</v>
      </c>
      <c r="F77" s="160">
        <f t="shared" si="67"/>
        <v>0</v>
      </c>
      <c r="G77" s="160">
        <f t="shared" si="67"/>
        <v>0</v>
      </c>
      <c r="H77" s="160">
        <f>+H68-H71-H72-H70-H69-H73-H74-H75-H76</f>
        <v>0</v>
      </c>
      <c r="I77" s="66">
        <f t="shared" ref="I77" si="68">+I68-I71-I72-I70-I69-I73</f>
        <v>0</v>
      </c>
    </row>
    <row r="78" spans="2:9" ht="14.65" thickBot="1">
      <c r="B78" s="60" t="s">
        <v>329</v>
      </c>
      <c r="C78" s="70">
        <f t="shared" ref="C78:I78" si="69">+C68+C58</f>
        <v>200651568000</v>
      </c>
      <c r="D78" s="70">
        <f t="shared" si="69"/>
        <v>221630929000</v>
      </c>
      <c r="E78" s="70">
        <f t="shared" si="69"/>
        <v>221720675000</v>
      </c>
      <c r="F78" s="70">
        <f t="shared" si="69"/>
        <v>227975445000</v>
      </c>
      <c r="G78" s="70">
        <f t="shared" si="69"/>
        <v>262022215000</v>
      </c>
      <c r="H78" s="185">
        <f t="shared" si="69"/>
        <v>296391338000</v>
      </c>
      <c r="I78" s="106">
        <f t="shared" si="69"/>
        <v>0</v>
      </c>
    </row>
    <row r="79" spans="2:9" ht="14.65" thickBot="1">
      <c r="B79" s="61"/>
      <c r="C79" s="72"/>
      <c r="D79" s="72"/>
      <c r="E79" s="72"/>
      <c r="F79" s="72"/>
      <c r="G79" s="72"/>
      <c r="H79" s="186"/>
      <c r="I79" s="107"/>
    </row>
    <row r="80" spans="2:9">
      <c r="B80" s="57" t="s">
        <v>330</v>
      </c>
      <c r="C80" s="62"/>
      <c r="D80" s="62"/>
      <c r="E80" s="62"/>
      <c r="F80" s="62"/>
      <c r="G80" s="62"/>
      <c r="H80" s="184"/>
      <c r="I80" s="104"/>
    </row>
    <row r="81" spans="2:9">
      <c r="B81" s="58" t="s">
        <v>310</v>
      </c>
      <c r="C81" s="64">
        <v>88225173000</v>
      </c>
      <c r="D81" s="64">
        <v>76085281000</v>
      </c>
      <c r="E81" s="64">
        <v>60650736000</v>
      </c>
      <c r="F81" s="64">
        <v>85606829000</v>
      </c>
      <c r="G81" s="64">
        <v>80522199000</v>
      </c>
      <c r="H81" s="130">
        <v>95952963000</v>
      </c>
      <c r="I81" s="105"/>
    </row>
    <row r="82" spans="2:9">
      <c r="B82" s="59" t="s">
        <v>491</v>
      </c>
      <c r="C82" s="66">
        <v>60205144000</v>
      </c>
      <c r="D82" s="66">
        <v>44157772000</v>
      </c>
      <c r="E82" s="66">
        <v>28425807000</v>
      </c>
      <c r="F82" s="66">
        <v>44437884000</v>
      </c>
      <c r="G82" s="66">
        <v>22734675000</v>
      </c>
      <c r="H82" s="131">
        <v>41783682000</v>
      </c>
      <c r="I82" s="105"/>
    </row>
    <row r="83" spans="2:9">
      <c r="B83" s="59" t="s">
        <v>492</v>
      </c>
      <c r="C83" s="66">
        <v>0</v>
      </c>
      <c r="D83" s="66">
        <v>0</v>
      </c>
      <c r="E83" s="66">
        <v>2519295000</v>
      </c>
      <c r="F83" s="66">
        <v>2561672000</v>
      </c>
      <c r="G83" s="131">
        <v>3372704000</v>
      </c>
      <c r="H83" s="131">
        <v>3595489000</v>
      </c>
      <c r="I83" s="105"/>
    </row>
    <row r="84" spans="2:9">
      <c r="B84" s="59" t="s">
        <v>405</v>
      </c>
      <c r="C84" s="66">
        <v>15308273000</v>
      </c>
      <c r="D84" s="66">
        <v>21616796000</v>
      </c>
      <c r="E84" s="66">
        <v>22079345000</v>
      </c>
      <c r="F84" s="66">
        <v>25007893000</v>
      </c>
      <c r="G84" s="131">
        <v>37176414000</v>
      </c>
      <c r="H84" s="131">
        <v>37928750000</v>
      </c>
      <c r="I84" s="105"/>
    </row>
    <row r="85" spans="2:9">
      <c r="B85" s="59" t="s">
        <v>493</v>
      </c>
      <c r="C85" s="66">
        <v>2681108000</v>
      </c>
      <c r="D85" s="66">
        <v>1756737000</v>
      </c>
      <c r="E85" s="66">
        <v>1215244000</v>
      </c>
      <c r="F85" s="66">
        <v>4412665000</v>
      </c>
      <c r="G85" s="131">
        <v>5791077000</v>
      </c>
      <c r="H85" s="131">
        <v>5036134000</v>
      </c>
      <c r="I85" s="105"/>
    </row>
    <row r="86" spans="2:9">
      <c r="B86" s="59" t="s">
        <v>494</v>
      </c>
      <c r="C86" s="66">
        <v>1211154000</v>
      </c>
      <c r="D86" s="66">
        <v>164577000</v>
      </c>
      <c r="E86" s="66">
        <v>109621000</v>
      </c>
      <c r="F86" s="66">
        <v>115945000</v>
      </c>
      <c r="G86" s="131">
        <v>166603000</v>
      </c>
      <c r="H86" s="131">
        <v>64249000</v>
      </c>
      <c r="I86" s="105"/>
    </row>
    <row r="87" spans="2:9">
      <c r="B87" s="59" t="s">
        <v>408</v>
      </c>
      <c r="C87" s="66">
        <v>4636194000</v>
      </c>
      <c r="D87" s="66">
        <v>4257169000</v>
      </c>
      <c r="E87" s="66">
        <v>4326141000</v>
      </c>
      <c r="F87" s="66">
        <v>6777285000</v>
      </c>
      <c r="G87" s="131">
        <v>8620298000</v>
      </c>
      <c r="H87" s="131">
        <v>4630793000</v>
      </c>
      <c r="I87" s="105"/>
    </row>
    <row r="88" spans="2:9">
      <c r="B88" s="59" t="s">
        <v>495</v>
      </c>
      <c r="C88" s="66">
        <v>2020966000</v>
      </c>
      <c r="D88" s="66">
        <v>2060167000</v>
      </c>
      <c r="E88" s="66">
        <v>1884942000</v>
      </c>
      <c r="F88" s="66">
        <v>2242484000</v>
      </c>
      <c r="G88" s="131">
        <v>2660428000</v>
      </c>
      <c r="H88" s="131">
        <v>2913866000</v>
      </c>
      <c r="I88" s="105"/>
    </row>
    <row r="89" spans="2:9">
      <c r="B89" s="59" t="s">
        <v>496</v>
      </c>
      <c r="C89" s="197">
        <f t="shared" ref="C89:G89" si="70">+C81-C82-C83-C84-C85-C86-C87-C88</f>
        <v>2162334000</v>
      </c>
      <c r="D89" s="197">
        <f t="shared" si="70"/>
        <v>2072063000</v>
      </c>
      <c r="E89" s="197">
        <f t="shared" si="70"/>
        <v>90341000</v>
      </c>
      <c r="F89" s="197">
        <f t="shared" si="70"/>
        <v>51001000</v>
      </c>
      <c r="G89" s="197">
        <f t="shared" si="70"/>
        <v>0</v>
      </c>
      <c r="H89" s="197">
        <f>+H81-H82-H83-H84-H85-H86-H87-H88</f>
        <v>0</v>
      </c>
      <c r="I89" s="105"/>
    </row>
    <row r="90" spans="2:9">
      <c r="B90" s="58" t="s">
        <v>319</v>
      </c>
      <c r="C90" s="64">
        <v>12099696000</v>
      </c>
      <c r="D90" s="64">
        <v>38723216000</v>
      </c>
      <c r="E90" s="64">
        <v>49182469000</v>
      </c>
      <c r="F90" s="64">
        <v>22604867000</v>
      </c>
      <c r="G90" s="64">
        <v>56087851000</v>
      </c>
      <c r="H90" s="130">
        <v>65556118000</v>
      </c>
      <c r="I90" s="105"/>
    </row>
    <row r="91" spans="2:9">
      <c r="B91" s="59" t="s">
        <v>497</v>
      </c>
      <c r="C91" s="66">
        <v>11448480000</v>
      </c>
      <c r="D91" s="66">
        <v>37723122000</v>
      </c>
      <c r="E91" s="66">
        <v>35777324000</v>
      </c>
      <c r="F91" s="66">
        <v>11516390000</v>
      </c>
      <c r="G91" s="66">
        <v>44356519000</v>
      </c>
      <c r="H91" s="131">
        <v>54712571000</v>
      </c>
      <c r="I91" s="105"/>
    </row>
    <row r="92" spans="2:9">
      <c r="B92" s="59" t="s">
        <v>498</v>
      </c>
      <c r="C92" s="66">
        <v>0</v>
      </c>
      <c r="D92" s="66">
        <v>0</v>
      </c>
      <c r="E92" s="66">
        <v>12386172000</v>
      </c>
      <c r="F92" s="66">
        <v>10560106000</v>
      </c>
      <c r="G92" s="66">
        <v>10945940000</v>
      </c>
      <c r="H92" s="131">
        <v>9028381000</v>
      </c>
      <c r="I92" s="105"/>
    </row>
    <row r="93" spans="2:9">
      <c r="B93" s="59" t="s">
        <v>499</v>
      </c>
      <c r="C93" s="66">
        <v>651216000</v>
      </c>
      <c r="D93" s="66">
        <v>1000094000</v>
      </c>
      <c r="E93" s="66">
        <v>1018973000</v>
      </c>
      <c r="F93" s="66">
        <v>528371000</v>
      </c>
      <c r="G93" s="66">
        <v>785392000</v>
      </c>
      <c r="H93" s="131">
        <v>1815166000</v>
      </c>
      <c r="I93" s="105"/>
    </row>
    <row r="94" spans="2:9">
      <c r="B94" s="129" t="s">
        <v>500</v>
      </c>
      <c r="C94" s="133">
        <f t="shared" ref="C94:G94" si="71">+C90-C91-C92-C93</f>
        <v>0</v>
      </c>
      <c r="D94" s="133">
        <f t="shared" si="71"/>
        <v>0</v>
      </c>
      <c r="E94" s="133">
        <f t="shared" si="71"/>
        <v>0</v>
      </c>
      <c r="F94" s="133">
        <f t="shared" si="71"/>
        <v>0</v>
      </c>
      <c r="G94" s="133">
        <f t="shared" si="71"/>
        <v>0</v>
      </c>
      <c r="H94" s="133">
        <f>+H90-H91-H92-H93</f>
        <v>0</v>
      </c>
      <c r="I94" s="191"/>
    </row>
    <row r="95" spans="2:9" ht="14.65" thickBot="1">
      <c r="B95" s="60" t="s">
        <v>342</v>
      </c>
      <c r="C95" s="162">
        <f t="shared" ref="C95:G95" si="72">+C89+C81</f>
        <v>90387507000</v>
      </c>
      <c r="D95" s="162">
        <f t="shared" si="72"/>
        <v>78157344000</v>
      </c>
      <c r="E95" s="162">
        <f t="shared" si="72"/>
        <v>60741077000</v>
      </c>
      <c r="F95" s="162">
        <f t="shared" si="72"/>
        <v>85657830000</v>
      </c>
      <c r="G95" s="162">
        <f t="shared" si="72"/>
        <v>80522199000</v>
      </c>
      <c r="H95" s="162">
        <f>+H89+H81</f>
        <v>95952963000</v>
      </c>
      <c r="I95" s="108"/>
    </row>
    <row r="96" spans="2:9" ht="14.65" thickBot="1"/>
    <row r="97" spans="2:9">
      <c r="B97" s="57" t="s">
        <v>343</v>
      </c>
      <c r="C97" s="62"/>
      <c r="D97" s="62"/>
      <c r="E97" s="62"/>
      <c r="F97" s="62"/>
      <c r="G97" s="62"/>
      <c r="H97" s="184"/>
      <c r="I97" s="104"/>
    </row>
    <row r="98" spans="2:9">
      <c r="B98" s="59" t="s">
        <v>501</v>
      </c>
      <c r="C98" s="131">
        <v>1914106000</v>
      </c>
      <c r="D98" s="131">
        <v>1914106000</v>
      </c>
      <c r="E98" s="131">
        <v>1914106000</v>
      </c>
      <c r="F98" s="131">
        <v>1914106000</v>
      </c>
      <c r="G98" s="131">
        <v>1914106000</v>
      </c>
      <c r="H98" s="131">
        <v>1914106000</v>
      </c>
      <c r="I98" s="105"/>
    </row>
    <row r="99" spans="2:9">
      <c r="B99" s="59" t="s">
        <v>502</v>
      </c>
      <c r="C99" s="66">
        <v>96165470000</v>
      </c>
      <c r="D99" s="66">
        <v>100307540000</v>
      </c>
      <c r="E99" s="66">
        <v>103172035000</v>
      </c>
      <c r="F99" s="66">
        <v>113181981000</v>
      </c>
      <c r="G99" s="66">
        <v>115365959000</v>
      </c>
      <c r="H99" s="66">
        <v>124961868000</v>
      </c>
      <c r="I99" s="105"/>
    </row>
    <row r="100" spans="2:9">
      <c r="B100" s="59" t="s">
        <v>418</v>
      </c>
      <c r="C100" s="66">
        <v>4071204000</v>
      </c>
      <c r="D100" s="66">
        <v>4071204000</v>
      </c>
      <c r="E100" s="66">
        <v>4071204000</v>
      </c>
      <c r="F100" s="66">
        <v>4071204000</v>
      </c>
      <c r="G100" s="66">
        <v>4071204000</v>
      </c>
      <c r="H100" s="131">
        <v>4071204000</v>
      </c>
      <c r="I100" s="105"/>
    </row>
    <row r="101" spans="2:9">
      <c r="B101" s="59" t="s">
        <v>503</v>
      </c>
      <c r="C101" s="66">
        <v>-3048468000</v>
      </c>
      <c r="D101" s="66">
        <v>-576041000</v>
      </c>
      <c r="E101" s="68">
        <v>1402491000</v>
      </c>
      <c r="F101" s="66">
        <v>-751741000</v>
      </c>
      <c r="G101" s="66">
        <v>2883188000</v>
      </c>
      <c r="H101" s="131">
        <v>2573399000</v>
      </c>
      <c r="I101" s="105"/>
    </row>
    <row r="102" spans="2:9" ht="14.65" thickBot="1">
      <c r="B102" s="60" t="s">
        <v>504</v>
      </c>
      <c r="C102" s="218">
        <f t="shared" ref="C102:H102" si="73">+C98+C99+C100+C101</f>
        <v>99102312000</v>
      </c>
      <c r="D102" s="218">
        <f t="shared" si="73"/>
        <v>105716809000</v>
      </c>
      <c r="E102" s="218">
        <f t="shared" si="73"/>
        <v>110559836000</v>
      </c>
      <c r="F102" s="218">
        <f t="shared" si="73"/>
        <v>118415550000</v>
      </c>
      <c r="G102" s="218">
        <f t="shared" si="73"/>
        <v>124234457000</v>
      </c>
      <c r="H102" s="218">
        <f t="shared" si="73"/>
        <v>133520577000</v>
      </c>
      <c r="I102" s="191"/>
    </row>
    <row r="103" spans="2:9">
      <c r="B103" s="129" t="s">
        <v>505</v>
      </c>
      <c r="C103" s="133">
        <v>1224387000</v>
      </c>
      <c r="D103" s="133">
        <v>1108623000</v>
      </c>
      <c r="E103" s="133">
        <v>1327634000</v>
      </c>
      <c r="F103" s="133">
        <v>1348199000</v>
      </c>
      <c r="G103" s="133">
        <v>1177708000</v>
      </c>
      <c r="H103" s="190">
        <v>1361680000</v>
      </c>
      <c r="I103" s="191"/>
    </row>
    <row r="104" spans="2:9" ht="14.65" thickBot="1">
      <c r="B104" s="60" t="s">
        <v>506</v>
      </c>
      <c r="C104" s="162">
        <f t="shared" ref="C104:G104" si="74">+C98+C100+C99+C103+C101</f>
        <v>100326699000</v>
      </c>
      <c r="D104" s="162">
        <f t="shared" si="74"/>
        <v>106825432000</v>
      </c>
      <c r="E104" s="162">
        <f t="shared" si="74"/>
        <v>111887470000</v>
      </c>
      <c r="F104" s="162">
        <f t="shared" si="74"/>
        <v>119763749000</v>
      </c>
      <c r="G104" s="162">
        <f t="shared" si="74"/>
        <v>125412165000</v>
      </c>
      <c r="H104" s="162">
        <f>+H98+H100+H99+H103+H101</f>
        <v>134882257000</v>
      </c>
      <c r="I104" s="70">
        <f t="shared" ref="I104" si="75">+I98+I101+I99+I103</f>
        <v>0</v>
      </c>
    </row>
    <row r="106" spans="2:9" ht="14.65" thickBot="1">
      <c r="B106" s="75" t="s">
        <v>348</v>
      </c>
    </row>
    <row r="107" spans="2:9" ht="14.65" thickBot="1">
      <c r="B107" s="82" t="s">
        <v>308</v>
      </c>
      <c r="C107" s="88">
        <v>2017</v>
      </c>
      <c r="D107" s="88">
        <v>2018</v>
      </c>
      <c r="E107" s="88">
        <v>2019</v>
      </c>
      <c r="F107" s="88">
        <v>2020</v>
      </c>
      <c r="G107" s="88">
        <v>2021</v>
      </c>
      <c r="H107" s="89">
        <v>2022</v>
      </c>
      <c r="I107" s="103">
        <v>2023</v>
      </c>
    </row>
    <row r="108" spans="2:9">
      <c r="B108" s="83" t="s">
        <v>349</v>
      </c>
      <c r="C108" s="90">
        <v>172808914000</v>
      </c>
      <c r="D108" s="90">
        <v>174580741000</v>
      </c>
      <c r="E108" s="90">
        <v>186046901000</v>
      </c>
      <c r="F108" s="90">
        <v>225071441000</v>
      </c>
      <c r="G108" s="90">
        <v>248484804000</v>
      </c>
      <c r="H108" s="195">
        <v>270058911000</v>
      </c>
      <c r="I108" s="110"/>
    </row>
    <row r="109" spans="2:9">
      <c r="B109" s="85" t="s">
        <v>507</v>
      </c>
      <c r="C109" s="66">
        <v>-100954414000</v>
      </c>
      <c r="D109" s="66">
        <v>-104130586000</v>
      </c>
      <c r="E109" s="66">
        <v>-111627741000</v>
      </c>
      <c r="F109" s="66">
        <v>-129055343000</v>
      </c>
      <c r="G109" s="66">
        <v>-138882766000</v>
      </c>
      <c r="H109" s="131">
        <v>-157988242000</v>
      </c>
      <c r="I109" s="105"/>
    </row>
    <row r="110" spans="2:9">
      <c r="B110" s="86" t="s">
        <v>422</v>
      </c>
      <c r="C110" s="64">
        <f t="shared" ref="C110:F110" si="76">+C108+C109</f>
        <v>71854500000</v>
      </c>
      <c r="D110" s="64">
        <f>+D108+D109</f>
        <v>70450155000</v>
      </c>
      <c r="E110" s="64">
        <f t="shared" si="76"/>
        <v>74419160000</v>
      </c>
      <c r="F110" s="64">
        <f t="shared" si="76"/>
        <v>96016098000</v>
      </c>
      <c r="G110" s="64">
        <f>+G108+G109</f>
        <v>109602038000</v>
      </c>
      <c r="H110" s="141">
        <f t="shared" ref="H110:I110" si="77">+H108+H109</f>
        <v>112070669000</v>
      </c>
      <c r="I110" s="64">
        <f t="shared" si="77"/>
        <v>0</v>
      </c>
    </row>
    <row r="111" spans="2:9">
      <c r="B111" s="85" t="s">
        <v>508</v>
      </c>
      <c r="C111" s="117">
        <v>-10857799000</v>
      </c>
      <c r="D111" s="117">
        <v>-10083140000</v>
      </c>
      <c r="E111" s="117">
        <v>-12557627000</v>
      </c>
      <c r="F111" s="117">
        <v>-14401736000</v>
      </c>
      <c r="G111" s="117">
        <v>-15126572000</v>
      </c>
      <c r="H111" s="131">
        <v>-18740216000</v>
      </c>
      <c r="I111" s="105"/>
    </row>
    <row r="112" spans="2:9">
      <c r="B112" s="85" t="s">
        <v>509</v>
      </c>
      <c r="C112" s="66">
        <v>-42789254000</v>
      </c>
      <c r="D112" s="66">
        <v>-43482462000</v>
      </c>
      <c r="E112" s="66">
        <v>-46841058000</v>
      </c>
      <c r="F112" s="117">
        <v>-54034028000</v>
      </c>
      <c r="G112" s="117">
        <v>-62287954000</v>
      </c>
      <c r="H112" s="131">
        <v>-65856187000</v>
      </c>
      <c r="I112" s="105"/>
    </row>
    <row r="113" spans="2:9">
      <c r="B113" s="85" t="s">
        <v>357</v>
      </c>
      <c r="C113" s="66">
        <v>-2785245000</v>
      </c>
      <c r="D113" s="66">
        <v>484871000</v>
      </c>
      <c r="E113" s="66">
        <v>108130000</v>
      </c>
      <c r="F113" s="117">
        <v>-161647000</v>
      </c>
      <c r="G113" s="117">
        <v>-396269000</v>
      </c>
      <c r="H113" s="197">
        <v>862829000</v>
      </c>
      <c r="I113" s="105"/>
    </row>
    <row r="114" spans="2:9">
      <c r="B114" s="85" t="s">
        <v>510</v>
      </c>
      <c r="C114" s="66"/>
      <c r="D114" s="66"/>
      <c r="E114" s="66"/>
      <c r="F114" s="117"/>
      <c r="G114" s="117">
        <v>0</v>
      </c>
      <c r="H114" s="197">
        <v>0</v>
      </c>
      <c r="I114" s="105"/>
    </row>
    <row r="115" spans="2:9">
      <c r="B115" s="85" t="s">
        <v>511</v>
      </c>
      <c r="C115" s="66"/>
      <c r="D115" s="66"/>
      <c r="E115" s="66"/>
      <c r="F115" s="117"/>
      <c r="G115" s="117">
        <v>0</v>
      </c>
      <c r="H115" s="197">
        <v>0</v>
      </c>
      <c r="I115" s="105"/>
    </row>
    <row r="116" spans="2:9">
      <c r="B116" s="86" t="s">
        <v>428</v>
      </c>
      <c r="C116" s="141">
        <f t="shared" ref="C116:G116" si="78">+C110+C112+C111+C113+C114+C115</f>
        <v>15422202000</v>
      </c>
      <c r="D116" s="141">
        <f t="shared" si="78"/>
        <v>17369424000</v>
      </c>
      <c r="E116" s="141">
        <f t="shared" si="78"/>
        <v>15128605000</v>
      </c>
      <c r="F116" s="141">
        <f t="shared" si="78"/>
        <v>27418687000</v>
      </c>
      <c r="G116" s="141">
        <f t="shared" si="78"/>
        <v>31791243000</v>
      </c>
      <c r="H116" s="141">
        <f>+H110+H112+H111+H113+H114+H115</f>
        <v>28337095000</v>
      </c>
      <c r="I116" s="64">
        <f t="shared" ref="I116" si="79">+I110+I112+I111</f>
        <v>0</v>
      </c>
    </row>
    <row r="117" spans="2:9">
      <c r="B117" s="85" t="s">
        <v>512</v>
      </c>
      <c r="C117" s="66">
        <v>1412028000</v>
      </c>
      <c r="D117" s="66">
        <v>1430856000</v>
      </c>
      <c r="E117" s="66">
        <v>1338720000</v>
      </c>
      <c r="F117" s="66">
        <v>1533440000</v>
      </c>
      <c r="G117" s="66">
        <v>2087744000</v>
      </c>
      <c r="H117" s="131">
        <v>1795377000</v>
      </c>
      <c r="I117" s="105"/>
    </row>
    <row r="118" spans="2:9">
      <c r="B118" s="85" t="s">
        <v>513</v>
      </c>
      <c r="C118" s="66">
        <v>-4667001000</v>
      </c>
      <c r="D118" s="66">
        <v>-5697568000</v>
      </c>
      <c r="E118" s="66">
        <v>-5175272000</v>
      </c>
      <c r="F118" s="66">
        <v>-5638346000</v>
      </c>
      <c r="G118" s="131">
        <v>-4614534000</v>
      </c>
      <c r="H118" s="131">
        <v>-6386161000</v>
      </c>
      <c r="I118" s="105"/>
    </row>
    <row r="119" spans="2:9">
      <c r="B119" s="219" t="s">
        <v>514</v>
      </c>
      <c r="C119" s="66">
        <v>27744000</v>
      </c>
      <c r="D119" s="66">
        <v>46019000</v>
      </c>
      <c r="E119" s="66">
        <v>75338000</v>
      </c>
      <c r="F119" s="66">
        <v>79877000</v>
      </c>
      <c r="G119" s="66">
        <v>60123000</v>
      </c>
      <c r="H119" s="131">
        <v>122390000</v>
      </c>
      <c r="I119" s="105"/>
    </row>
    <row r="120" spans="2:9">
      <c r="B120" s="85" t="s">
        <v>432</v>
      </c>
      <c r="C120" s="66">
        <v>99917000</v>
      </c>
      <c r="D120" s="66">
        <v>-3701959000</v>
      </c>
      <c r="E120" s="66">
        <v>-4237762000</v>
      </c>
      <c r="F120" s="66">
        <v>-2833933000</v>
      </c>
      <c r="G120" s="66">
        <v>-2810091000</v>
      </c>
      <c r="H120" s="131">
        <v>-4543076000</v>
      </c>
      <c r="I120" s="105"/>
    </row>
    <row r="121" spans="2:9">
      <c r="B121" s="85" t="s">
        <v>515</v>
      </c>
      <c r="C121" s="66">
        <v>-1102000</v>
      </c>
      <c r="D121" s="66">
        <v>-56076000</v>
      </c>
      <c r="E121" s="66">
        <v>-29110000</v>
      </c>
      <c r="F121" s="66">
        <v>-85079000</v>
      </c>
      <c r="G121" s="66">
        <v>-277533000</v>
      </c>
      <c r="H121" s="131">
        <v>-434704000</v>
      </c>
      <c r="I121" s="105"/>
    </row>
    <row r="122" spans="2:9">
      <c r="B122" s="86" t="s">
        <v>362</v>
      </c>
      <c r="C122" s="64">
        <v>12293788000</v>
      </c>
      <c r="D122" s="64">
        <v>9390696000</v>
      </c>
      <c r="E122" s="64">
        <v>7100519000</v>
      </c>
      <c r="F122" s="64">
        <v>20474646000</v>
      </c>
      <c r="G122" s="64">
        <v>26236952000</v>
      </c>
      <c r="H122" s="130">
        <v>18890921000</v>
      </c>
      <c r="I122" s="105"/>
    </row>
    <row r="123" spans="2:9">
      <c r="B123" s="85" t="s">
        <v>363</v>
      </c>
      <c r="C123" s="66">
        <v>-3131720000</v>
      </c>
      <c r="D123" s="66">
        <v>-3441125000</v>
      </c>
      <c r="E123" s="66">
        <v>-2843306000</v>
      </c>
      <c r="F123" s="66">
        <v>-5301064000</v>
      </c>
      <c r="G123" s="91">
        <v>-6347211000</v>
      </c>
      <c r="H123" s="131">
        <v>-1514684000</v>
      </c>
      <c r="I123" s="105"/>
    </row>
    <row r="124" spans="2:9" ht="28.5">
      <c r="B124" s="87" t="s">
        <v>516</v>
      </c>
      <c r="C124" s="66">
        <v>9048525000</v>
      </c>
      <c r="D124" s="66">
        <v>5917243000</v>
      </c>
      <c r="E124" s="66">
        <v>4092299000</v>
      </c>
      <c r="F124" s="66">
        <v>14884582000</v>
      </c>
      <c r="G124" s="91">
        <v>19532052000</v>
      </c>
      <c r="H124" s="131">
        <v>16994156000</v>
      </c>
      <c r="I124" s="105"/>
    </row>
    <row r="125" spans="2:9" ht="28.5">
      <c r="B125" s="87" t="s">
        <v>435</v>
      </c>
      <c r="C125" s="66">
        <v>113543000</v>
      </c>
      <c r="D125" s="66">
        <v>32328000</v>
      </c>
      <c r="E125" s="66">
        <v>164914000</v>
      </c>
      <c r="F125" s="66">
        <v>289000000</v>
      </c>
      <c r="G125" s="91">
        <v>357689000</v>
      </c>
      <c r="H125" s="131">
        <v>382081000</v>
      </c>
      <c r="I125" s="105"/>
    </row>
    <row r="126" spans="2:9">
      <c r="B126" s="84" t="s">
        <v>365</v>
      </c>
      <c r="C126" s="64">
        <f t="shared" ref="C126:E126" si="80">+C124+C125</f>
        <v>9162068000</v>
      </c>
      <c r="D126" s="64">
        <f t="shared" si="80"/>
        <v>5949571000</v>
      </c>
      <c r="E126" s="64">
        <f t="shared" si="80"/>
        <v>4257213000</v>
      </c>
      <c r="F126" s="64">
        <f>+F124+F125</f>
        <v>15173582000</v>
      </c>
      <c r="G126" s="64">
        <f>+G124+G125</f>
        <v>19889741000</v>
      </c>
      <c r="H126" s="64">
        <f>+H124+H125</f>
        <v>17376237000</v>
      </c>
      <c r="I126" s="105"/>
    </row>
    <row r="127" spans="2:9">
      <c r="B127" s="84" t="s">
        <v>366</v>
      </c>
      <c r="C127" s="111">
        <v>411.29700000000003</v>
      </c>
      <c r="D127" s="111">
        <v>268.96600000000001</v>
      </c>
      <c r="E127" s="111">
        <v>186.01400000000001</v>
      </c>
      <c r="F127" s="134">
        <v>676.572</v>
      </c>
      <c r="G127" s="134">
        <v>887.82100000000003</v>
      </c>
      <c r="H127" s="220">
        <v>772.46199999999999</v>
      </c>
      <c r="I127" s="201"/>
    </row>
    <row r="129" spans="2:9" ht="14.65" thickBot="1">
      <c r="B129" s="75" t="s">
        <v>367</v>
      </c>
    </row>
    <row r="130" spans="2:9" ht="14.65" thickBot="1">
      <c r="B130" s="82" t="s">
        <v>308</v>
      </c>
      <c r="C130" s="88">
        <v>2017</v>
      </c>
      <c r="D130" s="88">
        <v>2018</v>
      </c>
      <c r="E130" s="88">
        <v>2019</v>
      </c>
      <c r="F130" s="88">
        <v>2020</v>
      </c>
      <c r="G130" s="88">
        <v>2021</v>
      </c>
      <c r="H130" s="89">
        <v>2022</v>
      </c>
      <c r="I130" s="103">
        <v>2023</v>
      </c>
    </row>
    <row r="131" spans="2:9">
      <c r="B131" s="83" t="s">
        <v>368</v>
      </c>
      <c r="C131" s="90">
        <v>3487195000</v>
      </c>
      <c r="D131" s="90">
        <v>3226080000</v>
      </c>
      <c r="E131" s="90">
        <v>25432375000</v>
      </c>
      <c r="F131" s="90">
        <v>29072923000</v>
      </c>
      <c r="G131" s="90">
        <v>17148454000</v>
      </c>
      <c r="H131" s="195">
        <v>-7056387000</v>
      </c>
      <c r="I131" s="202"/>
    </row>
    <row r="132" spans="2:9">
      <c r="B132" s="86" t="s">
        <v>369</v>
      </c>
      <c r="C132" s="91">
        <v>-3209288000</v>
      </c>
      <c r="D132" s="93">
        <v>-4866228000</v>
      </c>
      <c r="E132" s="93">
        <v>-6280881000</v>
      </c>
      <c r="F132" s="66">
        <v>-5641299000</v>
      </c>
      <c r="G132" s="93">
        <v>-7117593000</v>
      </c>
      <c r="H132" s="131">
        <v>-7789193000</v>
      </c>
      <c r="I132" s="203"/>
    </row>
    <row r="133" spans="2:9">
      <c r="B133" s="85" t="s">
        <v>370</v>
      </c>
      <c r="C133" s="93">
        <v>-3457826000</v>
      </c>
      <c r="D133" s="93">
        <v>-3858713000</v>
      </c>
      <c r="E133" s="93">
        <v>-4186213000</v>
      </c>
      <c r="F133" s="93">
        <v>-3138949000</v>
      </c>
      <c r="G133" s="93">
        <v>-5477382000</v>
      </c>
      <c r="H133" s="131">
        <v>-5617498000</v>
      </c>
      <c r="I133" s="203"/>
    </row>
    <row r="134" spans="2:9">
      <c r="B134" s="86" t="s">
        <v>372</v>
      </c>
      <c r="C134" s="120">
        <v>537080000</v>
      </c>
      <c r="D134" s="120">
        <v>1867786000</v>
      </c>
      <c r="E134" s="64">
        <v>-19593342000</v>
      </c>
      <c r="F134" s="120">
        <v>-13912400000</v>
      </c>
      <c r="G134" s="120">
        <v>-17545028000</v>
      </c>
      <c r="H134" s="130">
        <v>14155059000</v>
      </c>
      <c r="I134" s="203"/>
    </row>
    <row r="135" spans="2:9">
      <c r="B135" s="85" t="s">
        <v>517</v>
      </c>
      <c r="C135" s="93">
        <v>-502111000</v>
      </c>
      <c r="D135" s="93">
        <v>-2797767000</v>
      </c>
      <c r="E135" s="66">
        <v>-1798315000</v>
      </c>
      <c r="F135" s="93">
        <v>-1707398000</v>
      </c>
      <c r="G135" s="93">
        <v>-14808579000</v>
      </c>
      <c r="H135" s="131">
        <v>-7996414000</v>
      </c>
      <c r="I135" s="203"/>
    </row>
    <row r="136" spans="2:9">
      <c r="B136" s="86" t="s">
        <v>375</v>
      </c>
      <c r="C136" s="64">
        <v>9345448000</v>
      </c>
      <c r="D136" s="64">
        <v>9345448000</v>
      </c>
      <c r="E136" s="64">
        <v>9470988000</v>
      </c>
      <c r="F136" s="64">
        <v>17863795000</v>
      </c>
      <c r="G136" s="64">
        <v>11837751000</v>
      </c>
      <c r="H136" s="130">
        <v>11829143000</v>
      </c>
      <c r="I136" s="203"/>
    </row>
    <row r="137" spans="2:9">
      <c r="B137" s="85"/>
      <c r="C137" s="66"/>
      <c r="D137" s="66"/>
      <c r="E137" s="66"/>
      <c r="F137" s="66"/>
      <c r="G137" s="66"/>
      <c r="H137" s="131"/>
      <c r="I137" s="203"/>
    </row>
    <row r="138" spans="2:9">
      <c r="B138" s="84" t="s">
        <v>376</v>
      </c>
      <c r="C138" s="66">
        <f t="shared" ref="C138:E138" si="81">+C131+C133</f>
        <v>29369000</v>
      </c>
      <c r="D138" s="66">
        <f t="shared" si="81"/>
        <v>-632633000</v>
      </c>
      <c r="E138" s="66">
        <f t="shared" si="81"/>
        <v>21246162000</v>
      </c>
      <c r="F138" s="66">
        <f>+F131+F133</f>
        <v>25933974000</v>
      </c>
      <c r="G138" s="66">
        <f>+G131+G133</f>
        <v>11671072000</v>
      </c>
      <c r="H138" s="131">
        <f>+H131+H133</f>
        <v>-12673885000</v>
      </c>
      <c r="I138" s="203">
        <f t="shared" ref="I138" si="82">+I131-I133</f>
        <v>0</v>
      </c>
    </row>
  </sheetData>
  <conditionalFormatting sqref="C57:I59 D60:I61 C62:I95 C97:I100 C101:D101 F101:I101 C102:I104">
    <cfRule type="cellIs" dxfId="283" priority="3" operator="lessThan">
      <formula>0</formula>
    </cfRule>
  </conditionalFormatting>
  <conditionalFormatting sqref="C108:I127">
    <cfRule type="cellIs" dxfId="282" priority="2" operator="lessThan">
      <formula>0</formula>
    </cfRule>
  </conditionalFormatting>
  <conditionalFormatting sqref="C131:I138">
    <cfRule type="cellIs" dxfId="281" priority="1" operator="lessThan">
      <formula>0</formula>
    </cfRule>
  </conditionalFormatting>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08E43-C358-4DE8-8A23-B424D6A62053}">
  <sheetPr codeName="Hoja11"/>
  <dimension ref="B2:Q151"/>
  <sheetViews>
    <sheetView zoomScale="55" zoomScaleNormal="55" workbookViewId="0">
      <pane xSplit="2" ySplit="6" topLeftCell="E47" activePane="bottomRight" state="frozen"/>
      <selection pane="bottomRight" activeCell="K44" sqref="K44"/>
      <selection pane="bottomLeft" activeCell="A7" sqref="A7"/>
      <selection pane="topRight" activeCell="C1" sqref="C1"/>
    </sheetView>
  </sheetViews>
  <sheetFormatPr defaultColWidth="10.7109375" defaultRowHeight="15"/>
  <cols>
    <col min="1" max="1" width="4.42578125" style="855" customWidth="1"/>
    <col min="2" max="2" width="71.42578125" style="855" bestFit="1" customWidth="1"/>
    <col min="3" max="3" width="19.5703125" style="855" bestFit="1" customWidth="1"/>
    <col min="4" max="4" width="29.85546875" style="855" bestFit="1" customWidth="1"/>
    <col min="5" max="5" width="28.5703125" style="855" bestFit="1" customWidth="1"/>
    <col min="6" max="10" width="19.5703125" style="855" bestFit="1" customWidth="1"/>
    <col min="11" max="11" width="21.5703125" style="855" bestFit="1" customWidth="1"/>
    <col min="12" max="14" width="9.140625" style="855" bestFit="1" customWidth="1"/>
    <col min="15" max="15" width="10.7109375" style="855"/>
    <col min="18" max="16384" width="10.7109375" style="855"/>
  </cols>
  <sheetData>
    <row r="2" spans="2:14">
      <c r="B2" s="852">
        <f ca="1">TODAY()-1</f>
        <v>46105</v>
      </c>
      <c r="C2" s="853"/>
      <c r="D2" s="854" t="s">
        <v>518</v>
      </c>
      <c r="E2" s="854" t="s">
        <v>266</v>
      </c>
    </row>
    <row r="3" spans="2:14">
      <c r="B3" s="856" cm="1">
        <f t="array" aca="1" ref="B3" ca="1">_FV(B6,"Precio")</f>
        <v>3475</v>
      </c>
      <c r="C3" s="857"/>
      <c r="D3" s="858">
        <f>AVERAGE(I45:K45)</f>
        <v>156.66666666666666</v>
      </c>
      <c r="E3" s="858">
        <f>AVERAGE(H44:J44)</f>
        <v>200</v>
      </c>
    </row>
    <row r="4" spans="2:14">
      <c r="B4" s="859"/>
      <c r="C4" s="860"/>
      <c r="D4" s="861"/>
      <c r="E4" s="861"/>
    </row>
    <row r="6" spans="2:14">
      <c r="B6" s="862" t="e" vm="8">
        <v>#VALUE!</v>
      </c>
      <c r="C6" s="862">
        <v>2017</v>
      </c>
      <c r="D6" s="862">
        <v>2018</v>
      </c>
      <c r="E6" s="862">
        <v>2019</v>
      </c>
      <c r="F6" s="862">
        <v>2020</v>
      </c>
      <c r="G6" s="862">
        <v>2021</v>
      </c>
      <c r="H6" s="862">
        <v>2022</v>
      </c>
      <c r="I6" s="862">
        <v>2023</v>
      </c>
      <c r="J6" s="862">
        <v>2024</v>
      </c>
      <c r="K6" s="862">
        <v>2025</v>
      </c>
      <c r="L6" s="862">
        <v>2026</v>
      </c>
      <c r="M6" s="862">
        <v>2027</v>
      </c>
      <c r="N6" s="862">
        <v>2028</v>
      </c>
    </row>
    <row r="7" spans="2:14">
      <c r="B7" s="863" t="s">
        <v>267</v>
      </c>
      <c r="C7" s="864">
        <f>+C68</f>
        <v>484010050000</v>
      </c>
      <c r="D7" s="864">
        <f t="shared" ref="D7:I7" si="0">+D68</f>
        <v>481586454000</v>
      </c>
      <c r="E7" s="864">
        <f t="shared" si="0"/>
        <v>533474103000</v>
      </c>
      <c r="F7" s="864">
        <f t="shared" si="0"/>
        <v>797297716000</v>
      </c>
      <c r="G7" s="864">
        <f t="shared" si="0"/>
        <v>990986123000</v>
      </c>
      <c r="H7" s="864">
        <f t="shared" si="0"/>
        <v>1161729392000</v>
      </c>
      <c r="I7" s="864">
        <f t="shared" si="0"/>
        <v>981771027000</v>
      </c>
      <c r="J7" s="864">
        <f t="shared" ref="J7:N7" si="1">+J68</f>
        <v>1013195740000</v>
      </c>
      <c r="K7" s="864">
        <f t="shared" si="1"/>
        <v>1033052781000</v>
      </c>
      <c r="L7" s="864">
        <f t="shared" si="1"/>
        <v>0</v>
      </c>
      <c r="M7" s="864">
        <f t="shared" si="1"/>
        <v>0</v>
      </c>
      <c r="N7" s="864">
        <f t="shared" si="1"/>
        <v>0</v>
      </c>
    </row>
    <row r="8" spans="2:14">
      <c r="B8" s="865" t="s">
        <v>377</v>
      </c>
      <c r="C8" s="866">
        <f>+C72</f>
        <v>191284680000</v>
      </c>
      <c r="D8" s="866">
        <f t="shared" ref="D8:I8" si="2">+D72</f>
        <v>174113323000</v>
      </c>
      <c r="E8" s="866">
        <f t="shared" si="2"/>
        <v>191077588000</v>
      </c>
      <c r="F8" s="866">
        <f t="shared" si="2"/>
        <v>194021253000</v>
      </c>
      <c r="G8" s="866">
        <f t="shared" si="2"/>
        <v>265490626000</v>
      </c>
      <c r="H8" s="866">
        <f t="shared" si="2"/>
        <v>279770286000</v>
      </c>
      <c r="I8" s="866">
        <f t="shared" si="2"/>
        <v>298892164000</v>
      </c>
      <c r="J8" s="866">
        <f t="shared" ref="J8:N8" si="3">+J72</f>
        <v>332831088000</v>
      </c>
      <c r="K8" s="866">
        <f t="shared" si="3"/>
        <v>339778498000</v>
      </c>
      <c r="L8" s="866">
        <f t="shared" si="3"/>
        <v>0</v>
      </c>
      <c r="M8" s="866">
        <f t="shared" si="3"/>
        <v>0</v>
      </c>
      <c r="N8" s="866">
        <f t="shared" si="3"/>
        <v>0</v>
      </c>
    </row>
    <row r="9" spans="2:14">
      <c r="B9" s="865" t="s">
        <v>378</v>
      </c>
      <c r="C9" s="866">
        <f>+C74</f>
        <v>131363000000</v>
      </c>
      <c r="D9" s="866">
        <f t="shared" ref="D9:I9" si="4">+D74</f>
        <v>151319709000</v>
      </c>
      <c r="E9" s="866">
        <f t="shared" si="4"/>
        <v>147641224000</v>
      </c>
      <c r="F9" s="866">
        <f t="shared" si="4"/>
        <v>127972650000</v>
      </c>
      <c r="G9" s="866">
        <f t="shared" si="4"/>
        <v>191350206000</v>
      </c>
      <c r="H9" s="866">
        <f t="shared" si="4"/>
        <v>245886656000</v>
      </c>
      <c r="I9" s="866">
        <f t="shared" si="4"/>
        <v>233053160000</v>
      </c>
      <c r="J9" s="866">
        <f t="shared" ref="J9:N9" si="5">+J74</f>
        <v>299970909000</v>
      </c>
      <c r="K9" s="866">
        <f t="shared" si="5"/>
        <v>304550609000</v>
      </c>
      <c r="L9" s="866">
        <f t="shared" si="5"/>
        <v>0</v>
      </c>
      <c r="M9" s="866">
        <f t="shared" si="5"/>
        <v>0</v>
      </c>
      <c r="N9" s="866">
        <f t="shared" si="5"/>
        <v>0</v>
      </c>
    </row>
    <row r="10" spans="2:14">
      <c r="B10" s="863" t="s">
        <v>519</v>
      </c>
      <c r="C10" s="864">
        <f>+C77</f>
        <v>1630849417000</v>
      </c>
      <c r="D10" s="864">
        <f t="shared" ref="D10:I10" si="6">+D77</f>
        <v>1732918235000</v>
      </c>
      <c r="E10" s="864">
        <f t="shared" si="6"/>
        <v>1857474320000</v>
      </c>
      <c r="F10" s="864">
        <f t="shared" si="6"/>
        <v>1650766684000</v>
      </c>
      <c r="G10" s="864">
        <f t="shared" si="6"/>
        <v>1955120524000</v>
      </c>
      <c r="H10" s="864">
        <f>+H77</f>
        <v>1848971215000</v>
      </c>
      <c r="I10" s="864">
        <f t="shared" si="6"/>
        <v>1939749862000</v>
      </c>
      <c r="J10" s="864">
        <f t="shared" ref="J10:N10" si="7">+J77</f>
        <v>2277908533000</v>
      </c>
      <c r="K10" s="864">
        <f t="shared" si="7"/>
        <v>2387352637000</v>
      </c>
      <c r="L10" s="864">
        <f t="shared" si="7"/>
        <v>0</v>
      </c>
      <c r="M10" s="864">
        <f t="shared" si="7"/>
        <v>0</v>
      </c>
      <c r="N10" s="864">
        <f t="shared" si="7"/>
        <v>0</v>
      </c>
    </row>
    <row r="11" spans="2:14">
      <c r="B11" s="867" t="s">
        <v>272</v>
      </c>
      <c r="C11" s="868">
        <f t="shared" ref="C11:I11" si="8">+C7+C10</f>
        <v>2114859467000</v>
      </c>
      <c r="D11" s="868">
        <f t="shared" si="8"/>
        <v>2214504689000</v>
      </c>
      <c r="E11" s="868">
        <f t="shared" si="8"/>
        <v>2390948423000</v>
      </c>
      <c r="F11" s="868">
        <f t="shared" si="8"/>
        <v>2448064400000</v>
      </c>
      <c r="G11" s="868">
        <f t="shared" si="8"/>
        <v>2946106647000</v>
      </c>
      <c r="H11" s="868">
        <f t="shared" si="8"/>
        <v>3010700607000</v>
      </c>
      <c r="I11" s="868">
        <f t="shared" si="8"/>
        <v>2921520889000</v>
      </c>
      <c r="J11" s="868">
        <f t="shared" ref="J11:N11" si="9">+J7+J10</f>
        <v>3291104273000</v>
      </c>
      <c r="K11" s="868">
        <f t="shared" si="9"/>
        <v>3420405418000</v>
      </c>
      <c r="L11" s="868">
        <f t="shared" si="9"/>
        <v>0</v>
      </c>
      <c r="M11" s="868">
        <f t="shared" si="9"/>
        <v>0</v>
      </c>
      <c r="N11" s="868">
        <f t="shared" si="9"/>
        <v>0</v>
      </c>
    </row>
    <row r="12" spans="2:14">
      <c r="B12" s="869" t="s">
        <v>273</v>
      </c>
      <c r="C12" s="870">
        <f>+C91</f>
        <v>428287322000</v>
      </c>
      <c r="D12" s="870">
        <f t="shared" ref="D12:I12" si="10">+D91</f>
        <v>419862101000</v>
      </c>
      <c r="E12" s="870">
        <f t="shared" si="10"/>
        <v>411658352000</v>
      </c>
      <c r="F12" s="870">
        <f t="shared" si="10"/>
        <v>378056186000</v>
      </c>
      <c r="G12" s="870">
        <f t="shared" si="10"/>
        <v>529567279000</v>
      </c>
      <c r="H12" s="870">
        <f t="shared" si="10"/>
        <v>949245134000</v>
      </c>
      <c r="I12" s="870">
        <f t="shared" si="10"/>
        <v>692871296000</v>
      </c>
      <c r="J12" s="870">
        <f t="shared" ref="J12:N12" si="11">+J91</f>
        <v>906143994000</v>
      </c>
      <c r="K12" s="870">
        <f t="shared" si="11"/>
        <v>730412517000</v>
      </c>
      <c r="L12" s="870">
        <f t="shared" si="11"/>
        <v>0</v>
      </c>
      <c r="M12" s="870">
        <f t="shared" si="11"/>
        <v>0</v>
      </c>
      <c r="N12" s="870">
        <f t="shared" si="11"/>
        <v>0</v>
      </c>
    </row>
    <row r="13" spans="2:14">
      <c r="B13" s="869" t="s">
        <v>274</v>
      </c>
      <c r="C13" s="870">
        <f>+C101</f>
        <v>873338796000</v>
      </c>
      <c r="D13" s="870">
        <f t="shared" ref="D13:I13" si="12">+D101</f>
        <v>930927845000</v>
      </c>
      <c r="E13" s="870">
        <f t="shared" si="12"/>
        <v>1010386123000</v>
      </c>
      <c r="F13" s="870">
        <f t="shared" si="12"/>
        <v>1238447623000</v>
      </c>
      <c r="G13" s="870">
        <f t="shared" si="12"/>
        <v>1315125809000</v>
      </c>
      <c r="H13" s="870">
        <f t="shared" si="12"/>
        <v>1178052821000</v>
      </c>
      <c r="I13" s="870">
        <f t="shared" si="12"/>
        <v>1307664179000</v>
      </c>
      <c r="J13" s="870">
        <f t="shared" ref="J13:N13" si="13">+J101</f>
        <v>1370563259000</v>
      </c>
      <c r="K13" s="870">
        <f t="shared" si="13"/>
        <v>1493439053000</v>
      </c>
      <c r="L13" s="870">
        <f t="shared" si="13"/>
        <v>0</v>
      </c>
      <c r="M13" s="870">
        <f t="shared" si="13"/>
        <v>0</v>
      </c>
      <c r="N13" s="870">
        <f t="shared" si="13"/>
        <v>0</v>
      </c>
    </row>
    <row r="14" spans="2:14">
      <c r="B14" s="871" t="s">
        <v>275</v>
      </c>
      <c r="C14" s="872">
        <f t="shared" ref="C14:I14" si="14">SUM(C12:C13)</f>
        <v>1301626118000</v>
      </c>
      <c r="D14" s="872">
        <f t="shared" si="14"/>
        <v>1350789946000</v>
      </c>
      <c r="E14" s="872">
        <f t="shared" si="14"/>
        <v>1422044475000</v>
      </c>
      <c r="F14" s="872">
        <f t="shared" si="14"/>
        <v>1616503809000</v>
      </c>
      <c r="G14" s="872">
        <f t="shared" si="14"/>
        <v>1844693088000</v>
      </c>
      <c r="H14" s="872">
        <f t="shared" si="14"/>
        <v>2127297955000</v>
      </c>
      <c r="I14" s="872">
        <f t="shared" si="14"/>
        <v>2000535475000</v>
      </c>
      <c r="J14" s="872">
        <f t="shared" ref="J14:N14" si="15">SUM(J12:J13)</f>
        <v>2276707253000</v>
      </c>
      <c r="K14" s="872">
        <f t="shared" si="15"/>
        <v>2223851570000</v>
      </c>
      <c r="L14" s="872">
        <f t="shared" si="15"/>
        <v>0</v>
      </c>
      <c r="M14" s="872">
        <f t="shared" si="15"/>
        <v>0</v>
      </c>
      <c r="N14" s="872">
        <f t="shared" si="15"/>
        <v>0</v>
      </c>
    </row>
    <row r="15" spans="2:14">
      <c r="B15" s="873" t="s">
        <v>276</v>
      </c>
      <c r="C15" s="874">
        <f>+C117</f>
        <v>791310056000</v>
      </c>
      <c r="D15" s="874">
        <f t="shared" ref="D15:I15" si="16">+D117</f>
        <v>843813126000</v>
      </c>
      <c r="E15" s="874">
        <f t="shared" si="16"/>
        <v>948649690000</v>
      </c>
      <c r="F15" s="874">
        <f t="shared" si="16"/>
        <v>811181114000</v>
      </c>
      <c r="G15" s="874">
        <f t="shared" si="16"/>
        <v>1076143804000</v>
      </c>
      <c r="H15" s="874">
        <f t="shared" si="16"/>
        <v>855260144000</v>
      </c>
      <c r="I15" s="874">
        <f t="shared" si="16"/>
        <v>886290527000</v>
      </c>
      <c r="J15" s="874">
        <f t="shared" ref="J15:N15" si="17">+J117</f>
        <v>976409192000</v>
      </c>
      <c r="K15" s="874">
        <f>+K117</f>
        <v>1157398797000</v>
      </c>
      <c r="L15" s="874">
        <f t="shared" si="17"/>
        <v>0</v>
      </c>
      <c r="M15" s="874">
        <f t="shared" si="17"/>
        <v>0</v>
      </c>
      <c r="N15" s="874">
        <f t="shared" si="17"/>
        <v>0</v>
      </c>
    </row>
    <row r="16" spans="2:14">
      <c r="B16" s="875" t="s">
        <v>278</v>
      </c>
      <c r="C16" s="876">
        <v>946570604</v>
      </c>
      <c r="D16" s="876">
        <v>946570604</v>
      </c>
      <c r="E16" s="876">
        <v>946570604</v>
      </c>
      <c r="F16" s="876">
        <v>946570604</v>
      </c>
      <c r="G16" s="876">
        <v>946570604</v>
      </c>
      <c r="H16" s="876">
        <v>946570604</v>
      </c>
      <c r="I16" s="876">
        <v>946570604</v>
      </c>
      <c r="J16" s="876">
        <v>946570604</v>
      </c>
      <c r="K16" s="876">
        <v>946570604</v>
      </c>
      <c r="L16" s="876"/>
      <c r="M16" s="876"/>
      <c r="N16" s="876"/>
    </row>
    <row r="18" spans="2:14">
      <c r="B18" s="877" t="s">
        <v>279</v>
      </c>
      <c r="C18" s="878">
        <f>(C15/C16)</f>
        <v>835.97573456865985</v>
      </c>
      <c r="D18" s="878">
        <f t="shared" ref="D18:I18" si="18">(D15/D16)</f>
        <v>891.44235246079961</v>
      </c>
      <c r="E18" s="878">
        <f t="shared" si="18"/>
        <v>1002.1964404886591</v>
      </c>
      <c r="F18" s="878">
        <f t="shared" si="18"/>
        <v>856.96841901927473</v>
      </c>
      <c r="G18" s="878">
        <f t="shared" si="18"/>
        <v>1136.8869891505738</v>
      </c>
      <c r="H18" s="878">
        <f t="shared" si="18"/>
        <v>903.53550003122643</v>
      </c>
      <c r="I18" s="878">
        <f t="shared" si="18"/>
        <v>936.31740015454784</v>
      </c>
      <c r="J18" s="878">
        <f t="shared" ref="J18:N18" si="19">(J15/J16)</f>
        <v>1031.5228339797461</v>
      </c>
      <c r="K18" s="878">
        <f t="shared" si="19"/>
        <v>1222.7284389659749</v>
      </c>
      <c r="L18" s="878" t="e">
        <f t="shared" si="19"/>
        <v>#DIV/0!</v>
      </c>
      <c r="M18" s="878" t="e">
        <f t="shared" si="19"/>
        <v>#DIV/0!</v>
      </c>
      <c r="N18" s="878" t="e">
        <f t="shared" si="19"/>
        <v>#DIV/0!</v>
      </c>
    </row>
    <row r="19" spans="2:14">
      <c r="B19" s="879" t="s">
        <v>282</v>
      </c>
      <c r="C19" s="880">
        <v>2580</v>
      </c>
      <c r="D19" s="880">
        <v>2250</v>
      </c>
      <c r="E19" s="880">
        <v>1880</v>
      </c>
      <c r="F19" s="880">
        <v>1581</v>
      </c>
      <c r="G19" s="880">
        <v>1600</v>
      </c>
      <c r="H19" s="881">
        <v>1641</v>
      </c>
      <c r="I19" s="881">
        <v>1746</v>
      </c>
      <c r="J19" s="881">
        <v>2398.1999999999998</v>
      </c>
      <c r="K19" s="881">
        <v>3561.8</v>
      </c>
      <c r="L19" s="881"/>
      <c r="M19" s="881"/>
      <c r="N19" s="881"/>
    </row>
    <row r="20" spans="2:14">
      <c r="B20" s="877" t="s">
        <v>283</v>
      </c>
      <c r="C20" s="882">
        <f>+C19/C40</f>
        <v>21.761133603238864</v>
      </c>
      <c r="D20" s="882">
        <f t="shared" ref="D20:I20" si="20">+D19/D40</f>
        <v>23.148148148148149</v>
      </c>
      <c r="E20" s="882">
        <f t="shared" si="20"/>
        <v>10.755764059728818</v>
      </c>
      <c r="F20" s="882">
        <f t="shared" si="20"/>
        <v>10.150882825040128</v>
      </c>
      <c r="G20" s="882">
        <f t="shared" si="20"/>
        <v>10.279473176999678</v>
      </c>
      <c r="H20" s="882">
        <f t="shared" si="20"/>
        <v>12.995961035875505</v>
      </c>
      <c r="I20" s="882">
        <f t="shared" si="20"/>
        <v>10.122325931938082</v>
      </c>
      <c r="J20" s="882">
        <f t="shared" ref="J20:N20" si="21">+J19/J40</f>
        <v>10.244777649621939</v>
      </c>
      <c r="K20" s="882">
        <f t="shared" si="21"/>
        <v>13.174773441834658</v>
      </c>
      <c r="L20" s="882" t="e">
        <f t="shared" si="21"/>
        <v>#DIV/0!</v>
      </c>
      <c r="M20" s="882" t="e">
        <f t="shared" si="21"/>
        <v>#DIV/0!</v>
      </c>
      <c r="N20" s="882" t="e">
        <f t="shared" si="21"/>
        <v>#DIV/0!</v>
      </c>
    </row>
    <row r="21" spans="2:14">
      <c r="B21" s="877" t="s">
        <v>520</v>
      </c>
      <c r="C21" s="882">
        <f t="shared" ref="C21:I21" si="22">+C19/C18</f>
        <v>3.0862139812361993</v>
      </c>
      <c r="D21" s="882">
        <f t="shared" si="22"/>
        <v>2.5239994417910965</v>
      </c>
      <c r="E21" s="882">
        <f t="shared" si="22"/>
        <v>1.875879741783292</v>
      </c>
      <c r="F21" s="882">
        <f t="shared" si="22"/>
        <v>1.8448754527142506</v>
      </c>
      <c r="G21" s="882">
        <f t="shared" si="22"/>
        <v>1.4073518434716554</v>
      </c>
      <c r="H21" s="882">
        <f t="shared" si="22"/>
        <v>1.8161986993795889</v>
      </c>
      <c r="I21" s="882">
        <f t="shared" si="22"/>
        <v>1.864752272799594</v>
      </c>
      <c r="J21" s="882">
        <f t="shared" ref="J21:N21" si="23">+J19/J18</f>
        <v>2.3249121793527725</v>
      </c>
      <c r="K21" s="882">
        <f t="shared" si="23"/>
        <v>2.9129935041112716</v>
      </c>
      <c r="L21" s="882" t="e">
        <f t="shared" si="23"/>
        <v>#DIV/0!</v>
      </c>
      <c r="M21" s="882" t="e">
        <f t="shared" si="23"/>
        <v>#DIV/0!</v>
      </c>
      <c r="N21" s="882" t="e">
        <f t="shared" si="23"/>
        <v>#DIV/0!</v>
      </c>
    </row>
    <row r="22" spans="2:14">
      <c r="B22" s="877" t="s">
        <v>521</v>
      </c>
      <c r="C22" s="882">
        <f>+C20*C21</f>
        <v>67.159514773864657</v>
      </c>
      <c r="D22" s="882">
        <f t="shared" ref="D22:I22" si="24">+D20*D21</f>
        <v>58.425913004423528</v>
      </c>
      <c r="E22" s="882">
        <f t="shared" si="24"/>
        <v>20.176519907046107</v>
      </c>
      <c r="F22" s="882">
        <f t="shared" si="24"/>
        <v>18.727114547295216</v>
      </c>
      <c r="G22" s="882">
        <f t="shared" si="24"/>
        <v>14.466835525567932</v>
      </c>
      <c r="H22" s="882">
        <f t="shared" si="24"/>
        <v>23.603247530544905</v>
      </c>
      <c r="I22" s="882">
        <f t="shared" si="24"/>
        <v>18.875630287599808</v>
      </c>
      <c r="J22" s="882">
        <f t="shared" ref="J22:N22" si="25">+J20*J21</f>
        <v>23.818208332367117</v>
      </c>
      <c r="K22" s="882">
        <f t="shared" si="25"/>
        <v>38.378029454202057</v>
      </c>
      <c r="L22" s="882" t="e">
        <f t="shared" si="25"/>
        <v>#DIV/0!</v>
      </c>
      <c r="M22" s="882" t="e">
        <f t="shared" si="25"/>
        <v>#DIV/0!</v>
      </c>
      <c r="N22" s="882" t="e">
        <f t="shared" si="25"/>
        <v>#DIV/0!</v>
      </c>
    </row>
    <row r="23" spans="2:14">
      <c r="B23" s="883" t="s">
        <v>286</v>
      </c>
      <c r="C23" s="884">
        <f>IF(C41&lt;10%,0,IF(15%&lt;C41,2,1))</f>
        <v>2</v>
      </c>
      <c r="D23" s="884">
        <f>IF(D41&lt;10%,0,IF(15%&lt;D41,2,1))</f>
        <v>1</v>
      </c>
      <c r="E23" s="884">
        <f t="shared" ref="E23:F23" si="26">IF(E41&lt;10%,0,IF(15%&lt;E41,2,1))</f>
        <v>2</v>
      </c>
      <c r="F23" s="884">
        <f t="shared" si="26"/>
        <v>2</v>
      </c>
      <c r="G23" s="884">
        <v>2</v>
      </c>
      <c r="H23" s="884">
        <v>2</v>
      </c>
      <c r="I23" s="884">
        <v>2</v>
      </c>
      <c r="J23" s="884">
        <v>2</v>
      </c>
      <c r="K23" s="884">
        <v>2</v>
      </c>
      <c r="L23" s="884">
        <v>2</v>
      </c>
      <c r="M23" s="884">
        <v>2</v>
      </c>
      <c r="N23" s="884">
        <v>2</v>
      </c>
    </row>
    <row r="24" spans="2:14">
      <c r="B24" s="883" t="s">
        <v>287</v>
      </c>
      <c r="C24" s="884">
        <f>IF(C41&lt;10%,1,IF(15%&lt;C41,2.5,2))</f>
        <v>2.5</v>
      </c>
      <c r="D24" s="884">
        <f t="shared" ref="D24:F24" si="27">IF(D41&lt;10%,1,IF(15%&lt;D41,2.5,2))</f>
        <v>2</v>
      </c>
      <c r="E24" s="884">
        <f t="shared" si="27"/>
        <v>2.5</v>
      </c>
      <c r="F24" s="884">
        <f t="shared" si="27"/>
        <v>2.5</v>
      </c>
      <c r="G24" s="884">
        <v>2.5</v>
      </c>
      <c r="H24" s="884">
        <v>2.5</v>
      </c>
      <c r="I24" s="884">
        <v>2.5</v>
      </c>
      <c r="J24" s="884">
        <v>2.5</v>
      </c>
      <c r="K24" s="884">
        <v>2.5</v>
      </c>
      <c r="L24" s="884">
        <v>2.5</v>
      </c>
      <c r="M24" s="884">
        <v>2.5</v>
      </c>
      <c r="N24" s="884">
        <v>2.5</v>
      </c>
    </row>
    <row r="25" spans="2:14">
      <c r="B25" s="885" t="s">
        <v>288</v>
      </c>
      <c r="C25" s="886">
        <f t="shared" ref="C25:I25" si="28">+C23*C18</f>
        <v>1671.9514691373197</v>
      </c>
      <c r="D25" s="886">
        <f t="shared" si="28"/>
        <v>891.44235246079961</v>
      </c>
      <c r="E25" s="886">
        <f t="shared" si="28"/>
        <v>2004.3928809773181</v>
      </c>
      <c r="F25" s="886">
        <f t="shared" si="28"/>
        <v>1713.9368380385495</v>
      </c>
      <c r="G25" s="886">
        <f t="shared" si="28"/>
        <v>2273.7739783011475</v>
      </c>
      <c r="H25" s="886">
        <f t="shared" si="28"/>
        <v>1807.0710000624529</v>
      </c>
      <c r="I25" s="886">
        <f t="shared" si="28"/>
        <v>1872.6348003090957</v>
      </c>
      <c r="J25" s="886">
        <f t="shared" ref="J25:N25" si="29">+J23*J18</f>
        <v>2063.0456679594922</v>
      </c>
      <c r="K25" s="886">
        <f t="shared" si="29"/>
        <v>2445.4568779319497</v>
      </c>
      <c r="L25" s="886" t="e">
        <f t="shared" si="29"/>
        <v>#DIV/0!</v>
      </c>
      <c r="M25" s="886" t="e">
        <f t="shared" si="29"/>
        <v>#DIV/0!</v>
      </c>
      <c r="N25" s="886" t="e">
        <f t="shared" si="29"/>
        <v>#DIV/0!</v>
      </c>
    </row>
    <row r="26" spans="2:14">
      <c r="B26" s="885" t="s">
        <v>289</v>
      </c>
      <c r="C26" s="886">
        <f>AVERAGE(C25,C27)</f>
        <v>1880.9454027794845</v>
      </c>
      <c r="D26" s="886">
        <f t="shared" ref="D26:I26" si="30">AVERAGE(D25,D27)</f>
        <v>1337.1635286911994</v>
      </c>
      <c r="E26" s="886">
        <f t="shared" si="30"/>
        <v>2254.9419910994829</v>
      </c>
      <c r="F26" s="886">
        <f t="shared" si="30"/>
        <v>1928.1789427933682</v>
      </c>
      <c r="G26" s="886">
        <f t="shared" si="30"/>
        <v>2557.9957255887912</v>
      </c>
      <c r="H26" s="886">
        <f t="shared" si="30"/>
        <v>2032.9548750702593</v>
      </c>
      <c r="I26" s="886">
        <f t="shared" si="30"/>
        <v>2106.7141503477324</v>
      </c>
      <c r="J26" s="886">
        <f t="shared" ref="J26:N26" si="31">AVERAGE(J25,J27)</f>
        <v>2320.9263764544285</v>
      </c>
      <c r="K26" s="886">
        <f t="shared" si="31"/>
        <v>2751.1389876734434</v>
      </c>
      <c r="L26" s="886" t="e">
        <f t="shared" si="31"/>
        <v>#DIV/0!</v>
      </c>
      <c r="M26" s="886" t="e">
        <f t="shared" si="31"/>
        <v>#DIV/0!</v>
      </c>
      <c r="N26" s="886" t="e">
        <f t="shared" si="31"/>
        <v>#DIV/0!</v>
      </c>
    </row>
    <row r="27" spans="2:14">
      <c r="B27" s="885" t="s">
        <v>290</v>
      </c>
      <c r="C27" s="886">
        <f t="shared" ref="C27:I27" si="32">+C18*C24</f>
        <v>2089.9393364216494</v>
      </c>
      <c r="D27" s="886">
        <f t="shared" si="32"/>
        <v>1782.8847049215992</v>
      </c>
      <c r="E27" s="886">
        <f t="shared" si="32"/>
        <v>2505.4911012216476</v>
      </c>
      <c r="F27" s="886">
        <f t="shared" si="32"/>
        <v>2142.4210475481868</v>
      </c>
      <c r="G27" s="886">
        <f t="shared" si="32"/>
        <v>2842.2174728764344</v>
      </c>
      <c r="H27" s="886">
        <f t="shared" si="32"/>
        <v>2258.8387500780659</v>
      </c>
      <c r="I27" s="886">
        <f t="shared" si="32"/>
        <v>2340.7935003863695</v>
      </c>
      <c r="J27" s="886">
        <f t="shared" ref="J27:N27" si="33">+J18*J24</f>
        <v>2578.8070849493652</v>
      </c>
      <c r="K27" s="886">
        <f t="shared" si="33"/>
        <v>3056.821097414937</v>
      </c>
      <c r="L27" s="886" t="e">
        <f t="shared" si="33"/>
        <v>#DIV/0!</v>
      </c>
      <c r="M27" s="886" t="e">
        <f t="shared" si="33"/>
        <v>#DIV/0!</v>
      </c>
      <c r="N27" s="886" t="e">
        <f t="shared" si="33"/>
        <v>#DIV/0!</v>
      </c>
    </row>
    <row r="29" spans="2:14">
      <c r="B29" s="887" t="s">
        <v>291</v>
      </c>
      <c r="C29" s="888">
        <f t="shared" ref="C29:I29" si="34">C7-C12</f>
        <v>55722728000</v>
      </c>
      <c r="D29" s="888">
        <f t="shared" si="34"/>
        <v>61724353000</v>
      </c>
      <c r="E29" s="888">
        <f t="shared" si="34"/>
        <v>121815751000</v>
      </c>
      <c r="F29" s="888">
        <f t="shared" si="34"/>
        <v>419241530000</v>
      </c>
      <c r="G29" s="888">
        <f t="shared" si="34"/>
        <v>461418844000</v>
      </c>
      <c r="H29" s="888">
        <f t="shared" si="34"/>
        <v>212484258000</v>
      </c>
      <c r="I29" s="888">
        <f t="shared" si="34"/>
        <v>288899731000</v>
      </c>
      <c r="J29" s="888">
        <f t="shared" ref="J29:N29" si="35">J7-J12</f>
        <v>107051746000</v>
      </c>
      <c r="K29" s="888">
        <f t="shared" si="35"/>
        <v>302640264000</v>
      </c>
      <c r="L29" s="888">
        <f t="shared" si="35"/>
        <v>0</v>
      </c>
      <c r="M29" s="888">
        <f t="shared" si="35"/>
        <v>0</v>
      </c>
      <c r="N29" s="888">
        <f t="shared" si="35"/>
        <v>0</v>
      </c>
    </row>
    <row r="30" spans="2:14">
      <c r="B30" s="889" t="s">
        <v>149</v>
      </c>
      <c r="C30" s="890">
        <f t="shared" ref="C30:I30" si="36">C7/C12</f>
        <v>1.1301059478944837</v>
      </c>
      <c r="D30" s="890">
        <f t="shared" si="36"/>
        <v>1.1470110135041696</v>
      </c>
      <c r="E30" s="890">
        <f t="shared" si="36"/>
        <v>1.2959146836403794</v>
      </c>
      <c r="F30" s="890">
        <f>F7/F12</f>
        <v>2.1089397436813795</v>
      </c>
      <c r="G30" s="890">
        <f t="shared" si="36"/>
        <v>1.8713129800453552</v>
      </c>
      <c r="H30" s="891">
        <f t="shared" si="36"/>
        <v>1.2238455066971141</v>
      </c>
      <c r="I30" s="891">
        <f t="shared" si="36"/>
        <v>1.4169601665819334</v>
      </c>
      <c r="J30" s="891">
        <f t="shared" ref="J30:N30" si="37">J7/J12</f>
        <v>1.1181398836264869</v>
      </c>
      <c r="K30" s="891">
        <f t="shared" si="37"/>
        <v>1.4143415630978295</v>
      </c>
      <c r="L30" s="891" t="e">
        <f t="shared" si="37"/>
        <v>#DIV/0!</v>
      </c>
      <c r="M30" s="891" t="e">
        <f t="shared" si="37"/>
        <v>#DIV/0!</v>
      </c>
      <c r="N30" s="891" t="e">
        <f t="shared" si="37"/>
        <v>#DIV/0!</v>
      </c>
    </row>
    <row r="31" spans="2:14">
      <c r="B31" s="889" t="s">
        <v>292</v>
      </c>
      <c r="C31" s="890">
        <f t="shared" ref="C31:I31" si="38">+(C7-C9)/C12</f>
        <v>0.82338895382945754</v>
      </c>
      <c r="D31" s="890">
        <f t="shared" si="38"/>
        <v>0.78660766049946484</v>
      </c>
      <c r="E31" s="890">
        <f t="shared" si="38"/>
        <v>0.93726479039103772</v>
      </c>
      <c r="F31" s="890">
        <f t="shared" si="38"/>
        <v>1.770438074514141</v>
      </c>
      <c r="G31" s="890">
        <f t="shared" si="38"/>
        <v>1.5099798433732157</v>
      </c>
      <c r="H31" s="890">
        <f t="shared" si="38"/>
        <v>0.96481162051445402</v>
      </c>
      <c r="I31" s="890">
        <f t="shared" si="38"/>
        <v>1.0806016518831225</v>
      </c>
      <c r="J31" s="890">
        <f t="shared" ref="J31:N31" si="39">+(J7-J9)/J12</f>
        <v>0.78709877869587253</v>
      </c>
      <c r="K31" s="890">
        <f t="shared" si="39"/>
        <v>0.99738456700078704</v>
      </c>
      <c r="L31" s="890" t="e">
        <f t="shared" si="39"/>
        <v>#DIV/0!</v>
      </c>
      <c r="M31" s="890" t="e">
        <f t="shared" si="39"/>
        <v>#DIV/0!</v>
      </c>
      <c r="N31" s="890" t="e">
        <f t="shared" si="39"/>
        <v>#DIV/0!</v>
      </c>
    </row>
    <row r="32" spans="2:14">
      <c r="B32" s="892" t="s">
        <v>153</v>
      </c>
      <c r="C32" s="893">
        <f t="shared" ref="C32:I32" si="40">C14/C11</f>
        <v>0.61546695575304622</v>
      </c>
      <c r="D32" s="893">
        <f t="shared" si="40"/>
        <v>0.60997384774559849</v>
      </c>
      <c r="E32" s="893">
        <f t="shared" si="40"/>
        <v>0.59476166918553386</v>
      </c>
      <c r="F32" s="893">
        <f t="shared" si="40"/>
        <v>0.66031915214321979</v>
      </c>
      <c r="G32" s="893">
        <f t="shared" si="40"/>
        <v>0.62614606632738101</v>
      </c>
      <c r="H32" s="893">
        <f t="shared" si="40"/>
        <v>0.70657904344721179</v>
      </c>
      <c r="I32" s="893">
        <f t="shared" si="40"/>
        <v>0.68475823073260933</v>
      </c>
      <c r="J32" s="893">
        <f t="shared" ref="J32:N32" si="41">J14/J11</f>
        <v>0.69177609220040659</v>
      </c>
      <c r="K32" s="893">
        <f t="shared" si="41"/>
        <v>0.65017192356698572</v>
      </c>
      <c r="L32" s="893" t="e">
        <f t="shared" si="41"/>
        <v>#DIV/0!</v>
      </c>
      <c r="M32" s="893" t="e">
        <f t="shared" si="41"/>
        <v>#DIV/0!</v>
      </c>
      <c r="N32" s="893" t="e">
        <f t="shared" si="41"/>
        <v>#DIV/0!</v>
      </c>
    </row>
    <row r="35" spans="2:14">
      <c r="B35" s="894" t="s">
        <v>293</v>
      </c>
      <c r="C35" s="895">
        <f>+C121</f>
        <v>1848878619000</v>
      </c>
      <c r="D35" s="895">
        <f t="shared" ref="D35:I35" si="42">+D121</f>
        <v>1672915799000</v>
      </c>
      <c r="E35" s="895">
        <f t="shared" si="42"/>
        <v>1779025115000</v>
      </c>
      <c r="F35" s="895">
        <f t="shared" si="42"/>
        <v>1698281237000</v>
      </c>
      <c r="G35" s="895">
        <f t="shared" si="42"/>
        <v>2216732593000</v>
      </c>
      <c r="H35" s="895">
        <f t="shared" si="42"/>
        <v>2656878395000</v>
      </c>
      <c r="I35" s="895">
        <f t="shared" si="42"/>
        <v>2618437052000</v>
      </c>
      <c r="J35" s="895">
        <f t="shared" ref="J35:N35" si="43">+J121</f>
        <v>3224233005000</v>
      </c>
      <c r="K35" s="895">
        <f t="shared" si="43"/>
        <v>3344835851000</v>
      </c>
      <c r="L35" s="895">
        <f t="shared" si="43"/>
        <v>0</v>
      </c>
      <c r="M35" s="895">
        <f t="shared" si="43"/>
        <v>0</v>
      </c>
      <c r="N35" s="895">
        <f t="shared" si="43"/>
        <v>0</v>
      </c>
    </row>
    <row r="36" spans="2:14">
      <c r="B36" s="896" t="s">
        <v>156</v>
      </c>
      <c r="C36" s="897">
        <f>+C129</f>
        <v>220038553000</v>
      </c>
      <c r="D36" s="897">
        <f t="shared" ref="D36:I36" si="44">+D129</f>
        <v>209213234000</v>
      </c>
      <c r="E36" s="897">
        <f t="shared" si="44"/>
        <v>252548437000</v>
      </c>
      <c r="F36" s="897">
        <f t="shared" si="44"/>
        <v>230537954000</v>
      </c>
      <c r="G36" s="897">
        <f t="shared" si="44"/>
        <v>278553672000</v>
      </c>
      <c r="H36" s="897">
        <f t="shared" si="44"/>
        <v>321771470000</v>
      </c>
      <c r="I36" s="897">
        <f t="shared" si="44"/>
        <v>316296892000</v>
      </c>
      <c r="J36" s="897">
        <f>+J129</f>
        <v>411911208000</v>
      </c>
      <c r="K36" s="897">
        <f t="shared" ref="K36:N36" si="45">+K129</f>
        <v>436817504000</v>
      </c>
      <c r="L36" s="897">
        <f t="shared" si="45"/>
        <v>0</v>
      </c>
      <c r="M36" s="897">
        <f t="shared" si="45"/>
        <v>0</v>
      </c>
      <c r="N36" s="897">
        <f t="shared" si="45"/>
        <v>0</v>
      </c>
    </row>
    <row r="37" spans="2:14">
      <c r="B37" s="894" t="s">
        <v>381</v>
      </c>
      <c r="C37" s="898">
        <f>C36/C35</f>
        <v>0.11901189766530584</v>
      </c>
      <c r="D37" s="898">
        <f t="shared" ref="D37:I37" si="46">D36/D35</f>
        <v>0.1250590341277541</v>
      </c>
      <c r="E37" s="898">
        <f t="shared" si="46"/>
        <v>0.14195889359324756</v>
      </c>
      <c r="F37" s="898">
        <f t="shared" si="46"/>
        <v>0.13574780724024452</v>
      </c>
      <c r="G37" s="898">
        <f t="shared" si="46"/>
        <v>0.1256595734098091</v>
      </c>
      <c r="H37" s="898">
        <f t="shared" si="46"/>
        <v>0.12110884359839133</v>
      </c>
      <c r="I37" s="898">
        <f t="shared" si="46"/>
        <v>0.12079606487328304</v>
      </c>
      <c r="J37" s="898">
        <f t="shared" ref="J37:N37" si="47">J36/J35</f>
        <v>0.1277547892355255</v>
      </c>
      <c r="K37" s="898">
        <f t="shared" si="47"/>
        <v>0.13059460118779981</v>
      </c>
      <c r="L37" s="898" t="e">
        <f t="shared" si="47"/>
        <v>#DIV/0!</v>
      </c>
      <c r="M37" s="898" t="e">
        <f t="shared" si="47"/>
        <v>#DIV/0!</v>
      </c>
      <c r="N37" s="898" t="e">
        <f t="shared" si="47"/>
        <v>#DIV/0!</v>
      </c>
    </row>
    <row r="38" spans="2:14">
      <c r="B38" s="899" t="s">
        <v>295</v>
      </c>
      <c r="C38" s="900">
        <f>+C137</f>
        <v>119000725000</v>
      </c>
      <c r="D38" s="900">
        <f t="shared" ref="D38:I38" si="48">+D137</f>
        <v>97450746000</v>
      </c>
      <c r="E38" s="900">
        <f t="shared" si="48"/>
        <v>175246225000</v>
      </c>
      <c r="F38" s="900">
        <f t="shared" si="48"/>
        <v>123117320000</v>
      </c>
      <c r="G38" s="900">
        <f t="shared" si="48"/>
        <v>157021668000</v>
      </c>
      <c r="H38" s="900">
        <f t="shared" si="48"/>
        <v>128458987000</v>
      </c>
      <c r="I38" s="900">
        <f t="shared" si="48"/>
        <v>174511487000</v>
      </c>
      <c r="J38" s="900">
        <f t="shared" ref="J38:N38" si="49">+J137</f>
        <v>234644125000</v>
      </c>
      <c r="K38" s="900">
        <f t="shared" si="49"/>
        <v>270477415000</v>
      </c>
      <c r="L38" s="900">
        <f t="shared" si="49"/>
        <v>0</v>
      </c>
      <c r="M38" s="900">
        <f t="shared" si="49"/>
        <v>0</v>
      </c>
      <c r="N38" s="900">
        <f t="shared" si="49"/>
        <v>0</v>
      </c>
    </row>
    <row r="39" spans="2:14">
      <c r="B39" s="889" t="s">
        <v>296</v>
      </c>
      <c r="C39" s="901">
        <f>C38/C35</f>
        <v>6.4363730413175377E-2</v>
      </c>
      <c r="D39" s="901">
        <f t="shared" ref="D39:I39" si="50">D38/D35</f>
        <v>5.8252032802997039E-2</v>
      </c>
      <c r="E39" s="901">
        <f t="shared" si="50"/>
        <v>9.8506886452808737E-2</v>
      </c>
      <c r="F39" s="901">
        <f>F38/F35</f>
        <v>7.2495248323820469E-2</v>
      </c>
      <c r="G39" s="901">
        <f t="shared" si="50"/>
        <v>7.0834735996503667E-2</v>
      </c>
      <c r="H39" s="901">
        <f t="shared" si="50"/>
        <v>4.8349592228890854E-2</v>
      </c>
      <c r="I39" s="901">
        <f t="shared" si="50"/>
        <v>6.6647195840245851E-2</v>
      </c>
      <c r="J39" s="901">
        <f t="shared" ref="J39:N39" si="51">J38/J35</f>
        <v>7.2775176184886173E-2</v>
      </c>
      <c r="K39" s="901">
        <f t="shared" si="51"/>
        <v>8.0864181995399215E-2</v>
      </c>
      <c r="L39" s="901" t="e">
        <f t="shared" si="51"/>
        <v>#DIV/0!</v>
      </c>
      <c r="M39" s="901" t="e">
        <f t="shared" si="51"/>
        <v>#DIV/0!</v>
      </c>
      <c r="N39" s="901" t="e">
        <f t="shared" si="51"/>
        <v>#DIV/0!</v>
      </c>
    </row>
    <row r="40" spans="2:14">
      <c r="B40" s="902" t="s">
        <v>159</v>
      </c>
      <c r="C40" s="903">
        <f>+C139</f>
        <v>118.56</v>
      </c>
      <c r="D40" s="903">
        <f t="shared" ref="D40:I40" si="52">+D139</f>
        <v>97.2</v>
      </c>
      <c r="E40" s="903">
        <f t="shared" si="52"/>
        <v>174.79</v>
      </c>
      <c r="F40" s="903">
        <f t="shared" si="52"/>
        <v>155.75</v>
      </c>
      <c r="G40" s="903">
        <f t="shared" si="52"/>
        <v>155.65</v>
      </c>
      <c r="H40" s="903">
        <f t="shared" si="52"/>
        <v>126.27</v>
      </c>
      <c r="I40" s="903">
        <f t="shared" si="52"/>
        <v>172.49</v>
      </c>
      <c r="J40" s="903">
        <f t="shared" ref="J40:N40" si="53">+J139</f>
        <v>234.09</v>
      </c>
      <c r="K40" s="903">
        <f>+K139</f>
        <v>270.35000000000002</v>
      </c>
      <c r="L40" s="903">
        <f t="shared" si="53"/>
        <v>0</v>
      </c>
      <c r="M40" s="903">
        <f t="shared" si="53"/>
        <v>0</v>
      </c>
      <c r="N40" s="903">
        <f t="shared" si="53"/>
        <v>0</v>
      </c>
    </row>
    <row r="41" spans="2:14">
      <c r="B41" s="904" t="s">
        <v>160</v>
      </c>
      <c r="C41" s="905">
        <f>C38/C15</f>
        <v>0.15038444677619514</v>
      </c>
      <c r="D41" s="905">
        <f t="shared" ref="D41:I41" si="54">D38/D15</f>
        <v>0.11548854005383177</v>
      </c>
      <c r="E41" s="905">
        <f t="shared" si="54"/>
        <v>0.18473228510726653</v>
      </c>
      <c r="F41" s="905">
        <f t="shared" si="54"/>
        <v>0.15177537774874775</v>
      </c>
      <c r="G41" s="905">
        <f t="shared" si="54"/>
        <v>0.14591141761570742</v>
      </c>
      <c r="H41" s="905">
        <f t="shared" si="54"/>
        <v>0.15019872947569507</v>
      </c>
      <c r="I41" s="905">
        <f t="shared" si="54"/>
        <v>0.19690099542268943</v>
      </c>
      <c r="J41" s="905">
        <f t="shared" ref="J41:N41" si="55">J38/J15</f>
        <v>0.24031331015982488</v>
      </c>
      <c r="K41" s="905">
        <f t="shared" si="55"/>
        <v>0.23369422510294868</v>
      </c>
      <c r="L41" s="905" t="e">
        <f t="shared" si="55"/>
        <v>#DIV/0!</v>
      </c>
      <c r="M41" s="905" t="e">
        <f t="shared" si="55"/>
        <v>#DIV/0!</v>
      </c>
      <c r="N41" s="905" t="e">
        <f t="shared" si="55"/>
        <v>#DIV/0!</v>
      </c>
    </row>
    <row r="42" spans="2:14">
      <c r="B42" s="904" t="s">
        <v>382</v>
      </c>
      <c r="C42" s="905">
        <f>AVERAGE(G41:I41)</f>
        <v>0.16433704750469733</v>
      </c>
      <c r="D42" s="905"/>
      <c r="E42" s="905"/>
      <c r="F42" s="905"/>
      <c r="G42" s="905"/>
      <c r="H42" s="905"/>
      <c r="I42" s="905"/>
      <c r="J42" s="906"/>
      <c r="K42" s="905"/>
      <c r="L42" s="905"/>
      <c r="M42" s="905"/>
      <c r="N42" s="905"/>
    </row>
    <row r="43" spans="2:14">
      <c r="B43" s="904" t="s">
        <v>298</v>
      </c>
      <c r="C43" s="907">
        <f>+C151</f>
        <v>79102668000</v>
      </c>
      <c r="D43" s="907">
        <f t="shared" ref="D43:I43" si="56">+D151</f>
        <v>114216089000</v>
      </c>
      <c r="E43" s="907">
        <f t="shared" si="56"/>
        <v>144465216000</v>
      </c>
      <c r="F43" s="907">
        <f t="shared" si="56"/>
        <v>192894040000</v>
      </c>
      <c r="G43" s="907">
        <f t="shared" si="56"/>
        <v>166198826000</v>
      </c>
      <c r="H43" s="907">
        <f t="shared" si="56"/>
        <v>210750245000</v>
      </c>
      <c r="I43" s="907">
        <f t="shared" si="56"/>
        <v>174122738000</v>
      </c>
      <c r="J43" s="907">
        <f>+J151</f>
        <v>65700300000</v>
      </c>
      <c r="K43" s="907">
        <f t="shared" ref="K43:N43" si="57">+K151</f>
        <v>183305187000</v>
      </c>
      <c r="L43" s="907">
        <f t="shared" si="57"/>
        <v>0</v>
      </c>
      <c r="M43" s="907">
        <f t="shared" si="57"/>
        <v>0</v>
      </c>
      <c r="N43" s="907">
        <f t="shared" si="57"/>
        <v>0</v>
      </c>
    </row>
    <row r="44" spans="2:14">
      <c r="B44" s="908" t="s">
        <v>111</v>
      </c>
      <c r="C44" s="908">
        <f>SUM(C46:C49)</f>
        <v>76</v>
      </c>
      <c r="D44" s="908">
        <f t="shared" ref="D44:F44" si="58">SUM(D46:D49)</f>
        <v>107</v>
      </c>
      <c r="E44" s="908">
        <f t="shared" si="58"/>
        <v>86</v>
      </c>
      <c r="F44" s="908">
        <f t="shared" si="58"/>
        <v>100.6</v>
      </c>
      <c r="G44" s="908">
        <f>SUM(G46:G49)</f>
        <v>107</v>
      </c>
      <c r="H44" s="908">
        <f>SUM(H46:H49)</f>
        <v>276</v>
      </c>
      <c r="I44" s="908">
        <f>SUM(I46:I49)</f>
        <v>166</v>
      </c>
      <c r="J44" s="908">
        <f t="shared" ref="I44:N44" si="59">SUM(J46:J49)</f>
        <v>158</v>
      </c>
      <c r="K44" s="908">
        <f t="shared" si="59"/>
        <v>196</v>
      </c>
      <c r="L44" s="908">
        <f t="shared" si="59"/>
        <v>102</v>
      </c>
      <c r="M44" s="908">
        <f t="shared" si="59"/>
        <v>0</v>
      </c>
      <c r="N44" s="908">
        <f t="shared" si="59"/>
        <v>0</v>
      </c>
    </row>
    <row r="45" spans="2:14">
      <c r="B45" s="908" t="s">
        <v>112</v>
      </c>
      <c r="C45" s="908">
        <f>+C46+C47+C48</f>
        <v>76</v>
      </c>
      <c r="D45" s="908">
        <f t="shared" ref="D45:I45" si="60">+D46+D47+D48</f>
        <v>86</v>
      </c>
      <c r="E45" s="908">
        <f t="shared" si="60"/>
        <v>86</v>
      </c>
      <c r="F45" s="908">
        <f t="shared" si="60"/>
        <v>100.6</v>
      </c>
      <c r="G45" s="908">
        <f t="shared" si="60"/>
        <v>107</v>
      </c>
      <c r="H45" s="908">
        <f t="shared" si="60"/>
        <v>116</v>
      </c>
      <c r="I45" s="908">
        <f>+I46+I47+I48</f>
        <v>116</v>
      </c>
      <c r="J45" s="908">
        <f t="shared" ref="J45:N45" si="61">+J46+J47+J48</f>
        <v>158</v>
      </c>
      <c r="K45" s="908">
        <f t="shared" si="61"/>
        <v>196</v>
      </c>
      <c r="L45" s="908">
        <f t="shared" si="61"/>
        <v>102</v>
      </c>
      <c r="M45" s="908">
        <f t="shared" si="61"/>
        <v>0</v>
      </c>
      <c r="N45" s="908">
        <f t="shared" si="61"/>
        <v>0</v>
      </c>
    </row>
    <row r="46" spans="2:14">
      <c r="B46" s="909" t="s">
        <v>114</v>
      </c>
      <c r="C46" s="875">
        <v>19</v>
      </c>
      <c r="D46" s="875">
        <v>21.5</v>
      </c>
      <c r="E46" s="875">
        <v>21.5</v>
      </c>
      <c r="F46" s="875">
        <v>26</v>
      </c>
      <c r="G46" s="875">
        <v>26</v>
      </c>
      <c r="H46" s="875"/>
      <c r="I46" s="875"/>
      <c r="J46" s="875">
        <f>32+32+30</f>
        <v>94</v>
      </c>
      <c r="K46" s="875"/>
      <c r="L46" s="875">
        <v>102</v>
      </c>
      <c r="M46" s="875"/>
      <c r="N46" s="875"/>
    </row>
    <row r="47" spans="2:14">
      <c r="B47" s="909" t="s">
        <v>115</v>
      </c>
      <c r="C47" s="875">
        <f>19+19</f>
        <v>38</v>
      </c>
      <c r="D47" s="875">
        <f>21.5+21.5</f>
        <v>43</v>
      </c>
      <c r="E47" s="875">
        <f>21.5+21.5</f>
        <v>43</v>
      </c>
      <c r="F47" s="875">
        <f>26+22.6</f>
        <v>48.6</v>
      </c>
      <c r="G47" s="875">
        <f>29+26</f>
        <v>55</v>
      </c>
      <c r="H47" s="875">
        <f>29+29+29</f>
        <v>87</v>
      </c>
      <c r="I47" s="875">
        <f>29+29+29</f>
        <v>87</v>
      </c>
      <c r="J47" s="875">
        <f>32+32</f>
        <v>64</v>
      </c>
      <c r="K47" s="875">
        <f>141+35+20</f>
        <v>196</v>
      </c>
      <c r="L47" s="875"/>
      <c r="M47" s="875"/>
      <c r="N47" s="875"/>
    </row>
    <row r="48" spans="2:14">
      <c r="B48" s="909" t="s">
        <v>116</v>
      </c>
      <c r="C48" s="875">
        <v>19</v>
      </c>
      <c r="D48" s="875">
        <v>21.5</v>
      </c>
      <c r="E48" s="875">
        <v>21.5</v>
      </c>
      <c r="F48" s="875">
        <v>26</v>
      </c>
      <c r="G48" s="875">
        <v>26</v>
      </c>
      <c r="H48" s="875">
        <v>29</v>
      </c>
      <c r="I48" s="875">
        <v>29</v>
      </c>
      <c r="J48" s="875"/>
      <c r="K48" s="875"/>
      <c r="L48" s="875"/>
      <c r="M48" s="875"/>
      <c r="N48" s="875"/>
    </row>
    <row r="49" spans="2:17">
      <c r="B49" s="909" t="s">
        <v>117</v>
      </c>
      <c r="C49" s="875"/>
      <c r="D49" s="875">
        <v>21</v>
      </c>
      <c r="E49" s="875"/>
      <c r="F49" s="875"/>
      <c r="G49" s="875"/>
      <c r="H49" s="875">
        <v>160</v>
      </c>
      <c r="I49" s="875">
        <v>50</v>
      </c>
      <c r="J49" s="875"/>
      <c r="K49" s="875"/>
      <c r="L49" s="875"/>
      <c r="M49" s="875"/>
      <c r="N49" s="875"/>
    </row>
    <row r="50" spans="2:17" s="910" customFormat="1">
      <c r="B50" s="908" t="s">
        <v>119</v>
      </c>
      <c r="C50" s="908">
        <f>SUM(C52:C55)</f>
        <v>81</v>
      </c>
      <c r="D50" s="908">
        <f t="shared" ref="D50:N50" si="62">SUM(D52:D55)</f>
        <v>86</v>
      </c>
      <c r="E50" s="908">
        <f t="shared" si="62"/>
        <v>91.6</v>
      </c>
      <c r="F50" s="908">
        <f t="shared" si="62"/>
        <v>104</v>
      </c>
      <c r="G50" s="908">
        <f t="shared" si="62"/>
        <v>273</v>
      </c>
      <c r="H50" s="908">
        <f t="shared" si="62"/>
        <v>166</v>
      </c>
      <c r="I50" s="908">
        <f t="shared" si="62"/>
        <v>152</v>
      </c>
      <c r="J50" s="908">
        <f t="shared" si="62"/>
        <v>205</v>
      </c>
      <c r="K50" s="908">
        <f t="shared" si="62"/>
        <v>157</v>
      </c>
      <c r="L50" s="908">
        <f t="shared" si="62"/>
        <v>0</v>
      </c>
      <c r="M50" s="908">
        <f t="shared" si="62"/>
        <v>0</v>
      </c>
      <c r="N50" s="908">
        <f t="shared" si="62"/>
        <v>0</v>
      </c>
      <c r="P50"/>
      <c r="Q50"/>
    </row>
    <row r="51" spans="2:17" s="910" customFormat="1">
      <c r="B51" s="908" t="s">
        <v>120</v>
      </c>
      <c r="C51" s="908">
        <f>+C52+C53+C54</f>
        <v>81</v>
      </c>
      <c r="D51" s="908">
        <f t="shared" ref="D51:N51" si="63">+D52+D53+D54</f>
        <v>86</v>
      </c>
      <c r="E51" s="908">
        <f t="shared" si="63"/>
        <v>91.6</v>
      </c>
      <c r="F51" s="908">
        <f t="shared" si="63"/>
        <v>104</v>
      </c>
      <c r="G51" s="908">
        <f t="shared" si="63"/>
        <v>113</v>
      </c>
      <c r="H51" s="908">
        <f t="shared" si="63"/>
        <v>116</v>
      </c>
      <c r="I51" s="908">
        <f t="shared" si="63"/>
        <v>152</v>
      </c>
      <c r="J51" s="908">
        <f>+J52+J53+J54</f>
        <v>205</v>
      </c>
      <c r="K51" s="908">
        <f t="shared" si="63"/>
        <v>157</v>
      </c>
      <c r="L51" s="908">
        <f t="shared" si="63"/>
        <v>0</v>
      </c>
      <c r="M51" s="908">
        <f t="shared" si="63"/>
        <v>0</v>
      </c>
      <c r="N51" s="908">
        <f t="shared" si="63"/>
        <v>0</v>
      </c>
      <c r="P51"/>
      <c r="Q51"/>
    </row>
    <row r="52" spans="2:17">
      <c r="B52" s="909" t="s">
        <v>121</v>
      </c>
      <c r="C52" s="875">
        <v>21.5</v>
      </c>
      <c r="D52" s="875">
        <v>21.5</v>
      </c>
      <c r="E52" s="875">
        <v>26</v>
      </c>
      <c r="F52" s="875">
        <v>26</v>
      </c>
      <c r="G52" s="875"/>
      <c r="H52" s="875"/>
      <c r="I52" s="875">
        <f>30+32+32</f>
        <v>94</v>
      </c>
      <c r="J52" s="875"/>
      <c r="K52" s="875">
        <v>102</v>
      </c>
      <c r="L52" s="875"/>
      <c r="M52" s="875"/>
      <c r="N52" s="875"/>
    </row>
    <row r="53" spans="2:17">
      <c r="B53" s="909" t="s">
        <v>122</v>
      </c>
      <c r="C53" s="875">
        <f>21.5+19</f>
        <v>40.5</v>
      </c>
      <c r="D53" s="875">
        <f>21.5+21.5</f>
        <v>43</v>
      </c>
      <c r="E53" s="875">
        <f>22.6+21.5</f>
        <v>44.1</v>
      </c>
      <c r="F53" s="875">
        <f>26+26</f>
        <v>52</v>
      </c>
      <c r="G53" s="875">
        <f>29+29</f>
        <v>58</v>
      </c>
      <c r="H53" s="875">
        <f>29+29+29</f>
        <v>87</v>
      </c>
      <c r="I53" s="875">
        <f>29+29</f>
        <v>58</v>
      </c>
      <c r="J53" s="875">
        <f>141+32+32</f>
        <v>205</v>
      </c>
      <c r="K53" s="875">
        <f>35+20</f>
        <v>55</v>
      </c>
      <c r="L53" s="875"/>
      <c r="M53" s="875"/>
      <c r="N53" s="875"/>
    </row>
    <row r="54" spans="2:17">
      <c r="B54" s="909" t="s">
        <v>123</v>
      </c>
      <c r="C54" s="875">
        <v>19</v>
      </c>
      <c r="D54" s="875">
        <v>21.5</v>
      </c>
      <c r="E54" s="875">
        <v>21.5</v>
      </c>
      <c r="F54" s="875">
        <v>26</v>
      </c>
      <c r="G54" s="875">
        <f>29+26</f>
        <v>55</v>
      </c>
      <c r="H54" s="875">
        <v>29</v>
      </c>
      <c r="I54" s="875"/>
      <c r="J54" s="875"/>
      <c r="K54" s="875"/>
      <c r="L54" s="875"/>
      <c r="M54" s="875"/>
      <c r="N54" s="875"/>
    </row>
    <row r="55" spans="2:17">
      <c r="B55" s="909" t="s">
        <v>124</v>
      </c>
      <c r="C55" s="875"/>
      <c r="D55" s="875"/>
      <c r="E55" s="875"/>
      <c r="F55" s="875"/>
      <c r="G55" s="875">
        <v>160</v>
      </c>
      <c r="H55" s="875">
        <v>50</v>
      </c>
      <c r="I55" s="875"/>
      <c r="J55" s="875"/>
      <c r="K55" s="875"/>
      <c r="L55" s="875"/>
      <c r="M55" s="875"/>
      <c r="N55" s="875"/>
    </row>
    <row r="56" spans="2:17">
      <c r="B56" s="911" t="s">
        <v>167</v>
      </c>
      <c r="C56" s="912">
        <f>(C52+C53+C54)/C40</f>
        <v>0.6831983805668016</v>
      </c>
      <c r="D56" s="912">
        <f t="shared" ref="D56:N56" si="64">(D52+D53+D54)/D40</f>
        <v>0.8847736625514403</v>
      </c>
      <c r="E56" s="912">
        <f>(E52+E53+E54)/E40</f>
        <v>0.52405744035699986</v>
      </c>
      <c r="F56" s="912">
        <f t="shared" si="64"/>
        <v>0.6677367576243981</v>
      </c>
      <c r="G56" s="912">
        <f t="shared" si="64"/>
        <v>0.72598779312560224</v>
      </c>
      <c r="H56" s="912">
        <f t="shared" si="64"/>
        <v>0.91866634988516671</v>
      </c>
      <c r="I56" s="912">
        <f t="shared" si="64"/>
        <v>0.88121050495680908</v>
      </c>
      <c r="J56" s="912">
        <f t="shared" si="64"/>
        <v>0.8757315562390533</v>
      </c>
      <c r="K56" s="912">
        <f t="shared" si="64"/>
        <v>0.58072868503791375</v>
      </c>
      <c r="L56" s="912" t="e">
        <f t="shared" si="64"/>
        <v>#DIV/0!</v>
      </c>
      <c r="M56" s="912" t="e">
        <f t="shared" si="64"/>
        <v>#DIV/0!</v>
      </c>
      <c r="N56" s="912" t="e">
        <f t="shared" si="64"/>
        <v>#DIV/0!</v>
      </c>
    </row>
    <row r="57" spans="2:17">
      <c r="B57" s="913" t="s">
        <v>303</v>
      </c>
      <c r="C57" s="914">
        <f>AVERAGE(H56:J56)</f>
        <v>0.89186947036034303</v>
      </c>
      <c r="D57" s="914"/>
      <c r="E57" s="914"/>
      <c r="F57" s="914"/>
      <c r="G57" s="914"/>
      <c r="H57" s="914"/>
      <c r="I57" s="914"/>
      <c r="J57" s="914"/>
      <c r="K57" s="914"/>
      <c r="L57" s="914"/>
      <c r="M57" s="914"/>
      <c r="N57" s="914"/>
    </row>
    <row r="58" spans="2:17">
      <c r="B58" s="911" t="s">
        <v>299</v>
      </c>
      <c r="C58" s="912">
        <f>+D45/C19</f>
        <v>3.3333333333333333E-2</v>
      </c>
      <c r="D58" s="912">
        <f>+E45/D19</f>
        <v>3.822222222222222E-2</v>
      </c>
      <c r="E58" s="912">
        <f>+F45/E19</f>
        <v>5.3510638297872337E-2</v>
      </c>
      <c r="F58" s="912">
        <f>+G45/F19</f>
        <v>6.7678684376976592E-2</v>
      </c>
      <c r="G58" s="912">
        <f t="shared" ref="G58:N58" si="65">+H45/G19</f>
        <v>7.2499999999999995E-2</v>
      </c>
      <c r="H58" s="912">
        <f t="shared" si="65"/>
        <v>7.068860450944546E-2</v>
      </c>
      <c r="I58" s="912">
        <f>+J45/I19</f>
        <v>9.0492554410080181E-2</v>
      </c>
      <c r="J58" s="912">
        <f t="shared" si="65"/>
        <v>8.1727962638645651E-2</v>
      </c>
      <c r="K58" s="912">
        <f t="shared" si="65"/>
        <v>2.863720590712561E-2</v>
      </c>
      <c r="L58" s="912" t="e">
        <f t="shared" si="65"/>
        <v>#DIV/0!</v>
      </c>
      <c r="M58" s="912" t="e">
        <f t="shared" si="65"/>
        <v>#DIV/0!</v>
      </c>
      <c r="N58" s="912" t="e">
        <f t="shared" si="65"/>
        <v>#DIV/0!</v>
      </c>
    </row>
    <row r="59" spans="2:17">
      <c r="B59" s="915" t="s">
        <v>384</v>
      </c>
      <c r="C59" s="916">
        <f>AVERAGE(G58:I58)</f>
        <v>7.7893719639841874E-2</v>
      </c>
      <c r="D59" s="916"/>
      <c r="E59" s="916"/>
      <c r="F59" s="916"/>
      <c r="G59" s="916"/>
      <c r="H59" s="916"/>
      <c r="I59" s="916"/>
      <c r="J59" s="916"/>
      <c r="K59" s="916"/>
      <c r="L59" s="916"/>
      <c r="M59" s="916"/>
      <c r="N59" s="916"/>
      <c r="O59" s="916"/>
    </row>
    <row r="60" spans="2:17">
      <c r="B60" s="917" t="s">
        <v>176</v>
      </c>
      <c r="C60" s="918">
        <f>+C41*(100%-C56)</f>
        <v>4.7642036276264253E-2</v>
      </c>
      <c r="D60" s="918">
        <f t="shared" ref="D60:I60" si="66">+D41*(100%-D56)</f>
        <v>1.3307321487684324E-2</v>
      </c>
      <c r="E60" s="918">
        <f t="shared" si="66"/>
        <v>8.7921956622652911E-2</v>
      </c>
      <c r="F60" s="919">
        <f>+F41*(100%-F56)</f>
        <v>5.0429379123580705E-2</v>
      </c>
      <c r="G60" s="918">
        <f t="shared" si="66"/>
        <v>3.9981509549051865E-2</v>
      </c>
      <c r="H60" s="918">
        <f>+H41*(100%-H56)</f>
        <v>1.2216210910868681E-2</v>
      </c>
      <c r="I60" s="918">
        <f t="shared" si="66"/>
        <v>2.3389769819762925E-2</v>
      </c>
      <c r="J60" s="918">
        <f t="shared" ref="J60:N60" si="67">+J41*(100%-J56)</f>
        <v>2.9863361068603139E-2</v>
      </c>
      <c r="K60" s="918">
        <f t="shared" si="67"/>
        <v>9.7981285057959083E-2</v>
      </c>
      <c r="L60" s="918" t="e">
        <f t="shared" si="67"/>
        <v>#DIV/0!</v>
      </c>
      <c r="M60" s="918" t="e">
        <f t="shared" si="67"/>
        <v>#DIV/0!</v>
      </c>
      <c r="N60" s="918" t="e">
        <f t="shared" si="67"/>
        <v>#DIV/0!</v>
      </c>
    </row>
    <row r="61" spans="2:17">
      <c r="B61" s="915" t="s">
        <v>306</v>
      </c>
      <c r="C61" s="916">
        <f>AVERAGE(G60:I60)</f>
        <v>2.5195830093227827E-2</v>
      </c>
      <c r="D61" s="916"/>
      <c r="E61" s="916"/>
      <c r="F61" s="916"/>
      <c r="G61" s="916"/>
      <c r="H61" s="916"/>
      <c r="I61" s="916"/>
      <c r="J61" s="916"/>
      <c r="K61" s="916"/>
      <c r="L61" s="916"/>
      <c r="M61" s="916"/>
      <c r="N61" s="916"/>
      <c r="O61" s="916"/>
    </row>
    <row r="62" spans="2:17">
      <c r="B62" s="917" t="s">
        <v>300</v>
      </c>
      <c r="C62" s="920">
        <f ca="1">B3</f>
        <v>3475</v>
      </c>
      <c r="D62" s="916"/>
      <c r="E62" s="916"/>
      <c r="F62" s="916"/>
      <c r="G62" s="916"/>
      <c r="H62" s="916"/>
      <c r="I62" s="916"/>
      <c r="J62" s="916"/>
      <c r="K62" s="916"/>
      <c r="L62" s="916"/>
      <c r="M62" s="916"/>
      <c r="N62" s="916"/>
      <c r="O62" s="916"/>
    </row>
    <row r="64" spans="2:17">
      <c r="B64" s="921" t="s">
        <v>307</v>
      </c>
    </row>
    <row r="66" spans="2:14">
      <c r="B66" s="922" t="s">
        <v>385</v>
      </c>
      <c r="C66" s="923">
        <v>2017</v>
      </c>
      <c r="D66" s="923">
        <v>2018</v>
      </c>
      <c r="E66" s="923">
        <v>2019</v>
      </c>
      <c r="F66" s="923">
        <v>2020</v>
      </c>
      <c r="G66" s="923">
        <v>2021</v>
      </c>
      <c r="H66" s="923">
        <v>2022</v>
      </c>
      <c r="I66" s="923">
        <v>2023</v>
      </c>
      <c r="J66" s="923">
        <v>2024</v>
      </c>
      <c r="K66" s="1337">
        <v>2025</v>
      </c>
      <c r="L66" s="923">
        <v>2026</v>
      </c>
      <c r="M66" s="923">
        <v>2027</v>
      </c>
      <c r="N66" s="923">
        <v>2028</v>
      </c>
    </row>
    <row r="67" spans="2:14">
      <c r="B67" s="924" t="s">
        <v>309</v>
      </c>
      <c r="C67" s="925"/>
      <c r="D67" s="925"/>
      <c r="E67" s="925"/>
      <c r="F67" s="925"/>
      <c r="G67" s="925"/>
      <c r="H67" s="925"/>
      <c r="I67" s="925"/>
      <c r="J67" s="925"/>
      <c r="K67" s="1338" t="s">
        <v>180</v>
      </c>
      <c r="L67" s="925"/>
      <c r="M67" s="925"/>
      <c r="N67" s="925"/>
    </row>
    <row r="68" spans="2:14">
      <c r="B68" s="926" t="s">
        <v>310</v>
      </c>
      <c r="C68" s="927">
        <v>484010050000</v>
      </c>
      <c r="D68" s="927">
        <v>481586454000</v>
      </c>
      <c r="E68" s="927">
        <v>533474103000</v>
      </c>
      <c r="F68" s="928">
        <v>797297716000</v>
      </c>
      <c r="G68" s="927">
        <v>990986123000</v>
      </c>
      <c r="H68" s="929">
        <v>1161729392000</v>
      </c>
      <c r="I68" s="927">
        <v>981771027000</v>
      </c>
      <c r="J68" s="927">
        <v>1013195740000</v>
      </c>
      <c r="K68" s="1346">
        <v>1033052781000</v>
      </c>
      <c r="L68" s="927"/>
      <c r="M68" s="927"/>
      <c r="N68" s="927"/>
    </row>
    <row r="69" spans="2:14">
      <c r="B69" s="930" t="s">
        <v>386</v>
      </c>
      <c r="C69" s="925">
        <v>136242116000</v>
      </c>
      <c r="D69" s="925">
        <v>137538613000</v>
      </c>
      <c r="E69" s="925">
        <v>157567986000</v>
      </c>
      <c r="F69" s="925">
        <v>309530699000</v>
      </c>
      <c r="G69" s="925">
        <v>304312020000</v>
      </c>
      <c r="H69" s="931">
        <v>291681987000</v>
      </c>
      <c r="I69" s="925">
        <v>303683683000</v>
      </c>
      <c r="J69" s="925">
        <v>248899004000</v>
      </c>
      <c r="K69" s="1352">
        <v>296539709000</v>
      </c>
      <c r="L69" s="925"/>
      <c r="M69" s="925"/>
      <c r="N69" s="925"/>
    </row>
    <row r="70" spans="2:14">
      <c r="B70" s="930" t="s">
        <v>387</v>
      </c>
      <c r="C70" s="925">
        <v>14138161000</v>
      </c>
      <c r="D70" s="925">
        <v>683567000</v>
      </c>
      <c r="E70" s="925">
        <v>347278000</v>
      </c>
      <c r="F70" s="925">
        <v>140304853000</v>
      </c>
      <c r="G70" s="925">
        <v>195470749000</v>
      </c>
      <c r="H70" s="931">
        <v>263044869000</v>
      </c>
      <c r="I70" s="925">
        <v>67285793000</v>
      </c>
      <c r="J70" s="925">
        <v>76586583000</v>
      </c>
      <c r="K70" s="1352">
        <v>45974709000</v>
      </c>
      <c r="L70" s="925"/>
      <c r="M70" s="925"/>
      <c r="N70" s="925"/>
    </row>
    <row r="71" spans="2:14">
      <c r="B71" s="930" t="s">
        <v>388</v>
      </c>
      <c r="C71" s="925">
        <v>5611861000</v>
      </c>
      <c r="D71" s="925">
        <v>5948923000</v>
      </c>
      <c r="E71" s="925">
        <v>16188965000</v>
      </c>
      <c r="F71" s="925">
        <v>13374381000</v>
      </c>
      <c r="G71" s="925">
        <v>14719104000</v>
      </c>
      <c r="H71" s="931">
        <v>26957000000</v>
      </c>
      <c r="I71" s="925">
        <v>19311851000</v>
      </c>
      <c r="J71" s="925">
        <v>27260507000</v>
      </c>
      <c r="K71" s="1352">
        <v>15985896000</v>
      </c>
      <c r="L71" s="925"/>
      <c r="M71" s="925"/>
      <c r="N71" s="925"/>
    </row>
    <row r="72" spans="2:14">
      <c r="B72" s="930" t="s">
        <v>389</v>
      </c>
      <c r="C72" s="925">
        <v>191284680000</v>
      </c>
      <c r="D72" s="925">
        <v>174113323000</v>
      </c>
      <c r="E72" s="925">
        <v>191077588000</v>
      </c>
      <c r="F72" s="925">
        <v>194021253000</v>
      </c>
      <c r="G72" s="925">
        <v>265490626000</v>
      </c>
      <c r="H72" s="931">
        <v>279770286000</v>
      </c>
      <c r="I72" s="925">
        <v>298892164000</v>
      </c>
      <c r="J72" s="925">
        <v>332831088000</v>
      </c>
      <c r="K72" s="1352">
        <v>339778498000</v>
      </c>
      <c r="L72" s="925"/>
      <c r="M72" s="925"/>
      <c r="N72" s="925"/>
    </row>
    <row r="73" spans="2:14">
      <c r="B73" s="930" t="s">
        <v>390</v>
      </c>
      <c r="C73" s="925">
        <v>5370232000</v>
      </c>
      <c r="D73" s="925">
        <v>9450263000</v>
      </c>
      <c r="E73" s="925">
        <v>10835768000</v>
      </c>
      <c r="F73" s="925">
        <v>11875408000</v>
      </c>
      <c r="G73" s="925">
        <v>9419050000</v>
      </c>
      <c r="H73" s="931">
        <v>15062167000</v>
      </c>
      <c r="I73" s="925">
        <v>16161318000</v>
      </c>
      <c r="J73" s="925">
        <v>9901543000</v>
      </c>
      <c r="K73" s="1352">
        <v>15299187000</v>
      </c>
      <c r="L73" s="925"/>
      <c r="M73" s="925"/>
      <c r="N73" s="925"/>
    </row>
    <row r="74" spans="2:14">
      <c r="B74" s="930" t="s">
        <v>391</v>
      </c>
      <c r="C74" s="932">
        <v>131363000000</v>
      </c>
      <c r="D74" s="925">
        <v>151319709000</v>
      </c>
      <c r="E74" s="925">
        <v>147641224000</v>
      </c>
      <c r="F74" s="925">
        <v>127972650000</v>
      </c>
      <c r="G74" s="925">
        <v>191350206000</v>
      </c>
      <c r="H74" s="931">
        <v>245886656000</v>
      </c>
      <c r="I74" s="925">
        <v>233053160000</v>
      </c>
      <c r="J74" s="925">
        <v>299970909000</v>
      </c>
      <c r="K74" s="1352">
        <v>304550609000</v>
      </c>
      <c r="L74" s="925"/>
      <c r="M74" s="925"/>
      <c r="N74" s="925"/>
    </row>
    <row r="75" spans="2:14">
      <c r="B75" s="930" t="s">
        <v>392</v>
      </c>
      <c r="C75" s="925"/>
      <c r="D75" s="925">
        <v>2532056000</v>
      </c>
      <c r="E75" s="925">
        <v>9815294000</v>
      </c>
      <c r="F75" s="925">
        <v>218472000</v>
      </c>
      <c r="G75" s="925">
        <v>10224368000</v>
      </c>
      <c r="H75" s="931">
        <v>39326427000</v>
      </c>
      <c r="I75" s="925">
        <v>43383058000</v>
      </c>
      <c r="J75" s="925">
        <v>17746106000</v>
      </c>
      <c r="K75" s="1352">
        <v>14924173000</v>
      </c>
      <c r="L75" s="925"/>
      <c r="M75" s="925"/>
      <c r="N75" s="925"/>
    </row>
    <row r="76" spans="2:14">
      <c r="B76" s="930" t="s">
        <v>318</v>
      </c>
      <c r="C76" s="925">
        <f t="shared" ref="C76:N76" si="68">+C68-C69-C74-C75-C73-C72-C71-C70</f>
        <v>0</v>
      </c>
      <c r="D76" s="925">
        <f t="shared" si="68"/>
        <v>0</v>
      </c>
      <c r="E76" s="925">
        <f t="shared" si="68"/>
        <v>0</v>
      </c>
      <c r="F76" s="925">
        <f t="shared" si="68"/>
        <v>0</v>
      </c>
      <c r="G76" s="925">
        <f t="shared" si="68"/>
        <v>0</v>
      </c>
      <c r="H76" s="925">
        <f t="shared" si="68"/>
        <v>0</v>
      </c>
      <c r="I76" s="925">
        <f>+I68-I69-I74-I75-I73-I72-I71-I70</f>
        <v>0</v>
      </c>
      <c r="J76" s="925">
        <f t="shared" si="68"/>
        <v>0</v>
      </c>
      <c r="K76" s="925">
        <f>+K68-K69-K74-K75-K73-K72-K71-K70</f>
        <v>0</v>
      </c>
      <c r="L76" s="925">
        <f t="shared" si="68"/>
        <v>0</v>
      </c>
      <c r="M76" s="925">
        <f t="shared" si="68"/>
        <v>0</v>
      </c>
      <c r="N76" s="925">
        <f t="shared" si="68"/>
        <v>0</v>
      </c>
    </row>
    <row r="77" spans="2:14">
      <c r="B77" s="926" t="s">
        <v>319</v>
      </c>
      <c r="C77" s="927">
        <v>1630849417000</v>
      </c>
      <c r="D77" s="927">
        <v>1732918235000</v>
      </c>
      <c r="E77" s="927">
        <v>1857474320000</v>
      </c>
      <c r="F77" s="928">
        <v>1650766684000</v>
      </c>
      <c r="G77" s="927">
        <v>1955120524000</v>
      </c>
      <c r="H77" s="929">
        <v>1848971215000</v>
      </c>
      <c r="I77" s="927">
        <v>1939749862000</v>
      </c>
      <c r="J77" s="927">
        <v>2277908533000</v>
      </c>
      <c r="K77" s="1346">
        <v>2387352637000</v>
      </c>
      <c r="L77" s="927"/>
      <c r="M77" s="927"/>
      <c r="N77" s="927"/>
    </row>
    <row r="78" spans="2:14">
      <c r="B78" s="930" t="s">
        <v>393</v>
      </c>
      <c r="C78" s="925">
        <v>74259085000</v>
      </c>
      <c r="D78" s="925">
        <v>97362295000</v>
      </c>
      <c r="E78" s="925">
        <v>110784311000</v>
      </c>
      <c r="F78" s="925">
        <v>162013278000</v>
      </c>
      <c r="G78" s="925">
        <v>296632012000</v>
      </c>
      <c r="H78" s="931">
        <v>94852711000</v>
      </c>
      <c r="I78" s="925">
        <v>93316339000</v>
      </c>
      <c r="J78" s="925">
        <v>169420303000</v>
      </c>
      <c r="K78" s="1352">
        <v>164370936000</v>
      </c>
      <c r="L78" s="925"/>
      <c r="M78" s="925"/>
      <c r="N78" s="925"/>
    </row>
    <row r="79" spans="2:14">
      <c r="B79" s="930" t="s">
        <v>394</v>
      </c>
      <c r="C79" s="925">
        <v>47394345000</v>
      </c>
      <c r="D79" s="925">
        <v>34977264000</v>
      </c>
      <c r="E79" s="925">
        <v>125636150000</v>
      </c>
      <c r="F79" s="925">
        <v>90242672000</v>
      </c>
      <c r="G79" s="925">
        <v>70861616000</v>
      </c>
      <c r="H79" s="931">
        <v>59672266000</v>
      </c>
      <c r="I79" s="925">
        <v>59412482000</v>
      </c>
      <c r="J79" s="925">
        <v>79746695000</v>
      </c>
      <c r="K79" s="1352">
        <v>82913107000</v>
      </c>
      <c r="L79" s="925"/>
      <c r="M79" s="925"/>
      <c r="N79" s="925"/>
    </row>
    <row r="80" spans="2:14">
      <c r="B80" s="930" t="s">
        <v>377</v>
      </c>
      <c r="C80" s="925">
        <v>2395851000</v>
      </c>
      <c r="D80" s="925">
        <v>1270697000</v>
      </c>
      <c r="E80" s="925">
        <v>523769000</v>
      </c>
      <c r="F80" s="925">
        <v>73862000</v>
      </c>
      <c r="G80" s="925">
        <v>126464000</v>
      </c>
      <c r="H80" s="931">
        <v>539920000</v>
      </c>
      <c r="I80" s="925">
        <v>371401000</v>
      </c>
      <c r="J80" s="925">
        <v>335723000</v>
      </c>
      <c r="K80" s="1352">
        <v>187644000</v>
      </c>
      <c r="L80" s="925"/>
      <c r="M80" s="925"/>
      <c r="N80" s="925"/>
    </row>
    <row r="81" spans="2:14">
      <c r="B81" s="930" t="s">
        <v>484</v>
      </c>
      <c r="C81" s="925">
        <v>156492000</v>
      </c>
      <c r="D81" s="925">
        <v>74340000</v>
      </c>
      <c r="E81" s="925">
        <v>283118000</v>
      </c>
      <c r="F81" s="925">
        <v>138346000</v>
      </c>
      <c r="G81" s="925">
        <v>98941000</v>
      </c>
      <c r="H81" s="931">
        <v>109318000</v>
      </c>
      <c r="I81" s="925">
        <v>108021000</v>
      </c>
      <c r="J81" s="925">
        <v>292931000</v>
      </c>
      <c r="K81" s="1352">
        <v>8000924000</v>
      </c>
      <c r="L81" s="925"/>
      <c r="M81" s="925"/>
      <c r="N81" s="925"/>
    </row>
    <row r="82" spans="2:14">
      <c r="B82" s="930" t="s">
        <v>487</v>
      </c>
      <c r="C82" s="925">
        <v>86809069000</v>
      </c>
      <c r="D82" s="925">
        <v>102410945000</v>
      </c>
      <c r="E82" s="925">
        <v>99866733000</v>
      </c>
      <c r="F82" s="925">
        <v>87956354000</v>
      </c>
      <c r="G82" s="925">
        <v>91489194000</v>
      </c>
      <c r="H82" s="931">
        <v>92344598000</v>
      </c>
      <c r="I82" s="925">
        <v>91799267000</v>
      </c>
      <c r="J82" s="925">
        <v>85192710000</v>
      </c>
      <c r="K82" s="1352">
        <v>87087871000</v>
      </c>
      <c r="L82" s="925"/>
      <c r="M82" s="925"/>
      <c r="N82" s="925"/>
    </row>
    <row r="83" spans="2:14">
      <c r="B83" s="930" t="s">
        <v>522</v>
      </c>
      <c r="C83" s="925">
        <v>663272878000</v>
      </c>
      <c r="D83" s="925">
        <v>668822553000</v>
      </c>
      <c r="E83" s="925">
        <v>675075375000</v>
      </c>
      <c r="F83" s="925">
        <v>604514165000</v>
      </c>
      <c r="G83" s="925">
        <v>659631543000</v>
      </c>
      <c r="H83" s="931">
        <v>671778888000</v>
      </c>
      <c r="I83" s="925">
        <v>695926565000</v>
      </c>
      <c r="J83" s="925">
        <v>693383630000</v>
      </c>
      <c r="K83" s="1352">
        <v>719489720000</v>
      </c>
      <c r="L83" s="925"/>
      <c r="M83" s="925"/>
      <c r="N83" s="925"/>
    </row>
    <row r="84" spans="2:14">
      <c r="B84" s="930" t="s">
        <v>396</v>
      </c>
      <c r="C84" s="925">
        <v>93598217000</v>
      </c>
      <c r="D84" s="925">
        <v>117229173000</v>
      </c>
      <c r="E84" s="925">
        <v>121221661000</v>
      </c>
      <c r="F84" s="925">
        <v>98325593000</v>
      </c>
      <c r="G84" s="925">
        <v>118042900000</v>
      </c>
      <c r="H84" s="931">
        <v>129023922000</v>
      </c>
      <c r="I84" s="925">
        <v>122103802000</v>
      </c>
      <c r="J84" s="925">
        <v>144681420000</v>
      </c>
      <c r="K84" s="1352">
        <v>137128318000</v>
      </c>
      <c r="L84" s="925"/>
      <c r="M84" s="925"/>
      <c r="N84" s="925"/>
    </row>
    <row r="85" spans="2:14">
      <c r="B85" s="930" t="s">
        <v>398</v>
      </c>
      <c r="C85" s="925">
        <v>659750499000</v>
      </c>
      <c r="D85" s="925">
        <v>710770968000</v>
      </c>
      <c r="E85" s="925">
        <v>722718863000</v>
      </c>
      <c r="F85" s="932">
        <v>605576545000</v>
      </c>
      <c r="G85" s="925">
        <v>716379127000</v>
      </c>
      <c r="H85" s="931">
        <v>798221259000</v>
      </c>
      <c r="I85" s="925">
        <v>872388811000</v>
      </c>
      <c r="J85" s="925">
        <v>1097773572000</v>
      </c>
      <c r="K85" s="1352">
        <v>1179385259000</v>
      </c>
      <c r="L85" s="925"/>
      <c r="M85" s="925"/>
      <c r="N85" s="925"/>
    </row>
    <row r="86" spans="2:14">
      <c r="B86" s="930" t="s">
        <v>523</v>
      </c>
      <c r="C86" s="925">
        <v>3212981000</v>
      </c>
      <c r="D86" s="925">
        <v>0</v>
      </c>
      <c r="E86" s="925">
        <v>1364340000</v>
      </c>
      <c r="F86" s="925">
        <v>1925869000</v>
      </c>
      <c r="G86" s="925">
        <v>1858727000</v>
      </c>
      <c r="H86" s="931">
        <v>2428333000</v>
      </c>
      <c r="I86" s="925">
        <v>4323174000</v>
      </c>
      <c r="J86" s="925">
        <v>7081549000</v>
      </c>
      <c r="K86" s="1352">
        <v>8788858000</v>
      </c>
      <c r="L86" s="925"/>
      <c r="M86" s="925"/>
      <c r="N86" s="925"/>
    </row>
    <row r="87" spans="2:14">
      <c r="B87" s="930" t="s">
        <v>328</v>
      </c>
      <c r="C87" s="925">
        <f t="shared" ref="C87:N87" si="69">+C77-C84-C85-C83-C78-C86-C82-C81-C80-C79</f>
        <v>0</v>
      </c>
      <c r="D87" s="925">
        <f t="shared" si="69"/>
        <v>0</v>
      </c>
      <c r="E87" s="925">
        <f t="shared" si="69"/>
        <v>0</v>
      </c>
      <c r="F87" s="925">
        <f t="shared" si="69"/>
        <v>0</v>
      </c>
      <c r="G87" s="925">
        <f t="shared" si="69"/>
        <v>0</v>
      </c>
      <c r="H87" s="925">
        <f t="shared" si="69"/>
        <v>0</v>
      </c>
      <c r="I87" s="925">
        <f t="shared" si="69"/>
        <v>0</v>
      </c>
      <c r="J87" s="925">
        <f t="shared" si="69"/>
        <v>0</v>
      </c>
      <c r="K87" s="1338" t="s">
        <v>524</v>
      </c>
      <c r="L87" s="925">
        <f t="shared" si="69"/>
        <v>0</v>
      </c>
      <c r="M87" s="925">
        <f t="shared" si="69"/>
        <v>0</v>
      </c>
      <c r="N87" s="925">
        <f t="shared" si="69"/>
        <v>0</v>
      </c>
    </row>
    <row r="88" spans="2:14">
      <c r="B88" s="933" t="s">
        <v>329</v>
      </c>
      <c r="C88" s="934">
        <f t="shared" ref="C88:N88" si="70">+C77+C68</f>
        <v>2114859467000</v>
      </c>
      <c r="D88" s="934">
        <f t="shared" si="70"/>
        <v>2214504689000</v>
      </c>
      <c r="E88" s="934">
        <f t="shared" si="70"/>
        <v>2390948423000</v>
      </c>
      <c r="F88" s="934">
        <f t="shared" si="70"/>
        <v>2448064400000</v>
      </c>
      <c r="G88" s="934">
        <f t="shared" si="70"/>
        <v>2946106647000</v>
      </c>
      <c r="H88" s="935">
        <f t="shared" si="70"/>
        <v>3010700607000</v>
      </c>
      <c r="I88" s="935">
        <f t="shared" si="70"/>
        <v>2921520889000</v>
      </c>
      <c r="J88" s="935">
        <f t="shared" si="70"/>
        <v>3291104273000</v>
      </c>
      <c r="K88" s="934">
        <f>+K77+K68</f>
        <v>3420405418000</v>
      </c>
      <c r="L88" s="935">
        <f t="shared" si="70"/>
        <v>0</v>
      </c>
      <c r="M88" s="935">
        <f t="shared" si="70"/>
        <v>0</v>
      </c>
      <c r="N88" s="935">
        <f t="shared" si="70"/>
        <v>0</v>
      </c>
    </row>
    <row r="89" spans="2:14">
      <c r="B89" s="936"/>
      <c r="C89" s="937"/>
      <c r="D89" s="937"/>
      <c r="E89" s="937"/>
      <c r="F89" s="937"/>
      <c r="G89" s="937"/>
      <c r="H89" s="938"/>
      <c r="I89" s="937"/>
      <c r="J89" s="937"/>
      <c r="K89" s="1340" t="s">
        <v>180</v>
      </c>
      <c r="L89" s="937"/>
      <c r="M89" s="937"/>
      <c r="N89" s="937"/>
    </row>
    <row r="90" spans="2:14">
      <c r="B90" s="922" t="s">
        <v>330</v>
      </c>
      <c r="C90" s="939"/>
      <c r="D90" s="939"/>
      <c r="E90" s="940"/>
      <c r="F90" s="940"/>
      <c r="G90" s="939"/>
      <c r="H90" s="941"/>
      <c r="I90" s="939"/>
      <c r="J90" s="939"/>
      <c r="K90" s="1341" t="s">
        <v>180</v>
      </c>
      <c r="L90" s="939"/>
      <c r="M90" s="939"/>
      <c r="N90" s="939"/>
    </row>
    <row r="91" spans="2:14">
      <c r="B91" s="926" t="s">
        <v>310</v>
      </c>
      <c r="C91" s="927">
        <v>428287322000</v>
      </c>
      <c r="D91" s="927">
        <v>419862101000</v>
      </c>
      <c r="E91" s="940">
        <v>411658352000</v>
      </c>
      <c r="F91" s="940">
        <v>378056186000</v>
      </c>
      <c r="G91" s="927">
        <v>529567279000</v>
      </c>
      <c r="H91" s="929">
        <v>949245134000</v>
      </c>
      <c r="I91" s="927">
        <v>692871296000</v>
      </c>
      <c r="J91" s="927">
        <v>906143994000</v>
      </c>
      <c r="K91" s="1346">
        <v>730412517000</v>
      </c>
      <c r="L91" s="927"/>
      <c r="M91" s="927"/>
      <c r="N91" s="927"/>
    </row>
    <row r="92" spans="2:14">
      <c r="B92" s="930" t="s">
        <v>525</v>
      </c>
      <c r="C92" s="925">
        <v>67981405000</v>
      </c>
      <c r="D92" s="925">
        <v>56114977000</v>
      </c>
      <c r="E92" s="925">
        <v>40593878000</v>
      </c>
      <c r="F92" s="925">
        <v>38566724000</v>
      </c>
      <c r="G92" s="925">
        <v>47763039000</v>
      </c>
      <c r="H92" s="931">
        <v>367302080000</v>
      </c>
      <c r="I92" s="925">
        <v>52997001000</v>
      </c>
      <c r="J92" s="925">
        <v>110330460000</v>
      </c>
      <c r="K92" s="1352">
        <v>62418990000</v>
      </c>
      <c r="L92" s="925"/>
      <c r="M92" s="925"/>
      <c r="N92" s="925"/>
    </row>
    <row r="93" spans="2:14">
      <c r="B93" s="930" t="s">
        <v>405</v>
      </c>
      <c r="C93" s="925">
        <v>257519477000</v>
      </c>
      <c r="D93" s="925">
        <v>238109847000</v>
      </c>
      <c r="E93" s="925">
        <v>243700553000</v>
      </c>
      <c r="F93" s="925">
        <v>230445809000</v>
      </c>
      <c r="G93" s="925">
        <v>327409207000</v>
      </c>
      <c r="H93" s="931">
        <v>384801630000</v>
      </c>
      <c r="I93" s="925">
        <v>428911984000</v>
      </c>
      <c r="J93" s="925">
        <v>457074643000</v>
      </c>
      <c r="K93" s="1352">
        <v>480396027000</v>
      </c>
      <c r="L93" s="925"/>
      <c r="M93" s="925"/>
      <c r="N93" s="925"/>
    </row>
    <row r="94" spans="2:14">
      <c r="B94" s="930" t="s">
        <v>526</v>
      </c>
      <c r="C94" s="925">
        <v>33961437000</v>
      </c>
      <c r="D94" s="925">
        <v>45827859000</v>
      </c>
      <c r="E94" s="925">
        <v>53637601000</v>
      </c>
      <c r="F94" s="925">
        <v>39541968000</v>
      </c>
      <c r="G94" s="925">
        <v>56103461000</v>
      </c>
      <c r="H94" s="931">
        <v>90248067000</v>
      </c>
      <c r="I94" s="925">
        <v>96045624000</v>
      </c>
      <c r="J94" s="925">
        <v>94376420000</v>
      </c>
      <c r="K94" s="1352">
        <v>102102553000</v>
      </c>
      <c r="L94" s="925"/>
      <c r="M94" s="925"/>
      <c r="N94" s="925"/>
    </row>
    <row r="95" spans="2:14">
      <c r="B95" s="930" t="s">
        <v>407</v>
      </c>
      <c r="C95" s="925">
        <v>2676418000</v>
      </c>
      <c r="D95" s="925">
        <v>3485613000</v>
      </c>
      <c r="E95" s="925">
        <v>2068984000</v>
      </c>
      <c r="F95" s="925">
        <v>1335337000</v>
      </c>
      <c r="G95" s="925">
        <v>1528879000</v>
      </c>
      <c r="H95" s="931">
        <v>1591644000</v>
      </c>
      <c r="I95" s="925">
        <v>1314106000</v>
      </c>
      <c r="J95" s="925">
        <v>1522426000</v>
      </c>
      <c r="K95" s="1352">
        <v>2433147000</v>
      </c>
      <c r="L95" s="925"/>
      <c r="M95" s="925"/>
      <c r="N95" s="925"/>
    </row>
    <row r="96" spans="2:14">
      <c r="B96" s="930" t="s">
        <v>527</v>
      </c>
      <c r="C96" s="925">
        <v>3184965000</v>
      </c>
      <c r="D96" s="925">
        <v>9338612000</v>
      </c>
      <c r="E96" s="925">
        <v>6762267000</v>
      </c>
      <c r="F96" s="925">
        <v>8828599000</v>
      </c>
      <c r="G96" s="925">
        <v>30512787000</v>
      </c>
      <c r="H96" s="931">
        <v>14615447000</v>
      </c>
      <c r="I96" s="925">
        <v>13411621000</v>
      </c>
      <c r="J96" s="925">
        <v>28369276000</v>
      </c>
      <c r="K96" s="1352">
        <v>14207862000</v>
      </c>
      <c r="L96" s="925"/>
      <c r="M96" s="925"/>
      <c r="N96" s="925"/>
    </row>
    <row r="97" spans="2:14">
      <c r="B97" s="930" t="s">
        <v>495</v>
      </c>
      <c r="C97" s="925">
        <v>35955643000</v>
      </c>
      <c r="D97" s="925">
        <v>33210979000</v>
      </c>
      <c r="E97" s="925">
        <v>38392854000</v>
      </c>
      <c r="F97" s="925">
        <v>31071019000</v>
      </c>
      <c r="G97" s="925">
        <v>35012072000</v>
      </c>
      <c r="H97" s="931">
        <v>48391806000</v>
      </c>
      <c r="I97" s="925">
        <v>57817800000</v>
      </c>
      <c r="J97" s="925">
        <v>72367187000</v>
      </c>
      <c r="K97" s="1352">
        <v>68363971000</v>
      </c>
      <c r="L97" s="925"/>
      <c r="M97" s="925"/>
      <c r="N97" s="925"/>
    </row>
    <row r="98" spans="2:14">
      <c r="B98" s="930" t="s">
        <v>404</v>
      </c>
      <c r="C98" s="925">
        <v>27007977000</v>
      </c>
      <c r="D98" s="925">
        <v>33774214000</v>
      </c>
      <c r="E98" s="925">
        <v>26502215000</v>
      </c>
      <c r="F98" s="925">
        <v>28266730000</v>
      </c>
      <c r="G98" s="925">
        <v>31237834000</v>
      </c>
      <c r="H98" s="931">
        <v>42294460000</v>
      </c>
      <c r="I98" s="925">
        <v>42373160000</v>
      </c>
      <c r="J98" s="925">
        <v>142103582000</v>
      </c>
      <c r="K98" s="1352">
        <v>489967000</v>
      </c>
      <c r="L98" s="925"/>
      <c r="M98" s="925"/>
      <c r="N98" s="925"/>
    </row>
    <row r="99" spans="2:14">
      <c r="B99" s="930"/>
      <c r="C99" s="925"/>
      <c r="D99" s="925"/>
      <c r="E99" s="925"/>
      <c r="F99" s="925"/>
      <c r="G99" s="925"/>
      <c r="H99" s="931"/>
      <c r="I99" s="925"/>
      <c r="J99" s="925"/>
      <c r="K99" s="1338"/>
      <c r="L99" s="925"/>
      <c r="M99" s="925"/>
      <c r="N99" s="925"/>
    </row>
    <row r="100" spans="2:14">
      <c r="B100" s="930" t="s">
        <v>410</v>
      </c>
      <c r="C100" s="925">
        <f t="shared" ref="C100:N100" si="71">+C91-C92-C98-C99-C97-C96-C95-C94-C93</f>
        <v>0</v>
      </c>
      <c r="D100" s="925">
        <f t="shared" si="71"/>
        <v>0</v>
      </c>
      <c r="E100" s="925">
        <f t="shared" si="71"/>
        <v>0</v>
      </c>
      <c r="F100" s="925">
        <f t="shared" si="71"/>
        <v>0</v>
      </c>
      <c r="G100" s="925">
        <f t="shared" si="71"/>
        <v>0</v>
      </c>
      <c r="H100" s="925">
        <f t="shared" si="71"/>
        <v>0</v>
      </c>
      <c r="I100" s="925">
        <f t="shared" si="71"/>
        <v>0</v>
      </c>
      <c r="J100" s="925">
        <f t="shared" si="71"/>
        <v>0</v>
      </c>
      <c r="K100" s="925">
        <f>+K91-K92-K98-K99-K97-K96-K95-K94-K93</f>
        <v>0</v>
      </c>
      <c r="L100" s="925">
        <f t="shared" si="71"/>
        <v>0</v>
      </c>
      <c r="M100" s="925">
        <f t="shared" si="71"/>
        <v>0</v>
      </c>
      <c r="N100" s="925">
        <f t="shared" si="71"/>
        <v>0</v>
      </c>
    </row>
    <row r="101" spans="2:14">
      <c r="B101" s="926" t="s">
        <v>319</v>
      </c>
      <c r="C101" s="927">
        <v>873338796000</v>
      </c>
      <c r="D101" s="927">
        <v>930927845000</v>
      </c>
      <c r="E101" s="927">
        <v>1010386123000</v>
      </c>
      <c r="F101" s="927">
        <v>1238447623000</v>
      </c>
      <c r="G101" s="927">
        <v>1315125809000</v>
      </c>
      <c r="H101" s="927">
        <v>1178052821000</v>
      </c>
      <c r="I101" s="927">
        <v>1307664179000</v>
      </c>
      <c r="J101" s="927">
        <v>1370563259000</v>
      </c>
      <c r="K101" s="927">
        <v>1493439053000</v>
      </c>
      <c r="L101" s="927"/>
      <c r="M101" s="927"/>
      <c r="N101" s="927"/>
    </row>
    <row r="102" spans="2:14">
      <c r="B102" s="930" t="s">
        <v>525</v>
      </c>
      <c r="C102" s="925">
        <v>675767201000</v>
      </c>
      <c r="D102" s="925">
        <v>716563778000</v>
      </c>
      <c r="E102" s="925">
        <v>743327057000</v>
      </c>
      <c r="F102" s="925">
        <v>989829569000</v>
      </c>
      <c r="G102" s="925">
        <v>1041048972000</v>
      </c>
      <c r="H102" s="925">
        <v>904802058000</v>
      </c>
      <c r="I102" s="925">
        <v>1044325833000</v>
      </c>
      <c r="J102" s="925">
        <v>1066543247000</v>
      </c>
      <c r="K102" s="925">
        <v>1191795823000</v>
      </c>
      <c r="L102" s="925"/>
      <c r="M102" s="925"/>
      <c r="N102" s="925"/>
    </row>
    <row r="103" spans="2:14">
      <c r="B103" s="930" t="s">
        <v>405</v>
      </c>
      <c r="C103" s="925">
        <v>1132926000</v>
      </c>
      <c r="D103" s="925">
        <v>735665000</v>
      </c>
      <c r="E103" s="925">
        <v>619587000</v>
      </c>
      <c r="F103" s="925">
        <v>295279000</v>
      </c>
      <c r="G103" s="925">
        <v>256273000</v>
      </c>
      <c r="H103" s="931">
        <v>3015284000</v>
      </c>
      <c r="I103" s="925">
        <v>2392555000</v>
      </c>
      <c r="J103" s="925">
        <v>2534836000</v>
      </c>
      <c r="K103" s="925">
        <v>685605000</v>
      </c>
      <c r="L103" s="925"/>
      <c r="M103" s="925"/>
      <c r="N103" s="925"/>
    </row>
    <row r="104" spans="2:14">
      <c r="B104" s="930" t="s">
        <v>528</v>
      </c>
      <c r="C104" s="925"/>
      <c r="D104" s="925"/>
      <c r="E104" s="925">
        <v>19777812000</v>
      </c>
      <c r="F104" s="925">
        <v>10790089000</v>
      </c>
      <c r="G104" s="925">
        <v>11557723000</v>
      </c>
      <c r="H104" s="931">
        <v>10354296000</v>
      </c>
      <c r="I104" s="925">
        <v>6007041000</v>
      </c>
      <c r="J104" s="925">
        <v>380465000</v>
      </c>
      <c r="K104" s="925">
        <v>0</v>
      </c>
      <c r="L104" s="925"/>
      <c r="M104" s="925"/>
      <c r="N104" s="925"/>
    </row>
    <row r="105" spans="2:14">
      <c r="B105" s="930" t="s">
        <v>407</v>
      </c>
      <c r="C105" s="925">
        <v>62947748000</v>
      </c>
      <c r="D105" s="925">
        <v>58966913000</v>
      </c>
      <c r="E105" s="925">
        <v>67038566000</v>
      </c>
      <c r="F105" s="925">
        <v>48734936000</v>
      </c>
      <c r="G105" s="925">
        <v>55883527000</v>
      </c>
      <c r="H105" s="931">
        <v>47103783000</v>
      </c>
      <c r="I105" s="925">
        <v>53487790000</v>
      </c>
      <c r="J105" s="925">
        <v>53723373000</v>
      </c>
      <c r="K105" s="925">
        <v>55378062000</v>
      </c>
      <c r="L105" s="925"/>
      <c r="M105" s="925"/>
      <c r="N105" s="925"/>
    </row>
    <row r="106" spans="2:14">
      <c r="B106" s="930" t="s">
        <v>339</v>
      </c>
      <c r="C106" s="925">
        <v>125204566000</v>
      </c>
      <c r="D106" s="925">
        <v>145245948000</v>
      </c>
      <c r="E106" s="925">
        <v>169449747000</v>
      </c>
      <c r="F106" s="925">
        <v>153669547000</v>
      </c>
      <c r="G106" s="925">
        <v>168454827000</v>
      </c>
      <c r="H106" s="931">
        <v>165778556000</v>
      </c>
      <c r="I106" s="925">
        <v>180470219000</v>
      </c>
      <c r="J106" s="925">
        <v>224967885000</v>
      </c>
      <c r="K106" s="925">
        <v>218673311000</v>
      </c>
      <c r="L106" s="925"/>
      <c r="M106" s="925"/>
      <c r="N106" s="925"/>
    </row>
    <row r="107" spans="2:14">
      <c r="B107" s="930" t="s">
        <v>529</v>
      </c>
      <c r="C107" s="925">
        <v>8286355000</v>
      </c>
      <c r="D107" s="925">
        <v>9415541000</v>
      </c>
      <c r="E107" s="925">
        <v>10173354000</v>
      </c>
      <c r="F107" s="925">
        <v>13635558000</v>
      </c>
      <c r="G107" s="925">
        <v>14139670000</v>
      </c>
      <c r="H107" s="931">
        <v>17409793000</v>
      </c>
      <c r="I107" s="925">
        <v>18473946000</v>
      </c>
      <c r="J107" s="925">
        <v>20160468000</v>
      </c>
      <c r="K107" s="925">
        <v>23123294000</v>
      </c>
      <c r="L107" s="925"/>
      <c r="M107" s="925"/>
      <c r="N107" s="925"/>
    </row>
    <row r="108" spans="2:14">
      <c r="B108" s="930" t="s">
        <v>530</v>
      </c>
      <c r="C108" s="925"/>
      <c r="D108" s="925"/>
      <c r="E108" s="925"/>
      <c r="F108" s="925">
        <v>21472048000</v>
      </c>
      <c r="G108" s="925">
        <v>23784817000</v>
      </c>
      <c r="H108" s="931">
        <v>29589051000</v>
      </c>
      <c r="I108" s="925">
        <v>2506795000</v>
      </c>
      <c r="J108" s="925">
        <v>2252985000</v>
      </c>
      <c r="K108" s="925">
        <v>3782958000</v>
      </c>
      <c r="L108" s="925"/>
      <c r="M108" s="925"/>
      <c r="N108" s="925"/>
    </row>
    <row r="109" spans="2:14">
      <c r="B109" s="930" t="s">
        <v>531</v>
      </c>
      <c r="C109" s="925">
        <f t="shared" ref="C109:F109" si="72">+C101-C102-C103-C104-C105-C106-C107-C108</f>
        <v>0</v>
      </c>
      <c r="D109" s="925">
        <f t="shared" si="72"/>
        <v>0</v>
      </c>
      <c r="E109" s="925">
        <f t="shared" si="72"/>
        <v>0</v>
      </c>
      <c r="F109" s="925">
        <f t="shared" si="72"/>
        <v>20597000</v>
      </c>
      <c r="G109" s="925">
        <f>+G101-G102-G103-G104-G105-G106-G107-G108</f>
        <v>0</v>
      </c>
      <c r="H109" s="925">
        <f>+H101-H102-H103-H104-H105-H106-H107-H108</f>
        <v>0</v>
      </c>
      <c r="I109" s="925">
        <f t="shared" ref="I109:N109" si="73">+I101-I102-I103-I104-I105-I106-I107-I108</f>
        <v>0</v>
      </c>
      <c r="J109" s="925">
        <f t="shared" si="73"/>
        <v>0</v>
      </c>
      <c r="K109" s="925">
        <f>+K101-K102-K103-K104-K105-K106-K107-K108</f>
        <v>0</v>
      </c>
      <c r="L109" s="925">
        <f t="shared" si="73"/>
        <v>0</v>
      </c>
      <c r="M109" s="925">
        <f t="shared" si="73"/>
        <v>0</v>
      </c>
      <c r="N109" s="925">
        <f t="shared" si="73"/>
        <v>0</v>
      </c>
    </row>
    <row r="110" spans="2:14">
      <c r="B110" s="933" t="s">
        <v>342</v>
      </c>
      <c r="C110" s="934">
        <f t="shared" ref="C110:N110" si="74">+C101+C91</f>
        <v>1301626118000</v>
      </c>
      <c r="D110" s="934">
        <f t="shared" si="74"/>
        <v>1350789946000</v>
      </c>
      <c r="E110" s="934">
        <f t="shared" si="74"/>
        <v>1422044475000</v>
      </c>
      <c r="F110" s="934">
        <f t="shared" si="74"/>
        <v>1616503809000</v>
      </c>
      <c r="G110" s="934">
        <f t="shared" si="74"/>
        <v>1844693088000</v>
      </c>
      <c r="H110" s="935">
        <f t="shared" si="74"/>
        <v>2127297955000</v>
      </c>
      <c r="I110" s="935">
        <f t="shared" si="74"/>
        <v>2000535475000</v>
      </c>
      <c r="J110" s="935">
        <f t="shared" si="74"/>
        <v>2276707253000</v>
      </c>
      <c r="K110" s="934">
        <f>+K101+K91</f>
        <v>2223851570000</v>
      </c>
      <c r="L110" s="935">
        <f t="shared" si="74"/>
        <v>0</v>
      </c>
      <c r="M110" s="935">
        <f t="shared" si="74"/>
        <v>0</v>
      </c>
      <c r="N110" s="935">
        <f t="shared" si="74"/>
        <v>0</v>
      </c>
    </row>
    <row r="111" spans="2:14">
      <c r="B111" s="936"/>
      <c r="C111" s="936"/>
      <c r="D111" s="936"/>
      <c r="E111" s="936"/>
      <c r="F111" s="936"/>
      <c r="G111" s="936"/>
      <c r="H111" s="936"/>
      <c r="I111" s="936"/>
      <c r="J111" s="936"/>
      <c r="K111" s="1340" t="s">
        <v>180</v>
      </c>
      <c r="L111" s="936"/>
      <c r="M111" s="936"/>
      <c r="N111" s="936"/>
    </row>
    <row r="112" spans="2:14">
      <c r="B112" s="922" t="s">
        <v>343</v>
      </c>
      <c r="C112" s="939"/>
      <c r="D112" s="939"/>
      <c r="E112" s="939"/>
      <c r="F112" s="939"/>
      <c r="G112" s="939"/>
      <c r="H112" s="941"/>
      <c r="I112" s="939"/>
      <c r="J112" s="939"/>
      <c r="K112" s="1341" t="s">
        <v>180</v>
      </c>
      <c r="L112" s="939"/>
      <c r="M112" s="939"/>
      <c r="N112" s="939"/>
    </row>
    <row r="113" spans="2:14">
      <c r="B113" s="930" t="s">
        <v>532</v>
      </c>
      <c r="C113" s="931">
        <v>270737574000</v>
      </c>
      <c r="D113" s="931">
        <v>270737574000</v>
      </c>
      <c r="E113" s="931">
        <v>270737574000</v>
      </c>
      <c r="F113" s="931">
        <v>270737574000</v>
      </c>
      <c r="G113" s="931">
        <v>270737574000</v>
      </c>
      <c r="H113" s="931">
        <v>270737574000</v>
      </c>
      <c r="I113" s="931">
        <v>270737574000</v>
      </c>
      <c r="J113" s="931">
        <v>270737574000</v>
      </c>
      <c r="K113" s="1352">
        <v>270737574000</v>
      </c>
      <c r="L113" s="931"/>
      <c r="M113" s="931"/>
      <c r="N113" s="931"/>
    </row>
    <row r="114" spans="2:14">
      <c r="B114" s="930" t="s">
        <v>533</v>
      </c>
      <c r="C114" s="925">
        <v>335523254000</v>
      </c>
      <c r="D114" s="925">
        <v>462221463000</v>
      </c>
      <c r="E114" s="925">
        <v>600918265000</v>
      </c>
      <c r="F114" s="925">
        <v>654171126000</v>
      </c>
      <c r="G114" s="925">
        <v>768116920000</v>
      </c>
      <c r="H114" s="931">
        <v>716975127000</v>
      </c>
      <c r="I114" s="925">
        <v>769311795000</v>
      </c>
      <c r="J114" s="925">
        <v>891746153000</v>
      </c>
      <c r="K114" s="1352">
        <v>1169458993000</v>
      </c>
      <c r="L114" s="925"/>
      <c r="M114" s="925"/>
      <c r="N114" s="925"/>
    </row>
    <row r="115" spans="2:14">
      <c r="B115" s="930" t="s">
        <v>345</v>
      </c>
      <c r="C115" s="925">
        <v>185049228000</v>
      </c>
      <c r="D115" s="925">
        <v>110854089000</v>
      </c>
      <c r="E115" s="925">
        <v>76993851000</v>
      </c>
      <c r="F115" s="925">
        <v>-113727586000</v>
      </c>
      <c r="G115" s="925">
        <v>37289310000</v>
      </c>
      <c r="H115" s="931">
        <v>-132452557000</v>
      </c>
      <c r="I115" s="925">
        <v>-153758842000</v>
      </c>
      <c r="J115" s="925">
        <v>-186074535000</v>
      </c>
      <c r="K115" s="1347">
        <v>-282797770000</v>
      </c>
      <c r="L115" s="925"/>
      <c r="M115" s="925"/>
      <c r="N115" s="925"/>
    </row>
    <row r="116" spans="2:14">
      <c r="B116" s="930" t="s">
        <v>419</v>
      </c>
      <c r="C116" s="925">
        <v>21923293000</v>
      </c>
      <c r="D116" s="925">
        <v>19901617000</v>
      </c>
      <c r="E116" s="925"/>
      <c r="F116" s="925"/>
      <c r="G116" s="925">
        <v>25269755000</v>
      </c>
      <c r="H116" s="931">
        <v>28142508000</v>
      </c>
      <c r="I116" s="925">
        <v>34694887000</v>
      </c>
      <c r="J116" s="925">
        <v>37987828000</v>
      </c>
      <c r="K116" s="1352">
        <v>39155051000</v>
      </c>
      <c r="L116" s="925"/>
      <c r="M116" s="925"/>
      <c r="N116" s="925"/>
    </row>
    <row r="117" spans="2:14">
      <c r="B117" s="933" t="s">
        <v>420</v>
      </c>
      <c r="C117" s="934">
        <f t="shared" ref="C117:F117" si="75">+C113+C115+C114</f>
        <v>791310056000</v>
      </c>
      <c r="D117" s="934">
        <f t="shared" si="75"/>
        <v>843813126000</v>
      </c>
      <c r="E117" s="934">
        <f t="shared" si="75"/>
        <v>948649690000</v>
      </c>
      <c r="F117" s="934">
        <f t="shared" si="75"/>
        <v>811181114000</v>
      </c>
      <c r="G117" s="934">
        <f>+G113+G115+G114</f>
        <v>1076143804000</v>
      </c>
      <c r="H117" s="934">
        <f>+H113+H115+H114</f>
        <v>855260144000</v>
      </c>
      <c r="I117" s="934">
        <f>+I113+I115+I114</f>
        <v>886290527000</v>
      </c>
      <c r="J117" s="934">
        <v>976409192000</v>
      </c>
      <c r="K117" s="1353">
        <v>1157398797000</v>
      </c>
      <c r="L117" s="934"/>
      <c r="M117" s="934"/>
      <c r="N117" s="934"/>
    </row>
    <row r="118" spans="2:14">
      <c r="K118" s="1342"/>
    </row>
    <row r="119" spans="2:14">
      <c r="B119" s="921" t="s">
        <v>348</v>
      </c>
      <c r="K119" s="1342"/>
    </row>
    <row r="120" spans="2:14">
      <c r="B120" s="942" t="s">
        <v>308</v>
      </c>
      <c r="C120" s="943">
        <v>2017</v>
      </c>
      <c r="D120" s="943">
        <v>2018</v>
      </c>
      <c r="E120" s="943">
        <v>2019</v>
      </c>
      <c r="F120" s="943">
        <v>2020</v>
      </c>
      <c r="G120" s="943">
        <v>2021</v>
      </c>
      <c r="H120" s="943">
        <v>2022</v>
      </c>
      <c r="I120" s="943">
        <v>2023</v>
      </c>
      <c r="J120" s="943">
        <v>2024</v>
      </c>
      <c r="K120" s="1343">
        <v>2025</v>
      </c>
      <c r="L120" s="943">
        <v>2026</v>
      </c>
      <c r="M120" s="943">
        <v>2027</v>
      </c>
      <c r="N120" s="943">
        <v>2028</v>
      </c>
    </row>
    <row r="121" spans="2:14">
      <c r="B121" s="944" t="s">
        <v>349</v>
      </c>
      <c r="C121" s="945">
        <v>1848878619000</v>
      </c>
      <c r="D121" s="945">
        <v>1672915799000</v>
      </c>
      <c r="E121" s="945">
        <v>1779025115000</v>
      </c>
      <c r="F121" s="945">
        <v>1698281237000</v>
      </c>
      <c r="G121" s="945">
        <v>2216732593000</v>
      </c>
      <c r="H121" s="945">
        <v>2656878395000</v>
      </c>
      <c r="I121" s="945">
        <v>2618437052000</v>
      </c>
      <c r="J121" s="945">
        <v>3224233005000</v>
      </c>
      <c r="K121" s="1346">
        <v>3344835851000</v>
      </c>
      <c r="L121" s="945"/>
      <c r="M121" s="945"/>
      <c r="N121" s="945"/>
    </row>
    <row r="122" spans="2:14">
      <c r="B122" s="946" t="s">
        <v>534</v>
      </c>
      <c r="C122" s="925">
        <v>-1069024964000</v>
      </c>
      <c r="D122" s="925">
        <v>-968027774000</v>
      </c>
      <c r="E122" s="925">
        <v>-1048343767000</v>
      </c>
      <c r="F122" s="925">
        <v>-1022498659000</v>
      </c>
      <c r="G122" s="925">
        <v>-1375392773000</v>
      </c>
      <c r="H122" s="925">
        <v>-1628701823000</v>
      </c>
      <c r="I122" s="925">
        <v>-1601997255000</v>
      </c>
      <c r="J122" s="925">
        <v>-1945363408000</v>
      </c>
      <c r="K122" s="1347">
        <v>-2037679124000</v>
      </c>
      <c r="L122" s="925"/>
      <c r="M122" s="925"/>
      <c r="N122" s="925"/>
    </row>
    <row r="123" spans="2:14">
      <c r="B123" s="947" t="s">
        <v>422</v>
      </c>
      <c r="C123" s="927">
        <f t="shared" ref="C123:F123" si="76">+C121+C122</f>
        <v>779853655000</v>
      </c>
      <c r="D123" s="927">
        <f>+D121+D122</f>
        <v>704888025000</v>
      </c>
      <c r="E123" s="927">
        <f t="shared" si="76"/>
        <v>730681348000</v>
      </c>
      <c r="F123" s="927">
        <f t="shared" si="76"/>
        <v>675782578000</v>
      </c>
      <c r="G123" s="927">
        <f>+G121+G122</f>
        <v>841339820000</v>
      </c>
      <c r="H123" s="927">
        <f t="shared" ref="H123:I123" si="77">+H121+H122</f>
        <v>1028176572000</v>
      </c>
      <c r="I123" s="927">
        <f t="shared" si="77"/>
        <v>1016439797000</v>
      </c>
      <c r="J123" s="927">
        <v>1278869597000</v>
      </c>
      <c r="K123" s="1346">
        <v>1307156727000</v>
      </c>
      <c r="L123" s="927"/>
      <c r="M123" s="927"/>
      <c r="N123" s="927"/>
    </row>
    <row r="124" spans="2:14">
      <c r="B124" s="946" t="s">
        <v>535</v>
      </c>
      <c r="C124" s="925">
        <v>550834000</v>
      </c>
      <c r="D124" s="925">
        <v>2609168000</v>
      </c>
      <c r="E124" s="925">
        <v>40947158000</v>
      </c>
      <c r="F124" s="925">
        <v>8356298000</v>
      </c>
      <c r="G124" s="925">
        <v>1337878000</v>
      </c>
      <c r="H124" s="925">
        <v>2497520000</v>
      </c>
      <c r="I124" s="925">
        <v>1310489000</v>
      </c>
      <c r="J124" s="925">
        <v>21479861000</v>
      </c>
      <c r="K124" s="1352">
        <v>13382457000</v>
      </c>
      <c r="L124" s="925"/>
      <c r="M124" s="925"/>
      <c r="N124" s="925"/>
    </row>
    <row r="125" spans="2:14">
      <c r="B125" s="946" t="s">
        <v>536</v>
      </c>
      <c r="C125" s="925">
        <v>-192927875000</v>
      </c>
      <c r="D125" s="925">
        <v>-165775484000</v>
      </c>
      <c r="E125" s="925">
        <v>-166996289000</v>
      </c>
      <c r="F125" s="925">
        <v>-152532018000</v>
      </c>
      <c r="G125" s="925">
        <v>-199952373000</v>
      </c>
      <c r="H125" s="925">
        <v>-253514676000</v>
      </c>
      <c r="I125" s="925">
        <v>-227807179000</v>
      </c>
      <c r="J125" s="925">
        <v>-289987008000</v>
      </c>
      <c r="K125" s="1347">
        <v>-296664592000</v>
      </c>
      <c r="L125" s="925"/>
      <c r="M125" s="925"/>
      <c r="N125" s="925"/>
    </row>
    <row r="126" spans="2:14">
      <c r="B126" s="946" t="s">
        <v>537</v>
      </c>
      <c r="C126" s="925">
        <v>-348199321000</v>
      </c>
      <c r="D126" s="925">
        <v>-313742853000</v>
      </c>
      <c r="E126" s="925">
        <v>-325903809000</v>
      </c>
      <c r="F126" s="925">
        <v>-283638935000</v>
      </c>
      <c r="G126" s="925">
        <v>-348949863000</v>
      </c>
      <c r="H126" s="925">
        <v>-429517716000</v>
      </c>
      <c r="I126" s="925">
        <v>-431295515000</v>
      </c>
      <c r="J126" s="925">
        <v>-561801213000</v>
      </c>
      <c r="K126" s="1347">
        <v>-555125622000</v>
      </c>
      <c r="L126" s="925"/>
      <c r="M126" s="925"/>
      <c r="N126" s="925"/>
    </row>
    <row r="127" spans="2:14">
      <c r="B127" s="946" t="s">
        <v>510</v>
      </c>
      <c r="C127" s="925">
        <v>-16701471000</v>
      </c>
      <c r="D127" s="925">
        <v>-16057763000</v>
      </c>
      <c r="E127" s="925">
        <v>-26182847000</v>
      </c>
      <c r="F127" s="925">
        <v>-17430256000</v>
      </c>
      <c r="G127" s="925">
        <v>-15221790000</v>
      </c>
      <c r="H127" s="925">
        <v>-886331000</v>
      </c>
      <c r="I127" s="925">
        <v>-26441583000</v>
      </c>
      <c r="J127" s="925">
        <v>-36650029000</v>
      </c>
      <c r="K127" s="1347">
        <v>-30114433000</v>
      </c>
      <c r="L127" s="925"/>
      <c r="M127" s="925"/>
      <c r="N127" s="925"/>
    </row>
    <row r="128" spans="2:14">
      <c r="B128" s="946" t="s">
        <v>427</v>
      </c>
      <c r="C128" s="925">
        <v>-2537269000</v>
      </c>
      <c r="D128" s="925">
        <v>-2707859000</v>
      </c>
      <c r="E128" s="925">
        <v>2876000</v>
      </c>
      <c r="F128" s="925">
        <v>287000</v>
      </c>
      <c r="G128" s="925">
        <v>0</v>
      </c>
      <c r="H128" s="925">
        <v>-24983899000</v>
      </c>
      <c r="I128" s="925">
        <v>-15909117000</v>
      </c>
      <c r="J128" s="925"/>
      <c r="K128" s="925">
        <v>-1817033000</v>
      </c>
      <c r="L128" s="925"/>
      <c r="M128" s="925"/>
      <c r="N128" s="925"/>
    </row>
    <row r="129" spans="2:14">
      <c r="B129" s="947" t="s">
        <v>428</v>
      </c>
      <c r="C129" s="927">
        <f t="shared" ref="C129:F129" si="78">+C123+C128+C124+C125+C126+C127</f>
        <v>220038553000</v>
      </c>
      <c r="D129" s="927">
        <f t="shared" si="78"/>
        <v>209213234000</v>
      </c>
      <c r="E129" s="927">
        <f t="shared" si="78"/>
        <v>252548437000</v>
      </c>
      <c r="F129" s="927">
        <f t="shared" si="78"/>
        <v>230537954000</v>
      </c>
      <c r="G129" s="927">
        <f>+G123+G128+G124+G125+G126+G127</f>
        <v>278553672000</v>
      </c>
      <c r="H129" s="927">
        <f>+H123+H128+H124+H125+H126+H127</f>
        <v>321771470000</v>
      </c>
      <c r="I129" s="927">
        <f>+I123+I128+I124+I125+I126+I127</f>
        <v>316296892000</v>
      </c>
      <c r="J129" s="927">
        <f>+J123+J128+J124+J125+J126+J127</f>
        <v>411911208000</v>
      </c>
      <c r="K129" s="927">
        <f>+K123+K128+K124+K125+K126+K127</f>
        <v>436817504000</v>
      </c>
      <c r="L129" s="927"/>
      <c r="M129" s="927"/>
      <c r="N129" s="927"/>
    </row>
    <row r="130" spans="2:14">
      <c r="B130" s="946" t="s">
        <v>429</v>
      </c>
      <c r="C130" s="925">
        <v>11194375000</v>
      </c>
      <c r="D130" s="925">
        <v>3940244000</v>
      </c>
      <c r="E130" s="925">
        <v>45155791000</v>
      </c>
      <c r="F130" s="925">
        <v>14945879000</v>
      </c>
      <c r="G130" s="948">
        <v>7791869000</v>
      </c>
      <c r="H130" s="948">
        <v>39722410000</v>
      </c>
      <c r="I130" s="948">
        <v>31396167000</v>
      </c>
      <c r="J130" s="948">
        <v>28959918000</v>
      </c>
      <c r="K130" s="1345">
        <v>18439612000</v>
      </c>
      <c r="L130" s="948"/>
      <c r="M130" s="948"/>
      <c r="N130" s="948"/>
    </row>
    <row r="131" spans="2:14">
      <c r="B131" s="946" t="s">
        <v>430</v>
      </c>
      <c r="C131" s="925">
        <v>-55220369000</v>
      </c>
      <c r="D131" s="925">
        <v>-55014660000</v>
      </c>
      <c r="E131" s="925">
        <v>-46209020000</v>
      </c>
      <c r="F131" s="925">
        <v>-54772837000</v>
      </c>
      <c r="G131" s="948">
        <v>-52992456000</v>
      </c>
      <c r="H131" s="948">
        <v>-59547953000</v>
      </c>
      <c r="I131" s="948">
        <v>-65288352000</v>
      </c>
      <c r="J131" s="948">
        <v>-70413883000</v>
      </c>
      <c r="K131" s="1351">
        <v>-68218413000</v>
      </c>
      <c r="L131" s="948"/>
      <c r="M131" s="948"/>
      <c r="N131" s="948"/>
    </row>
    <row r="132" spans="2:14">
      <c r="B132" s="946" t="s">
        <v>431</v>
      </c>
      <c r="C132" s="925">
        <v>-80360000</v>
      </c>
      <c r="D132" s="925">
        <v>1411179000</v>
      </c>
      <c r="E132" s="925">
        <v>-3415083000</v>
      </c>
      <c r="F132" s="925">
        <v>2228763000</v>
      </c>
      <c r="G132" s="948">
        <v>3093102000</v>
      </c>
      <c r="H132" s="948">
        <v>1409069000</v>
      </c>
      <c r="I132" s="948">
        <v>2716169000</v>
      </c>
      <c r="J132" s="948">
        <v>997644000</v>
      </c>
      <c r="K132" s="1345">
        <v>2913896000</v>
      </c>
      <c r="L132" s="948"/>
      <c r="M132" s="948"/>
      <c r="N132" s="948"/>
    </row>
    <row r="133" spans="2:14">
      <c r="B133" s="946" t="s">
        <v>432</v>
      </c>
      <c r="C133" s="925">
        <v>-1370910000</v>
      </c>
      <c r="D133" s="925">
        <v>-1449256000</v>
      </c>
      <c r="E133" s="925">
        <v>-4130543000</v>
      </c>
      <c r="F133" s="925">
        <v>-3088278000</v>
      </c>
      <c r="G133" s="948">
        <v>-5508311000</v>
      </c>
      <c r="H133" s="948">
        <v>-11607728000</v>
      </c>
      <c r="I133" s="948">
        <v>-17216130000</v>
      </c>
      <c r="J133" s="948">
        <v>-7406704000</v>
      </c>
      <c r="K133" s="1345">
        <v>-3424890000</v>
      </c>
      <c r="L133" s="948"/>
      <c r="M133" s="948"/>
      <c r="N133" s="948"/>
    </row>
    <row r="134" spans="2:14">
      <c r="B134" s="946" t="s">
        <v>433</v>
      </c>
      <c r="C134" s="925">
        <v>-3762930000</v>
      </c>
      <c r="D134" s="925">
        <v>-5085140000</v>
      </c>
      <c r="E134" s="925">
        <v>-7536466000</v>
      </c>
      <c r="F134" s="925">
        <v>-11828762000</v>
      </c>
      <c r="G134" s="948">
        <v>-27738888000</v>
      </c>
      <c r="H134" s="948">
        <v>-58943643000</v>
      </c>
      <c r="I134" s="948">
        <v>-7398952000</v>
      </c>
      <c r="J134" s="948">
        <v>3988588000</v>
      </c>
      <c r="K134" s="1351">
        <v>-5893367000</v>
      </c>
      <c r="L134" s="948"/>
      <c r="M134" s="948"/>
      <c r="N134" s="948"/>
    </row>
    <row r="135" spans="2:14">
      <c r="B135" s="947" t="s">
        <v>362</v>
      </c>
      <c r="C135" s="927">
        <f t="shared" ref="C135:E135" si="79">+C129+C130+C131+C132+C133+C134</f>
        <v>170798359000</v>
      </c>
      <c r="D135" s="927">
        <f t="shared" si="79"/>
        <v>153015601000</v>
      </c>
      <c r="E135" s="927">
        <f t="shared" si="79"/>
        <v>236413116000</v>
      </c>
      <c r="F135" s="927">
        <f>+F129+F130+F131+F132+F133+F134</f>
        <v>178022719000</v>
      </c>
      <c r="G135" s="927">
        <f t="shared" ref="G135:J135" si="80">+G129+G130+G131+G132+G133+G134</f>
        <v>203198988000</v>
      </c>
      <c r="H135" s="927">
        <f t="shared" si="80"/>
        <v>232803625000</v>
      </c>
      <c r="I135" s="927">
        <f t="shared" si="80"/>
        <v>260505794000</v>
      </c>
      <c r="J135" s="927">
        <f t="shared" si="80"/>
        <v>368036771000</v>
      </c>
      <c r="K135" s="927">
        <f>+K129+K130+K131+K132+K133+K134</f>
        <v>380634342000</v>
      </c>
      <c r="L135" s="927"/>
      <c r="M135" s="927"/>
      <c r="N135" s="927"/>
    </row>
    <row r="136" spans="2:14">
      <c r="B136" s="946" t="s">
        <v>363</v>
      </c>
      <c r="C136" s="925">
        <v>-51797634000</v>
      </c>
      <c r="D136" s="925">
        <v>-55564855000</v>
      </c>
      <c r="E136" s="925">
        <v>-61166891000</v>
      </c>
      <c r="F136" s="925">
        <v>-54905399000</v>
      </c>
      <c r="G136" s="949">
        <v>-46177320000</v>
      </c>
      <c r="H136" s="949">
        <v>-104344638000</v>
      </c>
      <c r="I136" s="949">
        <v>-85994307000</v>
      </c>
      <c r="J136" s="949">
        <v>-133392646000</v>
      </c>
      <c r="K136" s="1347">
        <v>-110156927000</v>
      </c>
      <c r="L136" s="949"/>
      <c r="M136" s="949"/>
      <c r="N136" s="949"/>
    </row>
    <row r="137" spans="2:14">
      <c r="B137" s="950" t="s">
        <v>365</v>
      </c>
      <c r="C137" s="951">
        <f t="shared" ref="C137:G137" si="81">+C135+C136</f>
        <v>119000725000</v>
      </c>
      <c r="D137" s="951">
        <f t="shared" si="81"/>
        <v>97450746000</v>
      </c>
      <c r="E137" s="951">
        <f t="shared" si="81"/>
        <v>175246225000</v>
      </c>
      <c r="F137" s="951">
        <f t="shared" si="81"/>
        <v>123117320000</v>
      </c>
      <c r="G137" s="951">
        <f t="shared" si="81"/>
        <v>157021668000</v>
      </c>
      <c r="H137" s="951">
        <f>+H135+H136</f>
        <v>128458987000</v>
      </c>
      <c r="I137" s="951">
        <f>+I135+I136</f>
        <v>174511487000</v>
      </c>
      <c r="J137" s="951">
        <v>234644125000</v>
      </c>
      <c r="K137" s="1350">
        <v>270477415000</v>
      </c>
      <c r="L137" s="951"/>
      <c r="M137" s="951"/>
      <c r="N137" s="951"/>
    </row>
    <row r="138" spans="2:14">
      <c r="B138" s="952" t="s">
        <v>435</v>
      </c>
      <c r="C138" s="925">
        <v>1164935000</v>
      </c>
      <c r="D138" s="925">
        <v>847375000</v>
      </c>
      <c r="E138" s="925">
        <v>1524297000</v>
      </c>
      <c r="F138" s="925">
        <v>1117515000</v>
      </c>
      <c r="G138" s="949">
        <v>2333518000</v>
      </c>
      <c r="H138" s="949">
        <v>2961345000</v>
      </c>
      <c r="I138" s="949">
        <v>3070077000</v>
      </c>
      <c r="J138" s="949">
        <v>1981241000</v>
      </c>
      <c r="K138" s="1349">
        <v>1780479000</v>
      </c>
      <c r="L138" s="949"/>
      <c r="M138" s="949"/>
      <c r="N138" s="949"/>
    </row>
    <row r="139" spans="2:14">
      <c r="B139" s="950" t="s">
        <v>538</v>
      </c>
      <c r="C139" s="953">
        <v>118.56</v>
      </c>
      <c r="D139" s="953">
        <v>97.2</v>
      </c>
      <c r="E139" s="953">
        <v>174.79</v>
      </c>
      <c r="F139" s="954">
        <v>155.75</v>
      </c>
      <c r="G139" s="954">
        <v>155.65</v>
      </c>
      <c r="H139" s="954">
        <v>126.27</v>
      </c>
      <c r="I139" s="954">
        <v>172.49</v>
      </c>
      <c r="J139" s="954">
        <v>234.09</v>
      </c>
      <c r="K139" s="1339">
        <v>270.35000000000002</v>
      </c>
      <c r="L139" s="954"/>
      <c r="M139" s="954"/>
      <c r="N139" s="954"/>
    </row>
    <row r="140" spans="2:14">
      <c r="K140" s="1342"/>
    </row>
    <row r="141" spans="2:14">
      <c r="B141" s="921" t="s">
        <v>367</v>
      </c>
      <c r="K141" s="1342"/>
    </row>
    <row r="142" spans="2:14">
      <c r="B142" s="942" t="s">
        <v>308</v>
      </c>
      <c r="C142" s="943">
        <v>2017</v>
      </c>
      <c r="D142" s="943">
        <v>2018</v>
      </c>
      <c r="E142" s="943">
        <v>2019</v>
      </c>
      <c r="F142" s="943">
        <v>2020</v>
      </c>
      <c r="G142" s="943">
        <v>2021</v>
      </c>
      <c r="H142" s="943">
        <v>2022</v>
      </c>
      <c r="I142" s="943">
        <v>2023</v>
      </c>
      <c r="J142" s="943">
        <v>2024</v>
      </c>
      <c r="K142" s="1343">
        <v>2025</v>
      </c>
      <c r="L142" s="943">
        <v>2026</v>
      </c>
      <c r="M142" s="943">
        <v>2027</v>
      </c>
      <c r="N142" s="943">
        <v>2028</v>
      </c>
    </row>
    <row r="143" spans="2:14">
      <c r="B143" s="944" t="s">
        <v>368</v>
      </c>
      <c r="C143" s="945">
        <v>247960348000</v>
      </c>
      <c r="D143" s="945">
        <v>235279362000</v>
      </c>
      <c r="E143" s="945">
        <v>255148474000</v>
      </c>
      <c r="F143" s="945">
        <v>278768998000</v>
      </c>
      <c r="G143" s="945">
        <v>305054983000</v>
      </c>
      <c r="H143" s="945">
        <v>397452424000</v>
      </c>
      <c r="I143" s="945">
        <v>366830236000</v>
      </c>
      <c r="J143" s="945">
        <v>357241911000</v>
      </c>
      <c r="K143" s="1346">
        <v>461127402000</v>
      </c>
      <c r="L143" s="945"/>
      <c r="M143" s="945"/>
      <c r="N143" s="945"/>
    </row>
    <row r="144" spans="2:14">
      <c r="B144" s="947" t="s">
        <v>369</v>
      </c>
      <c r="C144" s="949">
        <v>-168831410000</v>
      </c>
      <c r="D144" s="955">
        <v>-118085648000</v>
      </c>
      <c r="E144" s="955">
        <v>-110048000000</v>
      </c>
      <c r="F144" s="925">
        <v>-223878758000</v>
      </c>
      <c r="G144" s="955">
        <v>-198252680000</v>
      </c>
      <c r="H144" s="925">
        <v>-85168471000</v>
      </c>
      <c r="I144" s="925">
        <v>-158288878000</v>
      </c>
      <c r="J144" s="925">
        <v>-289852631000</v>
      </c>
      <c r="K144" s="1347">
        <v>-248575357000</v>
      </c>
      <c r="L144" s="925"/>
      <c r="M144" s="925"/>
      <c r="N144" s="925"/>
    </row>
    <row r="145" spans="2:14">
      <c r="B145" s="946" t="s">
        <v>370</v>
      </c>
      <c r="C145" s="955">
        <v>-168857680000</v>
      </c>
      <c r="D145" s="955">
        <v>-121063273000</v>
      </c>
      <c r="E145" s="955">
        <v>-110683258000</v>
      </c>
      <c r="F145" s="955">
        <v>-85874958000</v>
      </c>
      <c r="G145" s="955">
        <v>-138856157000</v>
      </c>
      <c r="H145" s="955">
        <v>-186702179000</v>
      </c>
      <c r="I145" s="955">
        <v>-192707498000</v>
      </c>
      <c r="J145" s="955">
        <v>-291541611000</v>
      </c>
      <c r="K145" s="1347">
        <v>-277822215000</v>
      </c>
      <c r="L145" s="955"/>
      <c r="M145" s="955"/>
      <c r="N145" s="955"/>
    </row>
    <row r="146" spans="2:14">
      <c r="B146" s="947" t="s">
        <v>372</v>
      </c>
      <c r="C146" s="956">
        <v>-78345770000</v>
      </c>
      <c r="D146" s="956">
        <v>-114635278000</v>
      </c>
      <c r="E146" s="927">
        <v>-127112637000</v>
      </c>
      <c r="F146" s="956">
        <v>113040961000</v>
      </c>
      <c r="G146" s="956">
        <v>-115319514000</v>
      </c>
      <c r="H146" s="956">
        <v>-286963382000</v>
      </c>
      <c r="I146" s="956">
        <v>-187126798000</v>
      </c>
      <c r="J146" s="956">
        <v>-119758176000</v>
      </c>
      <c r="K146" s="1348">
        <v>-162412211000</v>
      </c>
      <c r="L146" s="956"/>
      <c r="M146" s="956"/>
      <c r="N146" s="956"/>
    </row>
    <row r="147" spans="2:14">
      <c r="B147" s="946" t="s">
        <v>373</v>
      </c>
      <c r="C147" s="955">
        <v>-74968175000</v>
      </c>
      <c r="D147" s="955">
        <v>-87535698000</v>
      </c>
      <c r="E147" s="925">
        <v>-86265896000</v>
      </c>
      <c r="F147" s="955">
        <v>-99985500000</v>
      </c>
      <c r="G147" s="955">
        <v>-106347165000</v>
      </c>
      <c r="H147" s="955">
        <v>-274316050000</v>
      </c>
      <c r="I147" s="955">
        <v>-165877422000</v>
      </c>
      <c r="J147" s="955">
        <v>-158408120000</v>
      </c>
      <c r="K147" s="1347">
        <v>-195890117000</v>
      </c>
      <c r="L147" s="955"/>
      <c r="M147" s="955"/>
      <c r="N147" s="955"/>
    </row>
    <row r="148" spans="2:14">
      <c r="B148" s="946" t="s">
        <v>437</v>
      </c>
      <c r="C148" s="955"/>
      <c r="D148" s="955"/>
      <c r="E148" s="925"/>
      <c r="F148" s="955"/>
      <c r="G148" s="955"/>
      <c r="H148" s="955"/>
      <c r="I148" s="955"/>
      <c r="J148" s="955"/>
      <c r="K148" s="955"/>
      <c r="L148" s="955"/>
      <c r="M148" s="955"/>
      <c r="N148" s="955"/>
    </row>
    <row r="149" spans="2:14">
      <c r="B149" s="947" t="s">
        <v>375</v>
      </c>
      <c r="C149" s="927">
        <v>136242116000</v>
      </c>
      <c r="D149" s="927">
        <v>137538613000</v>
      </c>
      <c r="E149" s="927">
        <v>157567986000</v>
      </c>
      <c r="F149" s="927">
        <v>309530699000</v>
      </c>
      <c r="G149" s="927">
        <v>304312020000</v>
      </c>
      <c r="H149" s="927">
        <v>291681987000</v>
      </c>
      <c r="I149" s="927">
        <v>303683683000</v>
      </c>
      <c r="J149" s="927">
        <v>248899004000</v>
      </c>
      <c r="K149" s="1346">
        <v>296539709000</v>
      </c>
      <c r="L149" s="927"/>
      <c r="M149" s="927"/>
      <c r="N149" s="927"/>
    </row>
    <row r="150" spans="2:14">
      <c r="B150" s="946"/>
      <c r="C150" s="925"/>
      <c r="D150" s="925"/>
      <c r="E150" s="925"/>
      <c r="F150" s="925"/>
      <c r="G150" s="925"/>
      <c r="H150" s="925"/>
      <c r="I150" s="925"/>
      <c r="J150" s="925"/>
      <c r="K150" s="1338" t="s">
        <v>180</v>
      </c>
      <c r="L150" s="925"/>
      <c r="M150" s="925"/>
      <c r="N150" s="925"/>
    </row>
    <row r="151" spans="2:14">
      <c r="B151" s="950" t="s">
        <v>376</v>
      </c>
      <c r="C151" s="948">
        <f t="shared" ref="C151:G151" si="82">+C143+C145+C148</f>
        <v>79102668000</v>
      </c>
      <c r="D151" s="948">
        <f t="shared" si="82"/>
        <v>114216089000</v>
      </c>
      <c r="E151" s="948">
        <f>+E143+E145+E148</f>
        <v>144465216000</v>
      </c>
      <c r="F151" s="948">
        <f>+F143+F145+F148</f>
        <v>192894040000</v>
      </c>
      <c r="G151" s="948">
        <f t="shared" si="82"/>
        <v>166198826000</v>
      </c>
      <c r="H151" s="948">
        <f>+H143+H145+H148</f>
        <v>210750245000</v>
      </c>
      <c r="I151" s="948">
        <f>+I143+I145+I148</f>
        <v>174122738000</v>
      </c>
      <c r="J151" s="948">
        <f>+J143+J145+J148</f>
        <v>65700300000</v>
      </c>
      <c r="K151" s="1344">
        <f>+K143+K145+K148</f>
        <v>183305187000</v>
      </c>
      <c r="L151" s="948"/>
      <c r="M151" s="948"/>
      <c r="N151" s="948"/>
    </row>
  </sheetData>
  <conditionalFormatting sqref="C67:H73 D74:H74 C75:H110">
    <cfRule type="cellIs" dxfId="280" priority="33" operator="lessThan">
      <formula>0</formula>
    </cfRule>
  </conditionalFormatting>
  <conditionalFormatting sqref="C121:J139 L121:N139">
    <cfRule type="cellIs" dxfId="279" priority="17" operator="lessThan">
      <formula>0</formula>
    </cfRule>
  </conditionalFormatting>
  <conditionalFormatting sqref="C143:J151 L143:N151">
    <cfRule type="cellIs" dxfId="278" priority="16" operator="lessThan">
      <formula>0</formula>
    </cfRule>
  </conditionalFormatting>
  <conditionalFormatting sqref="I67:J110 C112:J117 L112:N117 L67:N110">
    <cfRule type="cellIs" dxfId="277" priority="18" operator="lessThan">
      <formula>0</formula>
    </cfRule>
  </conditionalFormatting>
  <conditionalFormatting sqref="K76">
    <cfRule type="cellIs" dxfId="276" priority="15" operator="lessThan">
      <formula>0</formula>
    </cfRule>
  </conditionalFormatting>
  <conditionalFormatting sqref="K88">
    <cfRule type="cellIs" dxfId="275" priority="14" operator="lessThan">
      <formula>0</formula>
    </cfRule>
  </conditionalFormatting>
  <conditionalFormatting sqref="K110">
    <cfRule type="cellIs" dxfId="274" priority="12" operator="lessThan">
      <formula>0</formula>
    </cfRule>
  </conditionalFormatting>
  <conditionalFormatting sqref="K102:K108">
    <cfRule type="cellIs" dxfId="273" priority="11" operator="lessThan">
      <formula>0</formula>
    </cfRule>
  </conditionalFormatting>
  <conditionalFormatting sqref="K101">
    <cfRule type="cellIs" dxfId="272" priority="10" operator="lessThan">
      <formula>0</formula>
    </cfRule>
  </conditionalFormatting>
  <conditionalFormatting sqref="K129">
    <cfRule type="cellIs" dxfId="271" priority="7" operator="lessThan">
      <formula>0</formula>
    </cfRule>
  </conditionalFormatting>
  <conditionalFormatting sqref="K128">
    <cfRule type="cellIs" dxfId="270" priority="6" operator="lessThan">
      <formula>0</formula>
    </cfRule>
  </conditionalFormatting>
  <conditionalFormatting sqref="K135">
    <cfRule type="cellIs" dxfId="269" priority="5" operator="lessThan">
      <formula>0</formula>
    </cfRule>
  </conditionalFormatting>
  <conditionalFormatting sqref="K151">
    <cfRule type="cellIs" dxfId="268" priority="4" operator="lessThan">
      <formula>0</formula>
    </cfRule>
  </conditionalFormatting>
  <conditionalFormatting sqref="K148">
    <cfRule type="cellIs" dxfId="267" priority="3" operator="lessThan">
      <formula>0</formula>
    </cfRule>
  </conditionalFormatting>
  <conditionalFormatting sqref="K100">
    <cfRule type="cellIs" dxfId="266" priority="2" operator="lessThan">
      <formula>0</formula>
    </cfRule>
  </conditionalFormatting>
  <conditionalFormatting sqref="K109">
    <cfRule type="cellIs" dxfId="265" priority="1" operator="lessThan">
      <formula>0</formula>
    </cfRule>
  </conditionalFormatting>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CE9F1-FC91-4887-82CD-C74200151B5E}">
  <sheetPr codeName="Hoja12"/>
  <dimension ref="B2:P151"/>
  <sheetViews>
    <sheetView zoomScale="70" zoomScaleNormal="70" workbookViewId="0">
      <pane xSplit="2" ySplit="6" topLeftCell="I43" activePane="bottomRight" state="frozen"/>
      <selection pane="bottomRight" activeCell="K62" sqref="K62"/>
      <selection pane="bottomLeft" activeCell="A7" sqref="A7"/>
      <selection pane="topRight" activeCell="C1" sqref="C1"/>
    </sheetView>
  </sheetViews>
  <sheetFormatPr defaultColWidth="10.7109375" defaultRowHeight="15" customHeight="1"/>
  <cols>
    <col min="1" max="1" width="4.42578125" style="1000" customWidth="1"/>
    <col min="2" max="2" width="47" style="1000" customWidth="1"/>
    <col min="3" max="8" width="36.28515625" style="1000" bestFit="1" customWidth="1"/>
    <col min="9" max="9" width="35.42578125" style="1000" customWidth="1"/>
    <col min="10" max="10" width="33.85546875" style="1000" bestFit="1" customWidth="1"/>
    <col min="11" max="11" width="25.7109375" style="1000" bestFit="1" customWidth="1"/>
    <col min="12" max="12" width="25.7109375" style="1000" customWidth="1"/>
    <col min="13" max="14" width="25.7109375" style="1000" bestFit="1" customWidth="1"/>
    <col min="15" max="16384" width="10.7109375" style="1000"/>
  </cols>
  <sheetData>
    <row r="2" spans="2:14" ht="13.15">
      <c r="B2" s="997">
        <f ca="1">TODAY()-1</f>
        <v>46105</v>
      </c>
      <c r="C2" s="998"/>
      <c r="D2" s="999" t="s">
        <v>518</v>
      </c>
      <c r="E2" s="999" t="s">
        <v>266</v>
      </c>
    </row>
    <row r="3" spans="2:14" ht="13.15">
      <c r="B3" s="1001" cm="1">
        <f t="array" aca="1" ref="B3" ca="1">_FV(B6,"Precio")</f>
        <v>3940</v>
      </c>
      <c r="C3" s="1002"/>
      <c r="D3" s="1003">
        <f>AVERAGE(H45:J45)</f>
        <v>143</v>
      </c>
      <c r="E3" s="1003">
        <f>AVERAGE(H44:J44)</f>
        <v>220</v>
      </c>
      <c r="H3" s="1317"/>
    </row>
    <row r="4" spans="2:14" ht="13.15">
      <c r="B4" s="1004"/>
      <c r="C4" s="1005"/>
      <c r="D4" s="1006"/>
      <c r="E4" s="1006"/>
      <c r="G4" s="1000" t="s">
        <v>539</v>
      </c>
    </row>
    <row r="6" spans="2:14" ht="13.15">
      <c r="B6" s="1007" t="e" vm="9">
        <v>#VALUE!</v>
      </c>
      <c r="C6" s="1007">
        <v>2017</v>
      </c>
      <c r="D6" s="1007">
        <v>2018</v>
      </c>
      <c r="E6" s="1007">
        <v>2019</v>
      </c>
      <c r="F6" s="1007">
        <v>2020</v>
      </c>
      <c r="G6" s="1007">
        <v>2021</v>
      </c>
      <c r="H6" s="1007">
        <v>2022</v>
      </c>
      <c r="I6" s="1007">
        <v>2023</v>
      </c>
      <c r="J6" s="1007">
        <v>2024</v>
      </c>
      <c r="K6" s="1007">
        <v>2025</v>
      </c>
      <c r="L6" s="1007">
        <v>2026</v>
      </c>
      <c r="M6" s="1007">
        <v>2027</v>
      </c>
      <c r="N6" s="1007">
        <v>2028</v>
      </c>
    </row>
    <row r="7" spans="2:14" ht="13.15">
      <c r="B7" s="1090" t="s">
        <v>267</v>
      </c>
      <c r="C7" s="1008">
        <f>+C68</f>
        <v>484010050000</v>
      </c>
      <c r="D7" s="1008">
        <f t="shared" ref="D7:N7" si="0">+D68</f>
        <v>481586454000</v>
      </c>
      <c r="E7" s="1008">
        <f t="shared" si="0"/>
        <v>533474103000</v>
      </c>
      <c r="F7" s="1008">
        <f t="shared" si="0"/>
        <v>797297716000</v>
      </c>
      <c r="G7" s="1008">
        <f t="shared" si="0"/>
        <v>990986123000</v>
      </c>
      <c r="H7" s="1008">
        <f t="shared" si="0"/>
        <v>1161729392000</v>
      </c>
      <c r="I7" s="1008">
        <f t="shared" si="0"/>
        <v>981771027000</v>
      </c>
      <c r="J7" s="1008">
        <f t="shared" si="0"/>
        <v>1013195740000</v>
      </c>
      <c r="K7" s="1008">
        <f t="shared" si="0"/>
        <v>1033052781000</v>
      </c>
      <c r="L7" s="1008">
        <f t="shared" si="0"/>
        <v>0</v>
      </c>
      <c r="M7" s="1008">
        <f t="shared" si="0"/>
        <v>0</v>
      </c>
      <c r="N7" s="1008">
        <f t="shared" si="0"/>
        <v>0</v>
      </c>
    </row>
    <row r="8" spans="2:14" ht="13.15">
      <c r="B8" s="1318" t="s">
        <v>377</v>
      </c>
      <c r="C8" s="1319">
        <f>+C72</f>
        <v>191284680000</v>
      </c>
      <c r="D8" s="1319">
        <f t="shared" ref="D8:N8" si="1">+D72</f>
        <v>174113323000</v>
      </c>
      <c r="E8" s="1319">
        <f t="shared" si="1"/>
        <v>191077588000</v>
      </c>
      <c r="F8" s="1319">
        <f t="shared" si="1"/>
        <v>194021253000</v>
      </c>
      <c r="G8" s="1319">
        <f t="shared" si="1"/>
        <v>265490626000</v>
      </c>
      <c r="H8" s="1319">
        <f t="shared" si="1"/>
        <v>279770286000</v>
      </c>
      <c r="I8" s="1319">
        <f t="shared" si="1"/>
        <v>298892164000</v>
      </c>
      <c r="J8" s="1319">
        <f t="shared" si="1"/>
        <v>332831088000</v>
      </c>
      <c r="K8" s="1319">
        <f t="shared" si="1"/>
        <v>339778498000</v>
      </c>
      <c r="L8" s="1319">
        <f t="shared" si="1"/>
        <v>0</v>
      </c>
      <c r="M8" s="1319">
        <f t="shared" si="1"/>
        <v>0</v>
      </c>
      <c r="N8" s="1319">
        <f t="shared" si="1"/>
        <v>0</v>
      </c>
    </row>
    <row r="9" spans="2:14" ht="13.15">
      <c r="B9" s="1318" t="s">
        <v>378</v>
      </c>
      <c r="C9" s="1319">
        <f>+C74</f>
        <v>131363000000</v>
      </c>
      <c r="D9" s="1319">
        <f t="shared" ref="D9:N9" si="2">+D74</f>
        <v>151319709000</v>
      </c>
      <c r="E9" s="1319">
        <f t="shared" si="2"/>
        <v>147641224000</v>
      </c>
      <c r="F9" s="1319">
        <f t="shared" si="2"/>
        <v>127972650000</v>
      </c>
      <c r="G9" s="1319">
        <f t="shared" si="2"/>
        <v>191350206000</v>
      </c>
      <c r="H9" s="1319">
        <f t="shared" si="2"/>
        <v>245886656000</v>
      </c>
      <c r="I9" s="1319">
        <f t="shared" si="2"/>
        <v>233053160000</v>
      </c>
      <c r="J9" s="1319">
        <f t="shared" si="2"/>
        <v>299970909000</v>
      </c>
      <c r="K9" s="1319">
        <f t="shared" si="2"/>
        <v>304550609000</v>
      </c>
      <c r="L9" s="1319">
        <f t="shared" si="2"/>
        <v>0</v>
      </c>
      <c r="M9" s="1319">
        <f t="shared" si="2"/>
        <v>0</v>
      </c>
      <c r="N9" s="1319">
        <f t="shared" si="2"/>
        <v>0</v>
      </c>
    </row>
    <row r="10" spans="2:14" ht="13.15">
      <c r="B10" s="1090" t="s">
        <v>379</v>
      </c>
      <c r="C10" s="1008">
        <f>+C77</f>
        <v>1630849417000</v>
      </c>
      <c r="D10" s="1008">
        <f t="shared" ref="D10:N10" si="3">+D77</f>
        <v>1732918235000</v>
      </c>
      <c r="E10" s="1008">
        <f t="shared" si="3"/>
        <v>1857474320000</v>
      </c>
      <c r="F10" s="1008">
        <f t="shared" si="3"/>
        <v>1650766684000</v>
      </c>
      <c r="G10" s="1008">
        <f t="shared" si="3"/>
        <v>1955120524000</v>
      </c>
      <c r="H10" s="1008">
        <f t="shared" si="3"/>
        <v>1848971215000</v>
      </c>
      <c r="I10" s="1008">
        <f t="shared" si="3"/>
        <v>1939749862000</v>
      </c>
      <c r="J10" s="1008">
        <f t="shared" si="3"/>
        <v>2277908533000</v>
      </c>
      <c r="K10" s="1008">
        <f t="shared" si="3"/>
        <v>2387352637000</v>
      </c>
      <c r="L10" s="1008">
        <f t="shared" si="3"/>
        <v>0</v>
      </c>
      <c r="M10" s="1008">
        <f t="shared" si="3"/>
        <v>0</v>
      </c>
      <c r="N10" s="1008">
        <f t="shared" si="3"/>
        <v>0</v>
      </c>
    </row>
    <row r="11" spans="2:14" ht="13.15">
      <c r="B11" s="1092" t="s">
        <v>272</v>
      </c>
      <c r="C11" s="1010">
        <f t="shared" ref="C11:N11" si="4">+C7+C10</f>
        <v>2114859467000</v>
      </c>
      <c r="D11" s="1010">
        <f t="shared" si="4"/>
        <v>2214504689000</v>
      </c>
      <c r="E11" s="1010">
        <f t="shared" si="4"/>
        <v>2390948423000</v>
      </c>
      <c r="F11" s="1010">
        <f t="shared" si="4"/>
        <v>2448064400000</v>
      </c>
      <c r="G11" s="1010">
        <f t="shared" si="4"/>
        <v>2946106647000</v>
      </c>
      <c r="H11" s="1010">
        <f t="shared" si="4"/>
        <v>3010700607000</v>
      </c>
      <c r="I11" s="1010">
        <f t="shared" si="4"/>
        <v>2921520889000</v>
      </c>
      <c r="J11" s="1010">
        <f t="shared" si="4"/>
        <v>3291104273000</v>
      </c>
      <c r="K11" s="1010">
        <f t="shared" si="4"/>
        <v>3420405418000</v>
      </c>
      <c r="L11" s="1010">
        <f t="shared" si="4"/>
        <v>0</v>
      </c>
      <c r="M11" s="1010">
        <f t="shared" si="4"/>
        <v>0</v>
      </c>
      <c r="N11" s="1010">
        <f t="shared" si="4"/>
        <v>0</v>
      </c>
    </row>
    <row r="12" spans="2:14" ht="13.15">
      <c r="B12" s="1093" t="s">
        <v>273</v>
      </c>
      <c r="C12" s="1011">
        <f>+C91</f>
        <v>428287322000</v>
      </c>
      <c r="D12" s="1011">
        <f t="shared" ref="D12:N12" si="5">+D91</f>
        <v>419862101000</v>
      </c>
      <c r="E12" s="1011">
        <f t="shared" si="5"/>
        <v>411658352000</v>
      </c>
      <c r="F12" s="1011">
        <f t="shared" si="5"/>
        <v>378056186000</v>
      </c>
      <c r="G12" s="1011">
        <f t="shared" si="5"/>
        <v>529567279000</v>
      </c>
      <c r="H12" s="1011">
        <f t="shared" si="5"/>
        <v>949245134000</v>
      </c>
      <c r="I12" s="1011">
        <f t="shared" si="5"/>
        <v>692871296000</v>
      </c>
      <c r="J12" s="1011">
        <f>+J91</f>
        <v>906143994000</v>
      </c>
      <c r="K12" s="1011">
        <f t="shared" si="5"/>
        <v>730412517000</v>
      </c>
      <c r="L12" s="1011">
        <f t="shared" si="5"/>
        <v>0</v>
      </c>
      <c r="M12" s="1011">
        <f t="shared" si="5"/>
        <v>0</v>
      </c>
      <c r="N12" s="1011">
        <f t="shared" si="5"/>
        <v>0</v>
      </c>
    </row>
    <row r="13" spans="2:14" ht="13.15">
      <c r="B13" s="1093" t="s">
        <v>274</v>
      </c>
      <c r="C13" s="1011">
        <f>+C101</f>
        <v>873338796000</v>
      </c>
      <c r="D13" s="1011">
        <f t="shared" ref="D13:N13" si="6">+D101</f>
        <v>930927845000</v>
      </c>
      <c r="E13" s="1011">
        <f t="shared" si="6"/>
        <v>1010386123000</v>
      </c>
      <c r="F13" s="1011">
        <f t="shared" si="6"/>
        <v>1238447623000</v>
      </c>
      <c r="G13" s="1011">
        <f t="shared" si="6"/>
        <v>1315125809000</v>
      </c>
      <c r="H13" s="1011">
        <f t="shared" si="6"/>
        <v>1178052821000</v>
      </c>
      <c r="I13" s="1011">
        <f t="shared" si="6"/>
        <v>1307664179000</v>
      </c>
      <c r="J13" s="1011">
        <f t="shared" si="6"/>
        <v>1370563259000</v>
      </c>
      <c r="K13" s="1011">
        <f t="shared" si="6"/>
        <v>1493439053000</v>
      </c>
      <c r="L13" s="1011">
        <f t="shared" si="6"/>
        <v>0</v>
      </c>
      <c r="M13" s="1011">
        <f t="shared" si="6"/>
        <v>0</v>
      </c>
      <c r="N13" s="1011">
        <f t="shared" si="6"/>
        <v>0</v>
      </c>
    </row>
    <row r="14" spans="2:14" ht="13.15">
      <c r="B14" s="1094" t="s">
        <v>275</v>
      </c>
      <c r="C14" s="1012">
        <f t="shared" ref="C14:N14" si="7">SUM(C12:C13)</f>
        <v>1301626118000</v>
      </c>
      <c r="D14" s="1012">
        <f t="shared" si="7"/>
        <v>1350789946000</v>
      </c>
      <c r="E14" s="1012">
        <f t="shared" si="7"/>
        <v>1422044475000</v>
      </c>
      <c r="F14" s="1012">
        <f t="shared" si="7"/>
        <v>1616503809000</v>
      </c>
      <c r="G14" s="1012">
        <f t="shared" si="7"/>
        <v>1844693088000</v>
      </c>
      <c r="H14" s="1012">
        <f t="shared" si="7"/>
        <v>2127297955000</v>
      </c>
      <c r="I14" s="1012">
        <f t="shared" si="7"/>
        <v>2000535475000</v>
      </c>
      <c r="J14" s="1012">
        <f t="shared" si="7"/>
        <v>2276707253000</v>
      </c>
      <c r="K14" s="1012">
        <f t="shared" si="7"/>
        <v>2223851570000</v>
      </c>
      <c r="L14" s="1012">
        <f t="shared" si="7"/>
        <v>0</v>
      </c>
      <c r="M14" s="1012">
        <f t="shared" si="7"/>
        <v>0</v>
      </c>
      <c r="N14" s="1012">
        <f t="shared" si="7"/>
        <v>0</v>
      </c>
    </row>
    <row r="15" spans="2:14" ht="13.15">
      <c r="B15" s="1014" t="s">
        <v>276</v>
      </c>
      <c r="C15" s="1013">
        <f>+C117</f>
        <v>791310056000</v>
      </c>
      <c r="D15" s="1013">
        <f t="shared" ref="D15:N15" si="8">+D117</f>
        <v>843813126000</v>
      </c>
      <c r="E15" s="1013">
        <f t="shared" si="8"/>
        <v>948649690000</v>
      </c>
      <c r="F15" s="1013">
        <f t="shared" si="8"/>
        <v>811181114000</v>
      </c>
      <c r="G15" s="1013">
        <f t="shared" si="8"/>
        <v>1076143804000</v>
      </c>
      <c r="H15" s="1013">
        <f t="shared" si="8"/>
        <v>855260144000</v>
      </c>
      <c r="I15" s="1013">
        <f t="shared" si="8"/>
        <v>886290527000</v>
      </c>
      <c r="J15" s="1013">
        <f t="shared" si="8"/>
        <v>976409192000</v>
      </c>
      <c r="K15" s="1013">
        <f t="shared" si="8"/>
        <v>1157398797000</v>
      </c>
      <c r="L15" s="1013">
        <f t="shared" si="8"/>
        <v>0</v>
      </c>
      <c r="M15" s="1013">
        <f t="shared" si="8"/>
        <v>0</v>
      </c>
      <c r="N15" s="1013">
        <f t="shared" si="8"/>
        <v>0</v>
      </c>
    </row>
    <row r="16" spans="2:14" ht="13.15">
      <c r="B16" s="1015" t="s">
        <v>278</v>
      </c>
      <c r="C16" s="1320">
        <v>946570604</v>
      </c>
      <c r="D16" s="1320">
        <v>946570604</v>
      </c>
      <c r="E16" s="1320">
        <v>946570604</v>
      </c>
      <c r="F16" s="1320">
        <v>946570604</v>
      </c>
      <c r="G16" s="1320">
        <v>946570604</v>
      </c>
      <c r="H16" s="1320">
        <v>946570604</v>
      </c>
      <c r="I16" s="1320">
        <v>946570604</v>
      </c>
      <c r="J16" s="1320">
        <v>946570604</v>
      </c>
      <c r="K16" s="1320">
        <v>946570604</v>
      </c>
      <c r="L16" s="1320"/>
      <c r="M16" s="1320"/>
      <c r="N16" s="1320"/>
    </row>
    <row r="18" spans="2:14" ht="13.15">
      <c r="B18" s="996" t="s">
        <v>279</v>
      </c>
      <c r="C18" s="1017">
        <f t="shared" ref="C18:N18" si="9">(C15/C16)</f>
        <v>835.97573456865985</v>
      </c>
      <c r="D18" s="1017">
        <f t="shared" si="9"/>
        <v>891.44235246079961</v>
      </c>
      <c r="E18" s="1017">
        <f t="shared" si="9"/>
        <v>1002.1964404886591</v>
      </c>
      <c r="F18" s="1017">
        <f t="shared" si="9"/>
        <v>856.96841901927473</v>
      </c>
      <c r="G18" s="1017">
        <f t="shared" si="9"/>
        <v>1136.8869891505738</v>
      </c>
      <c r="H18" s="1017">
        <f t="shared" si="9"/>
        <v>903.53550003122643</v>
      </c>
      <c r="I18" s="1017">
        <f t="shared" si="9"/>
        <v>936.31740015454784</v>
      </c>
      <c r="J18" s="1017">
        <f t="shared" si="9"/>
        <v>1031.5228339797461</v>
      </c>
      <c r="K18" s="1017">
        <f t="shared" si="9"/>
        <v>1222.7284389659749</v>
      </c>
      <c r="L18" s="1017" t="e">
        <f t="shared" si="9"/>
        <v>#DIV/0!</v>
      </c>
      <c r="M18" s="1017" t="e">
        <f t="shared" si="9"/>
        <v>#DIV/0!</v>
      </c>
      <c r="N18" s="1017" t="e">
        <f t="shared" si="9"/>
        <v>#DIV/0!</v>
      </c>
    </row>
    <row r="19" spans="2:14" ht="13.15">
      <c r="B19" s="1018" t="s">
        <v>282</v>
      </c>
      <c r="C19" s="1019">
        <v>3074</v>
      </c>
      <c r="D19" s="1019">
        <v>2598</v>
      </c>
      <c r="E19" s="1019">
        <v>2179</v>
      </c>
      <c r="F19" s="1019">
        <v>1832</v>
      </c>
      <c r="G19" s="1019">
        <v>1850</v>
      </c>
      <c r="H19" s="1095">
        <v>2083</v>
      </c>
      <c r="I19" s="1095">
        <v>2200</v>
      </c>
      <c r="J19" s="1095">
        <v>3025</v>
      </c>
      <c r="K19" s="1095">
        <v>4220</v>
      </c>
      <c r="L19" s="1095"/>
      <c r="M19" s="1095"/>
      <c r="N19" s="1095"/>
    </row>
    <row r="20" spans="2:14" ht="13.15">
      <c r="B20" s="996" t="s">
        <v>283</v>
      </c>
      <c r="C20" s="1020">
        <f>+C19/C40</f>
        <v>23.570004600521393</v>
      </c>
      <c r="D20" s="1020">
        <f t="shared" ref="D20:N20" si="10">+D19/D40</f>
        <v>24.298540965207632</v>
      </c>
      <c r="E20" s="1020">
        <f t="shared" si="10"/>
        <v>11.333021272169345</v>
      </c>
      <c r="F20" s="1020">
        <f t="shared" si="10"/>
        <v>13.568360242926973</v>
      </c>
      <c r="G20" s="1020">
        <f t="shared" si="10"/>
        <v>10.80544360726593</v>
      </c>
      <c r="H20" s="1020">
        <f t="shared" si="10"/>
        <v>14.997480020159839</v>
      </c>
      <c r="I20" s="1020">
        <f t="shared" si="10"/>
        <v>11.594813955939706</v>
      </c>
      <c r="J20" s="1020">
        <f t="shared" si="10"/>
        <v>11.74757281553398</v>
      </c>
      <c r="K20" s="1020">
        <f t="shared" si="10"/>
        <v>14.190597888223822</v>
      </c>
      <c r="L20" s="1020" t="e">
        <f t="shared" si="10"/>
        <v>#DIV/0!</v>
      </c>
      <c r="M20" s="1020" t="e">
        <f t="shared" si="10"/>
        <v>#DIV/0!</v>
      </c>
      <c r="N20" s="1020" t="e">
        <f t="shared" si="10"/>
        <v>#DIV/0!</v>
      </c>
    </row>
    <row r="21" spans="2:14" ht="13.15">
      <c r="B21" s="996" t="s">
        <v>540</v>
      </c>
      <c r="C21" s="1020">
        <f t="shared" ref="C21:N21" si="11">+C19/C18</f>
        <v>3.6771402241550688</v>
      </c>
      <c r="D21" s="1020">
        <f t="shared" si="11"/>
        <v>2.9143780221214528</v>
      </c>
      <c r="E21" s="1020">
        <f t="shared" si="11"/>
        <v>2.1742244453966983</v>
      </c>
      <c r="F21" s="1020">
        <f t="shared" si="11"/>
        <v>2.1377683930249884</v>
      </c>
      <c r="G21" s="1020">
        <f t="shared" si="11"/>
        <v>1.6272505690141017</v>
      </c>
      <c r="H21" s="1020">
        <f t="shared" si="11"/>
        <v>2.3053881114001729</v>
      </c>
      <c r="I21" s="1020">
        <f t="shared" si="11"/>
        <v>2.3496305842835663</v>
      </c>
      <c r="J21" s="1020">
        <f t="shared" si="11"/>
        <v>2.9325574775006831</v>
      </c>
      <c r="K21" s="1020">
        <f t="shared" si="11"/>
        <v>3.4512978233897371</v>
      </c>
      <c r="L21" s="1020" t="e">
        <f t="shared" si="11"/>
        <v>#DIV/0!</v>
      </c>
      <c r="M21" s="1020" t="e">
        <f t="shared" si="11"/>
        <v>#DIV/0!</v>
      </c>
      <c r="N21" s="1020" t="e">
        <f t="shared" si="11"/>
        <v>#DIV/0!</v>
      </c>
    </row>
    <row r="22" spans="2:14" ht="13.15">
      <c r="B22" s="996" t="s">
        <v>541</v>
      </c>
      <c r="C22" s="1020">
        <f>+C20*C21</f>
        <v>86.670212000097237</v>
      </c>
      <c r="D22" s="1020">
        <f t="shared" ref="D22:N22" si="12">+D20*D21</f>
        <v>70.815133758618913</v>
      </c>
      <c r="E22" s="1020">
        <f t="shared" si="12"/>
        <v>24.640531890151379</v>
      </c>
      <c r="F22" s="1020">
        <f t="shared" si="12"/>
        <v>29.006011672506137</v>
      </c>
      <c r="G22" s="1020">
        <f t="shared" si="12"/>
        <v>17.583164258373273</v>
      </c>
      <c r="H22" s="1020">
        <f t="shared" si="12"/>
        <v>34.575012139438115</v>
      </c>
      <c r="I22" s="1020">
        <f t="shared" si="12"/>
        <v>27.243529489953861</v>
      </c>
      <c r="J22" s="1020">
        <f t="shared" si="12"/>
        <v>34.450432502677927</v>
      </c>
      <c r="K22" s="1020">
        <f t="shared" si="12"/>
        <v>48.975979604225877</v>
      </c>
      <c r="L22" s="1020" t="e">
        <f t="shared" si="12"/>
        <v>#DIV/0!</v>
      </c>
      <c r="M22" s="1020" t="e">
        <f t="shared" si="12"/>
        <v>#DIV/0!</v>
      </c>
      <c r="N22" s="1020" t="e">
        <f t="shared" si="12"/>
        <v>#DIV/0!</v>
      </c>
    </row>
    <row r="23" spans="2:14" ht="13.15">
      <c r="B23" s="1021" t="s">
        <v>286</v>
      </c>
      <c r="C23" s="1022">
        <f>IF(C41&lt;10%,0,IF(15%&lt;C41,2,1))</f>
        <v>2</v>
      </c>
      <c r="D23" s="1022">
        <f>IF(D41&lt;10%,0,IF(15%&lt;D41,2,1))</f>
        <v>1</v>
      </c>
      <c r="E23" s="1022">
        <f t="shared" ref="E23:F23" si="13">IF(E41&lt;10%,0,IF(15%&lt;E41,2,1))</f>
        <v>2</v>
      </c>
      <c r="F23" s="1022">
        <f t="shared" si="13"/>
        <v>2</v>
      </c>
      <c r="G23" s="1022">
        <v>2</v>
      </c>
      <c r="H23" s="1022">
        <v>2</v>
      </c>
      <c r="I23" s="1022">
        <v>2</v>
      </c>
      <c r="J23" s="1022">
        <v>2</v>
      </c>
      <c r="K23" s="1022">
        <v>2</v>
      </c>
      <c r="L23" s="1022">
        <v>2</v>
      </c>
      <c r="M23" s="1022">
        <v>2</v>
      </c>
      <c r="N23" s="1022">
        <v>2</v>
      </c>
    </row>
    <row r="24" spans="2:14" ht="13.15">
      <c r="B24" s="1021" t="s">
        <v>287</v>
      </c>
      <c r="C24" s="1022">
        <f>IF(C41&lt;10%,1,IF(15%&lt;C41,2.5,2))</f>
        <v>2.5</v>
      </c>
      <c r="D24" s="1022">
        <f t="shared" ref="D24:F24" si="14">IF(D41&lt;10%,1,IF(15%&lt;D41,2.5,2))</f>
        <v>2</v>
      </c>
      <c r="E24" s="1022">
        <f t="shared" si="14"/>
        <v>2.5</v>
      </c>
      <c r="F24" s="1022">
        <f t="shared" si="14"/>
        <v>2.5</v>
      </c>
      <c r="G24" s="1022">
        <v>2.5</v>
      </c>
      <c r="H24" s="1022">
        <v>2.5</v>
      </c>
      <c r="I24" s="1022">
        <v>2.5</v>
      </c>
      <c r="J24" s="1022">
        <v>2.5</v>
      </c>
      <c r="K24" s="1022">
        <v>2.5</v>
      </c>
      <c r="L24" s="1022">
        <v>2.5</v>
      </c>
      <c r="M24" s="1022">
        <v>2.5</v>
      </c>
      <c r="N24" s="1022">
        <v>2.5</v>
      </c>
    </row>
    <row r="25" spans="2:14" ht="13.15">
      <c r="B25" s="1023" t="s">
        <v>288</v>
      </c>
      <c r="C25" s="1024">
        <f t="shared" ref="C25:N25" si="15">+C23*C18</f>
        <v>1671.9514691373197</v>
      </c>
      <c r="D25" s="1024">
        <f t="shared" si="15"/>
        <v>891.44235246079961</v>
      </c>
      <c r="E25" s="1024">
        <f t="shared" si="15"/>
        <v>2004.3928809773181</v>
      </c>
      <c r="F25" s="1024">
        <f t="shared" si="15"/>
        <v>1713.9368380385495</v>
      </c>
      <c r="G25" s="1024">
        <f t="shared" si="15"/>
        <v>2273.7739783011475</v>
      </c>
      <c r="H25" s="1024">
        <f t="shared" si="15"/>
        <v>1807.0710000624529</v>
      </c>
      <c r="I25" s="1024">
        <f t="shared" si="15"/>
        <v>1872.6348003090957</v>
      </c>
      <c r="J25" s="1024">
        <f t="shared" si="15"/>
        <v>2063.0456679594922</v>
      </c>
      <c r="K25" s="1024">
        <f t="shared" si="15"/>
        <v>2445.4568779319497</v>
      </c>
      <c r="L25" s="1024" t="e">
        <f t="shared" si="15"/>
        <v>#DIV/0!</v>
      </c>
      <c r="M25" s="1024" t="e">
        <f t="shared" si="15"/>
        <v>#DIV/0!</v>
      </c>
      <c r="N25" s="1024" t="e">
        <f t="shared" si="15"/>
        <v>#DIV/0!</v>
      </c>
    </row>
    <row r="26" spans="2:14" ht="13.15">
      <c r="B26" s="1023" t="s">
        <v>289</v>
      </c>
      <c r="C26" s="1024">
        <f>AVERAGE(C25,C27)</f>
        <v>1880.9454027794845</v>
      </c>
      <c r="D26" s="1024">
        <f t="shared" ref="D26:N26" si="16">AVERAGE(D25,D27)</f>
        <v>1337.1635286911994</v>
      </c>
      <c r="E26" s="1024">
        <f t="shared" si="16"/>
        <v>2254.9419910994829</v>
      </c>
      <c r="F26" s="1024">
        <f t="shared" si="16"/>
        <v>1928.1789427933682</v>
      </c>
      <c r="G26" s="1024">
        <f t="shared" si="16"/>
        <v>2557.9957255887912</v>
      </c>
      <c r="H26" s="1024">
        <f t="shared" si="16"/>
        <v>2032.9548750702593</v>
      </c>
      <c r="I26" s="1024">
        <f t="shared" si="16"/>
        <v>2106.7141503477324</v>
      </c>
      <c r="J26" s="1024">
        <f t="shared" si="16"/>
        <v>2320.9263764544285</v>
      </c>
      <c r="K26" s="1024">
        <f t="shared" si="16"/>
        <v>2751.1389876734434</v>
      </c>
      <c r="L26" s="1024" t="e">
        <f t="shared" si="16"/>
        <v>#DIV/0!</v>
      </c>
      <c r="M26" s="1024" t="e">
        <f t="shared" si="16"/>
        <v>#DIV/0!</v>
      </c>
      <c r="N26" s="1024" t="e">
        <f t="shared" si="16"/>
        <v>#DIV/0!</v>
      </c>
    </row>
    <row r="27" spans="2:14" ht="13.15">
      <c r="B27" s="1023" t="s">
        <v>290</v>
      </c>
      <c r="C27" s="1024">
        <f t="shared" ref="C27:N27" si="17">+C18*C24</f>
        <v>2089.9393364216494</v>
      </c>
      <c r="D27" s="1024">
        <f t="shared" si="17"/>
        <v>1782.8847049215992</v>
      </c>
      <c r="E27" s="1024">
        <f t="shared" si="17"/>
        <v>2505.4911012216476</v>
      </c>
      <c r="F27" s="1024">
        <f t="shared" si="17"/>
        <v>2142.4210475481868</v>
      </c>
      <c r="G27" s="1024">
        <f t="shared" si="17"/>
        <v>2842.2174728764344</v>
      </c>
      <c r="H27" s="1024">
        <f t="shared" si="17"/>
        <v>2258.8387500780659</v>
      </c>
      <c r="I27" s="1024">
        <f t="shared" si="17"/>
        <v>2340.7935003863695</v>
      </c>
      <c r="J27" s="1024">
        <f t="shared" si="17"/>
        <v>2578.8070849493652</v>
      </c>
      <c r="K27" s="1024">
        <f t="shared" si="17"/>
        <v>3056.821097414937</v>
      </c>
      <c r="L27" s="1024" t="e">
        <f t="shared" si="17"/>
        <v>#DIV/0!</v>
      </c>
      <c r="M27" s="1024" t="e">
        <f t="shared" si="17"/>
        <v>#DIV/0!</v>
      </c>
      <c r="N27" s="1024" t="e">
        <f t="shared" si="17"/>
        <v>#DIV/0!</v>
      </c>
    </row>
    <row r="29" spans="2:14" ht="13.15">
      <c r="B29" s="1025" t="s">
        <v>291</v>
      </c>
      <c r="C29" s="1026">
        <f t="shared" ref="C29:N29" si="18">C7-C12</f>
        <v>55722728000</v>
      </c>
      <c r="D29" s="1026">
        <f t="shared" si="18"/>
        <v>61724353000</v>
      </c>
      <c r="E29" s="1026">
        <f t="shared" si="18"/>
        <v>121815751000</v>
      </c>
      <c r="F29" s="1026">
        <f t="shared" si="18"/>
        <v>419241530000</v>
      </c>
      <c r="G29" s="1026">
        <f t="shared" si="18"/>
        <v>461418844000</v>
      </c>
      <c r="H29" s="1026">
        <f t="shared" si="18"/>
        <v>212484258000</v>
      </c>
      <c r="I29" s="1026">
        <f t="shared" si="18"/>
        <v>288899731000</v>
      </c>
      <c r="J29" s="1026">
        <f>J7-J12</f>
        <v>107051746000</v>
      </c>
      <c r="K29" s="1026">
        <f t="shared" si="18"/>
        <v>302640264000</v>
      </c>
      <c r="L29" s="1026">
        <f t="shared" si="18"/>
        <v>0</v>
      </c>
      <c r="M29" s="1026">
        <f t="shared" si="18"/>
        <v>0</v>
      </c>
      <c r="N29" s="1026">
        <f t="shared" si="18"/>
        <v>0</v>
      </c>
    </row>
    <row r="30" spans="2:14" ht="13.15">
      <c r="B30" s="1027" t="s">
        <v>149</v>
      </c>
      <c r="C30" s="1028">
        <f t="shared" ref="C30:N30" si="19">C7/C12</f>
        <v>1.1301059478944837</v>
      </c>
      <c r="D30" s="1028">
        <f t="shared" si="19"/>
        <v>1.1470110135041696</v>
      </c>
      <c r="E30" s="1028">
        <f t="shared" si="19"/>
        <v>1.2959146836403794</v>
      </c>
      <c r="F30" s="1028">
        <f t="shared" si="19"/>
        <v>2.1089397436813795</v>
      </c>
      <c r="G30" s="1028">
        <f t="shared" si="19"/>
        <v>1.8713129800453552</v>
      </c>
      <c r="H30" s="1321">
        <f t="shared" si="19"/>
        <v>1.2238455066971141</v>
      </c>
      <c r="I30" s="1321">
        <f t="shared" si="19"/>
        <v>1.4169601665819334</v>
      </c>
      <c r="J30" s="1321">
        <f t="shared" si="19"/>
        <v>1.1181398836264869</v>
      </c>
      <c r="K30" s="1321">
        <f t="shared" si="19"/>
        <v>1.4143415630978295</v>
      </c>
      <c r="L30" s="1321" t="e">
        <f t="shared" si="19"/>
        <v>#DIV/0!</v>
      </c>
      <c r="M30" s="1321" t="e">
        <f t="shared" si="19"/>
        <v>#DIV/0!</v>
      </c>
      <c r="N30" s="1321" t="e">
        <f t="shared" si="19"/>
        <v>#DIV/0!</v>
      </c>
    </row>
    <row r="31" spans="2:14" ht="13.15">
      <c r="B31" s="1027" t="s">
        <v>292</v>
      </c>
      <c r="C31" s="1028">
        <f t="shared" ref="C31:N31" si="20">+(C7-C9)/C12</f>
        <v>0.82338895382945754</v>
      </c>
      <c r="D31" s="1028">
        <f t="shared" si="20"/>
        <v>0.78660766049946484</v>
      </c>
      <c r="E31" s="1028">
        <f t="shared" si="20"/>
        <v>0.93726479039103772</v>
      </c>
      <c r="F31" s="1028">
        <f t="shared" si="20"/>
        <v>1.770438074514141</v>
      </c>
      <c r="G31" s="1028">
        <f t="shared" si="20"/>
        <v>1.5099798433732157</v>
      </c>
      <c r="H31" s="1028">
        <f t="shared" si="20"/>
        <v>0.96481162051445402</v>
      </c>
      <c r="I31" s="1028">
        <f t="shared" si="20"/>
        <v>1.0806016518831225</v>
      </c>
      <c r="J31" s="1028">
        <f t="shared" si="20"/>
        <v>0.78709877869587253</v>
      </c>
      <c r="K31" s="1028">
        <f t="shared" si="20"/>
        <v>0.99738456700078704</v>
      </c>
      <c r="L31" s="1028" t="e">
        <f t="shared" si="20"/>
        <v>#DIV/0!</v>
      </c>
      <c r="M31" s="1028" t="e">
        <f t="shared" si="20"/>
        <v>#DIV/0!</v>
      </c>
      <c r="N31" s="1028" t="e">
        <f t="shared" si="20"/>
        <v>#DIV/0!</v>
      </c>
    </row>
    <row r="32" spans="2:14" ht="13.15">
      <c r="B32" s="1029" t="s">
        <v>153</v>
      </c>
      <c r="C32" s="1030">
        <f t="shared" ref="C32:N32" si="21">C14/C11</f>
        <v>0.61546695575304622</v>
      </c>
      <c r="D32" s="1030">
        <f t="shared" si="21"/>
        <v>0.60997384774559849</v>
      </c>
      <c r="E32" s="1030">
        <f t="shared" si="21"/>
        <v>0.59476166918553386</v>
      </c>
      <c r="F32" s="1030">
        <f t="shared" si="21"/>
        <v>0.66031915214321979</v>
      </c>
      <c r="G32" s="1030">
        <f t="shared" si="21"/>
        <v>0.62614606632738101</v>
      </c>
      <c r="H32" s="1030">
        <f t="shared" si="21"/>
        <v>0.70657904344721179</v>
      </c>
      <c r="I32" s="1030">
        <f t="shared" si="21"/>
        <v>0.68475823073260933</v>
      </c>
      <c r="J32" s="1030">
        <f t="shared" si="21"/>
        <v>0.69177609220040659</v>
      </c>
      <c r="K32" s="1030">
        <f t="shared" si="21"/>
        <v>0.65017192356698572</v>
      </c>
      <c r="L32" s="1030" t="e">
        <f t="shared" si="21"/>
        <v>#DIV/0!</v>
      </c>
      <c r="M32" s="1030" t="e">
        <f t="shared" si="21"/>
        <v>#DIV/0!</v>
      </c>
      <c r="N32" s="1030" t="e">
        <f t="shared" si="21"/>
        <v>#DIV/0!</v>
      </c>
    </row>
    <row r="35" spans="2:14" ht="13.15">
      <c r="B35" s="1031" t="s">
        <v>293</v>
      </c>
      <c r="C35" s="1032">
        <f>+C121</f>
        <v>1848878619000</v>
      </c>
      <c r="D35" s="1032">
        <f t="shared" ref="D35:N35" si="22">+D121</f>
        <v>1672915799000</v>
      </c>
      <c r="E35" s="1032">
        <f t="shared" si="22"/>
        <v>1779025115000</v>
      </c>
      <c r="F35" s="1032">
        <f t="shared" si="22"/>
        <v>1698281237000</v>
      </c>
      <c r="G35" s="1032">
        <f t="shared" si="22"/>
        <v>2216732593000</v>
      </c>
      <c r="H35" s="1032">
        <f t="shared" si="22"/>
        <v>2656878395000</v>
      </c>
      <c r="I35" s="1032">
        <f t="shared" si="22"/>
        <v>2618437052000</v>
      </c>
      <c r="J35" s="1032">
        <f t="shared" si="22"/>
        <v>3224233005000</v>
      </c>
      <c r="K35" s="1032">
        <f t="shared" si="22"/>
        <v>3344835851000</v>
      </c>
      <c r="L35" s="1032">
        <f t="shared" si="22"/>
        <v>0</v>
      </c>
      <c r="M35" s="1032">
        <f t="shared" si="22"/>
        <v>0</v>
      </c>
      <c r="N35" s="1032">
        <f t="shared" si="22"/>
        <v>0</v>
      </c>
    </row>
    <row r="36" spans="2:14" ht="13.15">
      <c r="B36" s="1033" t="s">
        <v>156</v>
      </c>
      <c r="C36" s="1034">
        <f>+C129</f>
        <v>220038553000</v>
      </c>
      <c r="D36" s="1034">
        <f t="shared" ref="D36:N36" si="23">+D129</f>
        <v>209213234000</v>
      </c>
      <c r="E36" s="1034">
        <f t="shared" si="23"/>
        <v>252548437000</v>
      </c>
      <c r="F36" s="1034">
        <f t="shared" si="23"/>
        <v>230537954000</v>
      </c>
      <c r="G36" s="1034">
        <f t="shared" si="23"/>
        <v>278553672000</v>
      </c>
      <c r="H36" s="1034">
        <f t="shared" si="23"/>
        <v>321771470000</v>
      </c>
      <c r="I36" s="1034">
        <f t="shared" si="23"/>
        <v>316296892000</v>
      </c>
      <c r="J36" s="1034">
        <f>+J129</f>
        <v>411911208000</v>
      </c>
      <c r="K36" s="1034">
        <f t="shared" si="23"/>
        <v>436817504000</v>
      </c>
      <c r="L36" s="1034">
        <f t="shared" si="23"/>
        <v>0</v>
      </c>
      <c r="M36" s="1034">
        <f t="shared" si="23"/>
        <v>0</v>
      </c>
      <c r="N36" s="1034">
        <f t="shared" si="23"/>
        <v>0</v>
      </c>
    </row>
    <row r="37" spans="2:14" ht="13.15">
      <c r="B37" s="1031" t="s">
        <v>381</v>
      </c>
      <c r="C37" s="1035">
        <f>C36/C35</f>
        <v>0.11901189766530584</v>
      </c>
      <c r="D37" s="1035">
        <f t="shared" ref="D37:N37" si="24">D36/D35</f>
        <v>0.1250590341277541</v>
      </c>
      <c r="E37" s="1035">
        <f t="shared" si="24"/>
        <v>0.14195889359324756</v>
      </c>
      <c r="F37" s="1035">
        <f t="shared" si="24"/>
        <v>0.13574780724024452</v>
      </c>
      <c r="G37" s="1035">
        <f t="shared" si="24"/>
        <v>0.1256595734098091</v>
      </c>
      <c r="H37" s="1035">
        <f t="shared" si="24"/>
        <v>0.12110884359839133</v>
      </c>
      <c r="I37" s="1035">
        <f t="shared" si="24"/>
        <v>0.12079606487328304</v>
      </c>
      <c r="J37" s="1035">
        <f t="shared" si="24"/>
        <v>0.1277547892355255</v>
      </c>
      <c r="K37" s="1035">
        <f t="shared" si="24"/>
        <v>0.13059460118779981</v>
      </c>
      <c r="L37" s="1035" t="e">
        <f t="shared" si="24"/>
        <v>#DIV/0!</v>
      </c>
      <c r="M37" s="1035" t="e">
        <f t="shared" si="24"/>
        <v>#DIV/0!</v>
      </c>
      <c r="N37" s="1035" t="e">
        <f t="shared" si="24"/>
        <v>#DIV/0!</v>
      </c>
    </row>
    <row r="38" spans="2:14" ht="13.15">
      <c r="B38" s="1036" t="s">
        <v>295</v>
      </c>
      <c r="C38" s="1037">
        <f>+C137</f>
        <v>119000725000</v>
      </c>
      <c r="D38" s="1037">
        <f t="shared" ref="D38:N38" si="25">+D137</f>
        <v>97450746000</v>
      </c>
      <c r="E38" s="1037">
        <f t="shared" si="25"/>
        <v>175246225000</v>
      </c>
      <c r="F38" s="1037">
        <f t="shared" si="25"/>
        <v>123117320000</v>
      </c>
      <c r="G38" s="1037">
        <f t="shared" si="25"/>
        <v>157021668000</v>
      </c>
      <c r="H38" s="1037">
        <f t="shared" si="25"/>
        <v>128458987000</v>
      </c>
      <c r="I38" s="1037">
        <f t="shared" si="25"/>
        <v>174511487000</v>
      </c>
      <c r="J38" s="1037">
        <f t="shared" si="25"/>
        <v>234644125000</v>
      </c>
      <c r="K38" s="1037">
        <f t="shared" si="25"/>
        <v>270477415000</v>
      </c>
      <c r="L38" s="1037">
        <f t="shared" si="25"/>
        <v>0</v>
      </c>
      <c r="M38" s="1037">
        <f t="shared" si="25"/>
        <v>0</v>
      </c>
      <c r="N38" s="1037">
        <f t="shared" si="25"/>
        <v>0</v>
      </c>
    </row>
    <row r="39" spans="2:14" ht="13.15">
      <c r="B39" s="1027" t="s">
        <v>296</v>
      </c>
      <c r="C39" s="1038">
        <f>C38/C35</f>
        <v>6.4363730413175377E-2</v>
      </c>
      <c r="D39" s="1038">
        <f t="shared" ref="D39:N39" si="26">D38/D35</f>
        <v>5.8252032802997039E-2</v>
      </c>
      <c r="E39" s="1038">
        <f t="shared" si="26"/>
        <v>9.8506886452808737E-2</v>
      </c>
      <c r="F39" s="1038">
        <f t="shared" si="26"/>
        <v>7.2495248323820469E-2</v>
      </c>
      <c r="G39" s="1038">
        <f t="shared" si="26"/>
        <v>7.0834735996503667E-2</v>
      </c>
      <c r="H39" s="1038">
        <f t="shared" si="26"/>
        <v>4.8349592228890854E-2</v>
      </c>
      <c r="I39" s="1038">
        <f t="shared" si="26"/>
        <v>6.6647195840245851E-2</v>
      </c>
      <c r="J39" s="1038">
        <f t="shared" si="26"/>
        <v>7.2775176184886173E-2</v>
      </c>
      <c r="K39" s="1038">
        <f t="shared" si="26"/>
        <v>8.0864181995399215E-2</v>
      </c>
      <c r="L39" s="1038" t="e">
        <f t="shared" si="26"/>
        <v>#DIV/0!</v>
      </c>
      <c r="M39" s="1038" t="e">
        <f t="shared" si="26"/>
        <v>#DIV/0!</v>
      </c>
      <c r="N39" s="1038" t="e">
        <f t="shared" si="26"/>
        <v>#DIV/0!</v>
      </c>
    </row>
    <row r="40" spans="2:14" ht="13.15">
      <c r="B40" s="1039" t="s">
        <v>159</v>
      </c>
      <c r="C40" s="1322">
        <f>+C139</f>
        <v>130.41999999999999</v>
      </c>
      <c r="D40" s="1322">
        <f t="shared" ref="D40:N40" si="27">+D139</f>
        <v>106.92</v>
      </c>
      <c r="E40" s="1322">
        <f t="shared" si="27"/>
        <v>192.27</v>
      </c>
      <c r="F40" s="1322">
        <f t="shared" si="27"/>
        <v>135.02000000000001</v>
      </c>
      <c r="G40" s="1322">
        <f t="shared" si="27"/>
        <v>171.21</v>
      </c>
      <c r="H40" s="1322">
        <f t="shared" si="27"/>
        <v>138.88999999999999</v>
      </c>
      <c r="I40" s="1322">
        <f t="shared" si="27"/>
        <v>189.74</v>
      </c>
      <c r="J40" s="1322">
        <f t="shared" si="27"/>
        <v>257.5</v>
      </c>
      <c r="K40" s="1322">
        <f t="shared" si="27"/>
        <v>297.38</v>
      </c>
      <c r="L40" s="1322">
        <f t="shared" si="27"/>
        <v>0</v>
      </c>
      <c r="M40" s="1322">
        <f t="shared" si="27"/>
        <v>0</v>
      </c>
      <c r="N40" s="1322">
        <f t="shared" si="27"/>
        <v>0</v>
      </c>
    </row>
    <row r="41" spans="2:14" ht="13.15">
      <c r="B41" s="1041" t="s">
        <v>160</v>
      </c>
      <c r="C41" s="1042">
        <f t="shared" ref="C41:N41" si="28">C38/C15</f>
        <v>0.15038444677619514</v>
      </c>
      <c r="D41" s="1042">
        <f t="shared" si="28"/>
        <v>0.11548854005383177</v>
      </c>
      <c r="E41" s="1042">
        <f t="shared" si="28"/>
        <v>0.18473228510726653</v>
      </c>
      <c r="F41" s="1042">
        <f t="shared" si="28"/>
        <v>0.15177537774874775</v>
      </c>
      <c r="G41" s="1042">
        <f t="shared" si="28"/>
        <v>0.14591141761570742</v>
      </c>
      <c r="H41" s="1042">
        <f t="shared" si="28"/>
        <v>0.15019872947569507</v>
      </c>
      <c r="I41" s="1042">
        <f t="shared" si="28"/>
        <v>0.19690099542268943</v>
      </c>
      <c r="J41" s="1042">
        <f t="shared" si="28"/>
        <v>0.24031331015982488</v>
      </c>
      <c r="K41" s="1042">
        <f t="shared" si="28"/>
        <v>0.23369422510294868</v>
      </c>
      <c r="L41" s="1042" t="e">
        <f t="shared" si="28"/>
        <v>#DIV/0!</v>
      </c>
      <c r="M41" s="1042" t="e">
        <f t="shared" si="28"/>
        <v>#DIV/0!</v>
      </c>
      <c r="N41" s="1042" t="e">
        <f t="shared" si="28"/>
        <v>#DIV/0!</v>
      </c>
    </row>
    <row r="42" spans="2:14" ht="13.15">
      <c r="B42" s="1041" t="s">
        <v>382</v>
      </c>
      <c r="C42" s="1042">
        <f>AVERAGE(E41:I41)</f>
        <v>0.16590376107402124</v>
      </c>
      <c r="D42" s="1042"/>
      <c r="E42" s="1042"/>
      <c r="F42" s="1042"/>
      <c r="G42" s="1042"/>
      <c r="H42" s="1042"/>
      <c r="I42" s="1042"/>
      <c r="J42" s="1323"/>
      <c r="K42" s="1042"/>
      <c r="L42" s="1042"/>
      <c r="M42" s="1042"/>
      <c r="N42" s="1042"/>
    </row>
    <row r="43" spans="2:14" ht="13.15">
      <c r="B43" s="1041" t="s">
        <v>298</v>
      </c>
      <c r="C43" s="1043">
        <f>+C151</f>
        <v>79102668000</v>
      </c>
      <c r="D43" s="1043">
        <f t="shared" ref="D43:N43" si="29">+D151</f>
        <v>114216089000</v>
      </c>
      <c r="E43" s="1043">
        <f t="shared" si="29"/>
        <v>144465216000</v>
      </c>
      <c r="F43" s="1043">
        <f t="shared" si="29"/>
        <v>192894040000</v>
      </c>
      <c r="G43" s="1043">
        <f t="shared" si="29"/>
        <v>166198826000</v>
      </c>
      <c r="H43" s="1043">
        <f t="shared" si="29"/>
        <v>210750245000</v>
      </c>
      <c r="I43" s="1043">
        <f t="shared" si="29"/>
        <v>174122738000</v>
      </c>
      <c r="J43" s="1043">
        <f t="shared" si="29"/>
        <v>65700300000</v>
      </c>
      <c r="K43" s="1043">
        <f t="shared" si="29"/>
        <v>183305187000</v>
      </c>
      <c r="L43" s="1043">
        <f t="shared" si="29"/>
        <v>0</v>
      </c>
      <c r="M43" s="1043">
        <f t="shared" si="29"/>
        <v>0</v>
      </c>
      <c r="N43" s="1043">
        <f t="shared" si="29"/>
        <v>0</v>
      </c>
    </row>
    <row r="44" spans="2:14" ht="13.15">
      <c r="B44" s="1044" t="s">
        <v>111</v>
      </c>
      <c r="C44" s="1044">
        <f>SUM(C46:C49)</f>
        <v>83.6</v>
      </c>
      <c r="D44" s="1044">
        <f t="shared" ref="D44:E44" si="30">SUM(D46:D49)</f>
        <v>94.6</v>
      </c>
      <c r="E44" s="1044">
        <f t="shared" si="30"/>
        <v>94.6</v>
      </c>
      <c r="F44" s="1044">
        <f>SUM(F46:F49)</f>
        <v>110.66</v>
      </c>
      <c r="G44" s="1044">
        <f>SUM(G46:G49)</f>
        <v>117.69999999999999</v>
      </c>
      <c r="H44" s="1044">
        <f>SUM(H46:H49)</f>
        <v>303.60000000000002</v>
      </c>
      <c r="I44" s="1044">
        <f t="shared" ref="I44:N44" si="31">SUM(I46:I49)</f>
        <v>182.6</v>
      </c>
      <c r="J44" s="1044">
        <f>SUM(J46:J49)</f>
        <v>173.8</v>
      </c>
      <c r="K44" s="1044">
        <f t="shared" si="31"/>
        <v>215.6</v>
      </c>
      <c r="L44" s="1044">
        <f t="shared" si="31"/>
        <v>112.2</v>
      </c>
      <c r="M44" s="1044">
        <f t="shared" si="31"/>
        <v>0</v>
      </c>
      <c r="N44" s="1044">
        <f t="shared" si="31"/>
        <v>0</v>
      </c>
    </row>
    <row r="45" spans="2:14" ht="13.15">
      <c r="B45" s="1044" t="s">
        <v>112</v>
      </c>
      <c r="C45" s="1044">
        <f>+C46+C47+C48</f>
        <v>83.6</v>
      </c>
      <c r="D45" s="1044">
        <f t="shared" ref="D45:N45" si="32">+D46+D47+D48</f>
        <v>94.6</v>
      </c>
      <c r="E45" s="1044">
        <f t="shared" si="32"/>
        <v>94.6</v>
      </c>
      <c r="F45" s="1044">
        <f>+F46+F47+F48</f>
        <v>110.66</v>
      </c>
      <c r="G45" s="1044">
        <f t="shared" si="32"/>
        <v>117.69999999999999</v>
      </c>
      <c r="H45" s="1044">
        <f t="shared" si="32"/>
        <v>127.6</v>
      </c>
      <c r="I45" s="1044">
        <f t="shared" si="32"/>
        <v>127.6</v>
      </c>
      <c r="J45" s="1044">
        <f t="shared" si="32"/>
        <v>173.8</v>
      </c>
      <c r="K45" s="1044">
        <f t="shared" si="32"/>
        <v>215.6</v>
      </c>
      <c r="L45" s="1044">
        <f t="shared" si="32"/>
        <v>112.2</v>
      </c>
      <c r="M45" s="1044">
        <f t="shared" si="32"/>
        <v>0</v>
      </c>
      <c r="N45" s="1044">
        <f t="shared" si="32"/>
        <v>0</v>
      </c>
    </row>
    <row r="46" spans="2:14" ht="13.15">
      <c r="B46" s="1045" t="s">
        <v>114</v>
      </c>
      <c r="C46" s="1015">
        <v>20.9</v>
      </c>
      <c r="D46" s="1015">
        <v>23.65</v>
      </c>
      <c r="E46" s="1015">
        <v>23.65</v>
      </c>
      <c r="F46" s="1015">
        <v>28.6</v>
      </c>
      <c r="G46" s="1015">
        <v>28.6</v>
      </c>
      <c r="H46" s="1015"/>
      <c r="I46" s="1015"/>
      <c r="J46" s="1015">
        <f>35.2+33</f>
        <v>68.2</v>
      </c>
      <c r="K46" s="1015"/>
      <c r="L46" s="1015">
        <v>112.2</v>
      </c>
      <c r="M46" s="1015"/>
      <c r="N46" s="1015"/>
    </row>
    <row r="47" spans="2:14" ht="13.15">
      <c r="B47" s="1045" t="s">
        <v>115</v>
      </c>
      <c r="C47" s="1015">
        <f>20.9+20.9</f>
        <v>41.8</v>
      </c>
      <c r="D47" s="1015">
        <f>23.65+23.65</f>
        <v>47.3</v>
      </c>
      <c r="E47" s="1015">
        <f>23.65+23.65</f>
        <v>47.3</v>
      </c>
      <c r="F47" s="1015">
        <f>28.6+24.86</f>
        <v>53.46</v>
      </c>
      <c r="G47" s="1015">
        <f>31.9+28.6</f>
        <v>60.5</v>
      </c>
      <c r="H47" s="1015">
        <f>31.9+31.9+31.9</f>
        <v>95.699999999999989</v>
      </c>
      <c r="I47" s="1015">
        <f>31.9+31.9+31.9</f>
        <v>95.699999999999989</v>
      </c>
      <c r="J47" s="1015">
        <f>35.2+35.2+35.2</f>
        <v>105.60000000000001</v>
      </c>
      <c r="K47" s="1015">
        <f>155.1+38.5+22</f>
        <v>215.6</v>
      </c>
      <c r="L47" s="1015"/>
      <c r="M47" s="1015"/>
      <c r="N47" s="1015"/>
    </row>
    <row r="48" spans="2:14" ht="13.15">
      <c r="B48" s="1045" t="s">
        <v>116</v>
      </c>
      <c r="C48" s="1015">
        <v>20.9</v>
      </c>
      <c r="D48" s="1015">
        <v>23.65</v>
      </c>
      <c r="E48" s="1015">
        <v>23.65</v>
      </c>
      <c r="F48" s="1015">
        <v>28.6</v>
      </c>
      <c r="G48" s="1015">
        <v>28.6</v>
      </c>
      <c r="H48" s="1015">
        <v>31.9</v>
      </c>
      <c r="I48" s="1015">
        <v>31.9</v>
      </c>
      <c r="J48" s="1015"/>
      <c r="K48" s="1015"/>
      <c r="L48" s="1015"/>
      <c r="M48" s="1015"/>
      <c r="N48" s="1015"/>
    </row>
    <row r="49" spans="2:16" ht="13.15">
      <c r="B49" s="1045" t="s">
        <v>117</v>
      </c>
      <c r="C49" s="1015"/>
      <c r="D49" s="1015"/>
      <c r="E49" s="1015"/>
      <c r="F49" s="1015"/>
      <c r="G49" s="1015"/>
      <c r="H49" s="1015">
        <v>176</v>
      </c>
      <c r="I49" s="1015">
        <v>55</v>
      </c>
      <c r="J49" s="1015"/>
      <c r="K49" s="1015"/>
      <c r="L49" s="1015"/>
      <c r="M49" s="1015"/>
      <c r="N49" s="1015"/>
    </row>
    <row r="50" spans="2:16" ht="13.15">
      <c r="B50" s="1044" t="s">
        <v>119</v>
      </c>
      <c r="C50" s="1044">
        <f t="shared" ref="C50:I50" si="33">SUM(C52:C55)</f>
        <v>91.85</v>
      </c>
      <c r="D50" s="1044">
        <f t="shared" si="33"/>
        <v>94.6</v>
      </c>
      <c r="E50" s="1044">
        <f t="shared" si="33"/>
        <v>100.75999999999999</v>
      </c>
      <c r="F50" s="1044">
        <f t="shared" si="33"/>
        <v>114.4</v>
      </c>
      <c r="G50" s="1044">
        <f t="shared" si="33"/>
        <v>300.2</v>
      </c>
      <c r="H50" s="1044">
        <f t="shared" si="33"/>
        <v>182.6</v>
      </c>
      <c r="I50" s="1044">
        <f t="shared" si="33"/>
        <v>167.2</v>
      </c>
      <c r="J50" s="1044">
        <f t="shared" ref="J50" si="34">SUM(J52:J55)</f>
        <v>225.5</v>
      </c>
      <c r="K50" s="1044">
        <f>SUM(K52:K55)</f>
        <v>172.7</v>
      </c>
      <c r="L50" s="1044">
        <f>SUM(L52:L55)</f>
        <v>0</v>
      </c>
      <c r="M50" s="1044">
        <f>SUM(M52:M55)</f>
        <v>0</v>
      </c>
      <c r="N50" s="1044">
        <f>SUM(N52:N55)</f>
        <v>0</v>
      </c>
    </row>
    <row r="51" spans="2:16" ht="13.15">
      <c r="B51" s="1044" t="s">
        <v>120</v>
      </c>
      <c r="C51" s="1044">
        <f t="shared" ref="C51:I51" si="35">+C52+C53+C54</f>
        <v>91.85</v>
      </c>
      <c r="D51" s="1044">
        <f t="shared" si="35"/>
        <v>94.6</v>
      </c>
      <c r="E51" s="1044">
        <f t="shared" si="35"/>
        <v>100.75999999999999</v>
      </c>
      <c r="F51" s="1044">
        <f t="shared" si="35"/>
        <v>114.4</v>
      </c>
      <c r="G51" s="1044">
        <f t="shared" si="35"/>
        <v>124.2</v>
      </c>
      <c r="H51" s="1044">
        <f t="shared" si="35"/>
        <v>127.6</v>
      </c>
      <c r="I51" s="1044">
        <f t="shared" si="35"/>
        <v>167.2</v>
      </c>
      <c r="J51" s="1044">
        <f t="shared" ref="J51" si="36">+J52+J53+J54</f>
        <v>225.5</v>
      </c>
      <c r="K51" s="1044">
        <f>+K52+K53+K54</f>
        <v>172.7</v>
      </c>
      <c r="L51" s="1044">
        <f>+L52+L53+L54</f>
        <v>0</v>
      </c>
      <c r="M51" s="1044">
        <f>+M52+M53+M54</f>
        <v>0</v>
      </c>
      <c r="N51" s="1044">
        <f>+N52+N53+N54</f>
        <v>0</v>
      </c>
    </row>
    <row r="52" spans="2:16" ht="13.15">
      <c r="B52" s="1045" t="s">
        <v>121</v>
      </c>
      <c r="C52" s="1015">
        <v>23.65</v>
      </c>
      <c r="D52" s="1015">
        <v>23.65</v>
      </c>
      <c r="E52" s="1015">
        <v>28.6</v>
      </c>
      <c r="F52" s="1015">
        <v>28.6</v>
      </c>
      <c r="G52" s="1015"/>
      <c r="H52" s="1015"/>
      <c r="I52" s="1015">
        <f>33 + 35.2</f>
        <v>68.2</v>
      </c>
      <c r="J52" s="1015"/>
      <c r="K52" s="1015">
        <v>112.2</v>
      </c>
      <c r="L52" s="1015"/>
      <c r="M52" s="1015"/>
      <c r="N52" s="1015"/>
    </row>
    <row r="53" spans="2:16" ht="13.15">
      <c r="B53" s="1045" t="s">
        <v>122</v>
      </c>
      <c r="C53" s="1015">
        <f>23.65*2</f>
        <v>47.3</v>
      </c>
      <c r="D53" s="1015">
        <f>23.65*2</f>
        <v>47.3</v>
      </c>
      <c r="E53" s="1015">
        <f>23.65+24.86</f>
        <v>48.51</v>
      </c>
      <c r="F53" s="1015">
        <f>28.6*2</f>
        <v>57.2</v>
      </c>
      <c r="G53" s="1015">
        <f xml:space="preserve"> 31.9*2</f>
        <v>63.8</v>
      </c>
      <c r="H53" s="1015">
        <f xml:space="preserve"> 31.9*3</f>
        <v>95.699999999999989</v>
      </c>
      <c r="I53" s="1015">
        <f xml:space="preserve"> 35.2 + 31.9 + 31.9</f>
        <v>99</v>
      </c>
      <c r="J53" s="1015">
        <f xml:space="preserve"> 155.1 +35.2 + 35.2</f>
        <v>225.5</v>
      </c>
      <c r="K53" s="1015">
        <f>38.5+22</f>
        <v>60.5</v>
      </c>
      <c r="L53" s="1015"/>
      <c r="M53" s="1015"/>
      <c r="N53" s="1015"/>
    </row>
    <row r="54" spans="2:16" ht="13.15">
      <c r="B54" s="1045" t="s">
        <v>123</v>
      </c>
      <c r="C54" s="1015">
        <v>20.9</v>
      </c>
      <c r="D54" s="1015">
        <v>23.65</v>
      </c>
      <c r="E54" s="1015">
        <v>23.65</v>
      </c>
      <c r="F54" s="1015">
        <v>28.6</v>
      </c>
      <c r="G54" s="1015">
        <f>31.8 + 28.6</f>
        <v>60.400000000000006</v>
      </c>
      <c r="H54" s="1015">
        <v>31.9</v>
      </c>
      <c r="I54" s="1015"/>
      <c r="J54" s="1015"/>
      <c r="K54" s="1015"/>
      <c r="L54" s="1015"/>
      <c r="M54" s="1015"/>
      <c r="N54" s="1015"/>
    </row>
    <row r="55" spans="2:16" ht="13.15">
      <c r="B55" s="1045" t="s">
        <v>124</v>
      </c>
      <c r="C55" s="1015"/>
      <c r="D55" s="1015"/>
      <c r="E55" s="1015"/>
      <c r="F55" s="1015"/>
      <c r="G55" s="1015">
        <v>176</v>
      </c>
      <c r="H55" s="1015">
        <v>55</v>
      </c>
      <c r="I55" s="1015"/>
      <c r="J55" s="1015"/>
      <c r="K55" s="1015"/>
      <c r="L55" s="1015"/>
      <c r="M55" s="1015"/>
      <c r="N55" s="1015"/>
    </row>
    <row r="56" spans="2:16" ht="13.15">
      <c r="B56" s="1046" t="s">
        <v>167</v>
      </c>
      <c r="C56" s="1047">
        <f>(C52+C53+C54)/C40</f>
        <v>0.70426314982364668</v>
      </c>
      <c r="D56" s="1047">
        <f t="shared" ref="D56:N56" si="37">(D52+D53+D54)/D40</f>
        <v>0.8847736625514403</v>
      </c>
      <c r="E56" s="1047">
        <f t="shared" si="37"/>
        <v>0.52405471472408582</v>
      </c>
      <c r="F56" s="1047">
        <f t="shared" si="37"/>
        <v>0.84728188416530881</v>
      </c>
      <c r="G56" s="1047">
        <f t="shared" si="37"/>
        <v>0.72542491676888032</v>
      </c>
      <c r="H56" s="1047">
        <f t="shared" si="37"/>
        <v>0.91871265029879767</v>
      </c>
      <c r="I56" s="1047">
        <f>(I52+I53+I54)/I40</f>
        <v>0.88120586065141759</v>
      </c>
      <c r="J56" s="1047">
        <f t="shared" si="37"/>
        <v>0.87572815533980586</v>
      </c>
      <c r="K56" s="1047">
        <f t="shared" si="37"/>
        <v>0.58073844912233508</v>
      </c>
      <c r="L56" s="1047" t="e">
        <f t="shared" si="37"/>
        <v>#DIV/0!</v>
      </c>
      <c r="M56" s="1047" t="e">
        <f t="shared" si="37"/>
        <v>#DIV/0!</v>
      </c>
      <c r="N56" s="1047" t="e">
        <f t="shared" si="37"/>
        <v>#DIV/0!</v>
      </c>
    </row>
    <row r="57" spans="2:16" ht="13.15">
      <c r="B57" s="1049" t="s">
        <v>303</v>
      </c>
      <c r="C57" s="1050">
        <f>AVERAGE(G56:I56)</f>
        <v>0.84178114257303183</v>
      </c>
      <c r="D57" s="1050"/>
      <c r="E57" s="1050"/>
      <c r="F57" s="1050"/>
      <c r="G57" s="1050"/>
      <c r="H57" s="1050"/>
      <c r="I57" s="1050">
        <f>AVERAGE(H56:J56)</f>
        <v>0.89188222209667378</v>
      </c>
      <c r="J57" s="1050"/>
      <c r="K57" s="1050"/>
      <c r="L57" s="1050"/>
      <c r="M57" s="1050"/>
      <c r="N57" s="1050"/>
    </row>
    <row r="58" spans="2:16" ht="13.15">
      <c r="B58" s="1046" t="s">
        <v>299</v>
      </c>
      <c r="C58" s="1047">
        <f>+D44/C19</f>
        <v>3.077423552374756E-2</v>
      </c>
      <c r="D58" s="1047">
        <f t="shared" ref="D58:E58" si="38">+E44/D19</f>
        <v>3.6412625096227863E-2</v>
      </c>
      <c r="E58" s="1047">
        <f t="shared" si="38"/>
        <v>5.0784763653051859E-2</v>
      </c>
      <c r="F58" s="1047">
        <f>+G45/F19</f>
        <v>6.4246724890829693E-2</v>
      </c>
      <c r="G58" s="1047">
        <f>+H45/G19</f>
        <v>6.8972972972972973E-2</v>
      </c>
      <c r="H58" s="1047">
        <f t="shared" ref="H58:N58" si="39">+I45/H19</f>
        <v>6.1257801248199711E-2</v>
      </c>
      <c r="I58" s="1047">
        <f>+J45/I19</f>
        <v>7.9000000000000001E-2</v>
      </c>
      <c r="J58" s="1047">
        <f t="shared" si="39"/>
        <v>7.1272727272727265E-2</v>
      </c>
      <c r="K58" s="1047">
        <f t="shared" si="39"/>
        <v>2.6587677725118483E-2</v>
      </c>
      <c r="L58" s="1047" t="e">
        <f t="shared" si="39"/>
        <v>#DIV/0!</v>
      </c>
      <c r="M58" s="1047" t="e">
        <f t="shared" si="39"/>
        <v>#DIV/0!</v>
      </c>
      <c r="N58" s="1047" t="e">
        <f t="shared" si="39"/>
        <v>#DIV/0!</v>
      </c>
    </row>
    <row r="59" spans="2:16" ht="13.15">
      <c r="B59" s="1051" t="s">
        <v>384</v>
      </c>
      <c r="C59" s="1052">
        <f>AVERAGE(G58:I58)</f>
        <v>6.9743591407057562E-2</v>
      </c>
      <c r="D59" s="1052"/>
      <c r="E59" s="1052"/>
      <c r="F59" s="1052"/>
      <c r="G59" s="1052"/>
      <c r="H59" s="1052"/>
      <c r="I59" s="1052"/>
      <c r="J59" s="1052"/>
      <c r="K59" s="1052"/>
      <c r="L59" s="1052"/>
      <c r="M59" s="1052"/>
      <c r="N59" s="1052"/>
      <c r="O59" s="1052"/>
      <c r="P59" s="1052"/>
    </row>
    <row r="60" spans="2:16" ht="13.15">
      <c r="B60" s="1053" t="s">
        <v>176</v>
      </c>
      <c r="C60" s="1054">
        <f>+C41*(100%-C56)</f>
        <v>4.4474222605105404E-2</v>
      </c>
      <c r="D60" s="1054">
        <f t="shared" ref="D60:N60" si="40">+D41*(100%-D56)</f>
        <v>1.3307321487684324E-2</v>
      </c>
      <c r="E60" s="1054">
        <f t="shared" si="40"/>
        <v>8.7922460135049479E-2</v>
      </c>
      <c r="F60" s="1055">
        <f t="shared" si="40"/>
        <v>2.3178849719887269E-2</v>
      </c>
      <c r="G60" s="1054">
        <f t="shared" si="40"/>
        <v>4.0063639636203525E-2</v>
      </c>
      <c r="H60" s="1054">
        <f t="shared" si="40"/>
        <v>1.2209256647567111E-2</v>
      </c>
      <c r="I60" s="1054">
        <f t="shared" si="40"/>
        <v>2.3390684288117556E-2</v>
      </c>
      <c r="J60" s="1054">
        <f t="shared" si="40"/>
        <v>2.986417834995881E-2</v>
      </c>
      <c r="K60" s="1054">
        <f t="shared" si="40"/>
        <v>9.7979003247816401E-2</v>
      </c>
      <c r="L60" s="1054" t="e">
        <f t="shared" si="40"/>
        <v>#DIV/0!</v>
      </c>
      <c r="M60" s="1054" t="e">
        <f t="shared" si="40"/>
        <v>#DIV/0!</v>
      </c>
      <c r="N60" s="1054" t="e">
        <f t="shared" si="40"/>
        <v>#DIV/0!</v>
      </c>
    </row>
    <row r="61" spans="2:16" ht="13.15">
      <c r="B61" s="1051" t="s">
        <v>306</v>
      </c>
      <c r="C61" s="1052">
        <f>AVERAGE(G60:I60)</f>
        <v>2.5221193523962734E-2</v>
      </c>
      <c r="D61" s="1052"/>
      <c r="E61" s="1052"/>
      <c r="F61" s="1052"/>
      <c r="G61" s="1052"/>
      <c r="H61" s="1052"/>
      <c r="I61" s="1052"/>
      <c r="J61" s="1052"/>
      <c r="K61" s="1052"/>
      <c r="L61" s="1052"/>
      <c r="M61" s="1052"/>
      <c r="N61" s="1052"/>
      <c r="O61" s="1052"/>
    </row>
    <row r="62" spans="2:16" ht="13.15">
      <c r="B62" s="1053" t="s">
        <v>300</v>
      </c>
      <c r="C62" s="1296">
        <f ca="1">B3</f>
        <v>3940</v>
      </c>
      <c r="D62" s="1052"/>
      <c r="E62" s="1052"/>
      <c r="F62" s="1052"/>
      <c r="G62" s="1052"/>
      <c r="H62" s="1052"/>
      <c r="I62" s="1052"/>
      <c r="J62" s="1052"/>
      <c r="K62" s="1052"/>
      <c r="L62" s="1052"/>
      <c r="M62" s="1052"/>
      <c r="N62" s="1052"/>
      <c r="O62" s="1052"/>
    </row>
    <row r="64" spans="2:16" ht="13.15">
      <c r="B64" s="1056" t="s">
        <v>307</v>
      </c>
    </row>
    <row r="65" spans="2:14" ht="13.15"/>
    <row r="66" spans="2:14" ht="12.75">
      <c r="B66" s="1057" t="s">
        <v>385</v>
      </c>
      <c r="C66" s="1058">
        <v>2017</v>
      </c>
      <c r="D66" s="1058">
        <v>2018</v>
      </c>
      <c r="E66" s="1058">
        <v>2019</v>
      </c>
      <c r="F66" s="1058">
        <v>2020</v>
      </c>
      <c r="G66" s="1058">
        <v>2021</v>
      </c>
      <c r="H66" s="1058">
        <v>2022</v>
      </c>
      <c r="I66" s="1058">
        <v>2023</v>
      </c>
      <c r="J66" s="1058">
        <v>2024</v>
      </c>
      <c r="K66" s="1337">
        <v>2025</v>
      </c>
      <c r="L66" s="1058">
        <v>2026</v>
      </c>
      <c r="M66" s="1058">
        <v>2027</v>
      </c>
      <c r="N66" s="1058">
        <v>2028</v>
      </c>
    </row>
    <row r="67" spans="2:14" ht="12.75">
      <c r="B67" s="1059" t="s">
        <v>309</v>
      </c>
      <c r="C67" s="1060"/>
      <c r="D67" s="1060"/>
      <c r="E67" s="1060"/>
      <c r="F67" s="1060"/>
      <c r="G67" s="1060"/>
      <c r="H67" s="1060"/>
      <c r="I67" s="1060"/>
      <c r="J67" s="1060"/>
      <c r="K67" s="1338" t="s">
        <v>180</v>
      </c>
      <c r="L67" s="1060"/>
      <c r="M67" s="1060"/>
      <c r="N67" s="1060"/>
    </row>
    <row r="68" spans="2:14" ht="12.75">
      <c r="B68" s="1062" t="s">
        <v>310</v>
      </c>
      <c r="C68" s="1061">
        <v>484010050000</v>
      </c>
      <c r="D68" s="1061">
        <v>481586454000</v>
      </c>
      <c r="E68" s="1061">
        <v>533474103000</v>
      </c>
      <c r="F68" s="1063">
        <v>797297716000</v>
      </c>
      <c r="G68" s="1061">
        <v>990986123000</v>
      </c>
      <c r="H68" s="1067">
        <v>1161729392000</v>
      </c>
      <c r="I68" s="1061">
        <v>981771027000</v>
      </c>
      <c r="J68" s="1061">
        <v>1013195740000</v>
      </c>
      <c r="K68" s="1346">
        <v>1033052781000</v>
      </c>
      <c r="L68" s="1061"/>
      <c r="M68" s="1061"/>
      <c r="N68" s="1061"/>
    </row>
    <row r="69" spans="2:14" ht="12.75">
      <c r="B69" s="1064" t="s">
        <v>386</v>
      </c>
      <c r="C69" s="1060">
        <v>136242116000</v>
      </c>
      <c r="D69" s="1060">
        <v>137538613000</v>
      </c>
      <c r="E69" s="1060">
        <v>157567986000</v>
      </c>
      <c r="F69" s="1060">
        <v>309530699000</v>
      </c>
      <c r="G69" s="1060">
        <v>304312020000</v>
      </c>
      <c r="H69" s="1065">
        <v>291681987000</v>
      </c>
      <c r="I69" s="1060">
        <v>303683683000</v>
      </c>
      <c r="J69" s="1060">
        <v>248899004000</v>
      </c>
      <c r="K69" s="1352">
        <v>296539709000</v>
      </c>
      <c r="L69" s="1060"/>
      <c r="M69" s="1060"/>
      <c r="N69" s="1060"/>
    </row>
    <row r="70" spans="2:14" ht="12.75">
      <c r="B70" s="1064" t="s">
        <v>387</v>
      </c>
      <c r="C70" s="1060">
        <v>14138161000</v>
      </c>
      <c r="D70" s="1060">
        <v>683567000</v>
      </c>
      <c r="E70" s="1060">
        <v>347278000</v>
      </c>
      <c r="F70" s="1060">
        <v>140304853000</v>
      </c>
      <c r="G70" s="1060">
        <v>195470749000</v>
      </c>
      <c r="H70" s="1065">
        <v>263044869000</v>
      </c>
      <c r="I70" s="1060">
        <v>67285793000</v>
      </c>
      <c r="J70" s="1060">
        <v>76586583000</v>
      </c>
      <c r="K70" s="1352">
        <v>45974709000</v>
      </c>
      <c r="L70" s="1060"/>
      <c r="M70" s="1060"/>
      <c r="N70" s="1060"/>
    </row>
    <row r="71" spans="2:14" ht="12.75">
      <c r="B71" s="1064" t="s">
        <v>388</v>
      </c>
      <c r="C71" s="1060">
        <v>5611861000</v>
      </c>
      <c r="D71" s="1060">
        <v>5948923000</v>
      </c>
      <c r="E71" s="1060">
        <v>16188965000</v>
      </c>
      <c r="F71" s="1060">
        <v>13374381000</v>
      </c>
      <c r="G71" s="1060">
        <v>14719104000</v>
      </c>
      <c r="H71" s="1065">
        <v>26957000000</v>
      </c>
      <c r="I71" s="1060">
        <v>19311851000</v>
      </c>
      <c r="J71" s="1060">
        <v>27260507000</v>
      </c>
      <c r="K71" s="1352">
        <v>15985896000</v>
      </c>
      <c r="L71" s="1060"/>
      <c r="M71" s="1060"/>
      <c r="N71" s="1060"/>
    </row>
    <row r="72" spans="2:14" ht="12.75">
      <c r="B72" s="1064" t="s">
        <v>389</v>
      </c>
      <c r="C72" s="1060">
        <v>191284680000</v>
      </c>
      <c r="D72" s="1060">
        <v>174113323000</v>
      </c>
      <c r="E72" s="1060">
        <v>191077588000</v>
      </c>
      <c r="F72" s="1060">
        <v>194021253000</v>
      </c>
      <c r="G72" s="1060">
        <v>265490626000</v>
      </c>
      <c r="H72" s="1065">
        <v>279770286000</v>
      </c>
      <c r="I72" s="1060">
        <v>298892164000</v>
      </c>
      <c r="J72" s="1060">
        <v>332831088000</v>
      </c>
      <c r="K72" s="1352">
        <v>339778498000</v>
      </c>
      <c r="L72" s="1060"/>
      <c r="M72" s="1060"/>
      <c r="N72" s="1060"/>
    </row>
    <row r="73" spans="2:14" ht="12.75">
      <c r="B73" s="1064" t="s">
        <v>390</v>
      </c>
      <c r="C73" s="1060">
        <v>5370232000</v>
      </c>
      <c r="D73" s="1060">
        <v>9450263000</v>
      </c>
      <c r="E73" s="1060">
        <v>10835768000</v>
      </c>
      <c r="F73" s="1060">
        <v>11875408000</v>
      </c>
      <c r="G73" s="1060">
        <v>9419050000</v>
      </c>
      <c r="H73" s="1065">
        <v>15062167000</v>
      </c>
      <c r="I73" s="1060">
        <v>16161318000</v>
      </c>
      <c r="J73" s="1060">
        <v>9901543000</v>
      </c>
      <c r="K73" s="1352">
        <v>15299187000</v>
      </c>
      <c r="L73" s="1060"/>
      <c r="M73" s="1060"/>
      <c r="N73" s="1060"/>
    </row>
    <row r="74" spans="2:14" ht="12.75">
      <c r="B74" s="1064" t="s">
        <v>391</v>
      </c>
      <c r="C74" s="1066">
        <v>131363000000</v>
      </c>
      <c r="D74" s="1060">
        <v>151319709000</v>
      </c>
      <c r="E74" s="1060">
        <v>147641224000</v>
      </c>
      <c r="F74" s="1060">
        <v>127972650000</v>
      </c>
      <c r="G74" s="1060">
        <v>191350206000</v>
      </c>
      <c r="H74" s="1065">
        <v>245886656000</v>
      </c>
      <c r="I74" s="1060">
        <v>233053160000</v>
      </c>
      <c r="J74" s="1060">
        <v>299970909000</v>
      </c>
      <c r="K74" s="1352">
        <v>304550609000</v>
      </c>
      <c r="L74" s="1060"/>
      <c r="M74" s="1060"/>
      <c r="N74" s="1060"/>
    </row>
    <row r="75" spans="2:14" ht="12.75">
      <c r="B75" s="1064" t="s">
        <v>392</v>
      </c>
      <c r="C75" s="1060"/>
      <c r="D75" s="1060">
        <v>2532056000</v>
      </c>
      <c r="E75" s="1060">
        <v>9815294000</v>
      </c>
      <c r="F75" s="1060">
        <v>218472000</v>
      </c>
      <c r="G75" s="1060">
        <v>10224368000</v>
      </c>
      <c r="H75" s="1065">
        <v>39326427000</v>
      </c>
      <c r="I75" s="1060">
        <v>43383058000</v>
      </c>
      <c r="J75" s="1060">
        <v>17746106000</v>
      </c>
      <c r="K75" s="1352">
        <v>14924173000</v>
      </c>
      <c r="L75" s="1060"/>
      <c r="M75" s="1060"/>
      <c r="N75" s="1060"/>
    </row>
    <row r="76" spans="2:14" ht="12.75">
      <c r="B76" s="1064" t="s">
        <v>318</v>
      </c>
      <c r="C76" s="1060">
        <f t="shared" ref="C76:N76" si="41">+C68-C69-C74-C75-C73-C72-C71-C70</f>
        <v>0</v>
      </c>
      <c r="D76" s="1060">
        <f t="shared" si="41"/>
        <v>0</v>
      </c>
      <c r="E76" s="1060">
        <f t="shared" si="41"/>
        <v>0</v>
      </c>
      <c r="F76" s="1060">
        <f t="shared" si="41"/>
        <v>0</v>
      </c>
      <c r="G76" s="1060">
        <f t="shared" si="41"/>
        <v>0</v>
      </c>
      <c r="H76" s="1060">
        <f t="shared" si="41"/>
        <v>0</v>
      </c>
      <c r="I76" s="1060">
        <f t="shared" si="41"/>
        <v>0</v>
      </c>
      <c r="J76" s="1060">
        <f t="shared" si="41"/>
        <v>0</v>
      </c>
      <c r="K76" s="925">
        <f>+K68-K69-K74-K75-K73-K72-K71-K70</f>
        <v>0</v>
      </c>
      <c r="L76" s="1060">
        <f t="shared" si="41"/>
        <v>0</v>
      </c>
      <c r="M76" s="1060">
        <f t="shared" si="41"/>
        <v>0</v>
      </c>
      <c r="N76" s="1060">
        <f t="shared" si="41"/>
        <v>0</v>
      </c>
    </row>
    <row r="77" spans="2:14" ht="12.75">
      <c r="B77" s="1062" t="s">
        <v>319</v>
      </c>
      <c r="C77" s="1061">
        <v>1630849417000</v>
      </c>
      <c r="D77" s="1061">
        <v>1732918235000</v>
      </c>
      <c r="E77" s="1061">
        <v>1857474320000</v>
      </c>
      <c r="F77" s="1063">
        <v>1650766684000</v>
      </c>
      <c r="G77" s="1061">
        <v>1955120524000</v>
      </c>
      <c r="H77" s="1067">
        <v>1848971215000</v>
      </c>
      <c r="I77" s="1061">
        <v>1939749862000</v>
      </c>
      <c r="J77" s="1061">
        <v>2277908533000</v>
      </c>
      <c r="K77" s="1346">
        <v>2387352637000</v>
      </c>
      <c r="L77" s="1061"/>
      <c r="M77" s="1061"/>
      <c r="N77" s="1061"/>
    </row>
    <row r="78" spans="2:14" ht="12.75">
      <c r="B78" s="1064" t="s">
        <v>393</v>
      </c>
      <c r="C78" s="1060">
        <v>74259085000</v>
      </c>
      <c r="D78" s="1060">
        <v>97362295000</v>
      </c>
      <c r="E78" s="1060">
        <v>110784311000</v>
      </c>
      <c r="F78" s="1060">
        <v>162013278000</v>
      </c>
      <c r="G78" s="1060">
        <v>296632012000</v>
      </c>
      <c r="H78" s="1065">
        <v>94852711000</v>
      </c>
      <c r="I78" s="1060">
        <v>93316339000</v>
      </c>
      <c r="J78" s="1060">
        <v>169420303000</v>
      </c>
      <c r="K78" s="1352">
        <v>164370936000</v>
      </c>
      <c r="L78" s="1060"/>
      <c r="M78" s="1060"/>
      <c r="N78" s="1060"/>
    </row>
    <row r="79" spans="2:14" ht="12.75">
      <c r="B79" s="1064" t="s">
        <v>394</v>
      </c>
      <c r="C79" s="1060">
        <v>47394345000</v>
      </c>
      <c r="D79" s="1060">
        <v>34977264000</v>
      </c>
      <c r="E79" s="1060">
        <v>125636150000</v>
      </c>
      <c r="F79" s="1060">
        <v>90242672000</v>
      </c>
      <c r="G79" s="1060">
        <v>70861616000</v>
      </c>
      <c r="H79" s="1065">
        <v>59672266000</v>
      </c>
      <c r="I79" s="1060">
        <v>59412482000</v>
      </c>
      <c r="J79" s="1060">
        <v>79746695000</v>
      </c>
      <c r="K79" s="1352">
        <v>82913107000</v>
      </c>
      <c r="L79" s="1060"/>
      <c r="M79" s="1060"/>
      <c r="N79" s="1060"/>
    </row>
    <row r="80" spans="2:14" ht="12.75">
      <c r="B80" s="1064" t="s">
        <v>377</v>
      </c>
      <c r="C80" s="1060">
        <v>2395851000</v>
      </c>
      <c r="D80" s="1060">
        <v>1270697000</v>
      </c>
      <c r="E80" s="1060">
        <v>523769000</v>
      </c>
      <c r="F80" s="1060">
        <v>73862000</v>
      </c>
      <c r="G80" s="1060">
        <v>126464000</v>
      </c>
      <c r="H80" s="1065">
        <v>539920000</v>
      </c>
      <c r="I80" s="1060">
        <v>371401000</v>
      </c>
      <c r="J80" s="1060">
        <v>335723000</v>
      </c>
      <c r="K80" s="1352">
        <v>187644000</v>
      </c>
      <c r="L80" s="1060"/>
      <c r="M80" s="1060"/>
      <c r="N80" s="1060"/>
    </row>
    <row r="81" spans="2:14" ht="12.75">
      <c r="B81" s="1064" t="s">
        <v>484</v>
      </c>
      <c r="C81" s="1060">
        <v>156492000</v>
      </c>
      <c r="D81" s="1060">
        <v>74340000</v>
      </c>
      <c r="E81" s="1060">
        <v>283118000</v>
      </c>
      <c r="F81" s="1060">
        <v>138346000</v>
      </c>
      <c r="G81" s="1060">
        <v>98941000</v>
      </c>
      <c r="H81" s="1065">
        <v>109318000</v>
      </c>
      <c r="I81" s="1060">
        <v>108021000</v>
      </c>
      <c r="J81" s="1060">
        <v>292931000</v>
      </c>
      <c r="K81" s="1352">
        <v>8000924000</v>
      </c>
      <c r="L81" s="1060"/>
      <c r="M81" s="1060"/>
      <c r="N81" s="1060"/>
    </row>
    <row r="82" spans="2:14" ht="12.75">
      <c r="B82" s="1064" t="s">
        <v>487</v>
      </c>
      <c r="C82" s="1060">
        <v>86809069000</v>
      </c>
      <c r="D82" s="1060">
        <v>102410945000</v>
      </c>
      <c r="E82" s="1060">
        <v>99866733000</v>
      </c>
      <c r="F82" s="1060">
        <v>87956354000</v>
      </c>
      <c r="G82" s="1060">
        <v>91489194000</v>
      </c>
      <c r="H82" s="1065">
        <v>92344598000</v>
      </c>
      <c r="I82" s="1060">
        <v>91799267000</v>
      </c>
      <c r="J82" s="1060">
        <v>85192710000</v>
      </c>
      <c r="K82" s="1352">
        <v>87087871000</v>
      </c>
      <c r="L82" s="1060"/>
      <c r="M82" s="1060"/>
      <c r="N82" s="1060"/>
    </row>
    <row r="83" spans="2:14" ht="12.75">
      <c r="B83" s="1064" t="s">
        <v>522</v>
      </c>
      <c r="C83" s="1060">
        <v>663272878000</v>
      </c>
      <c r="D83" s="1060">
        <v>668822553000</v>
      </c>
      <c r="E83" s="1060">
        <v>675075375000</v>
      </c>
      <c r="F83" s="1060">
        <v>604514165000</v>
      </c>
      <c r="G83" s="1060">
        <v>659631543000</v>
      </c>
      <c r="H83" s="1065">
        <v>671778888000</v>
      </c>
      <c r="I83" s="1060">
        <v>695926565000</v>
      </c>
      <c r="J83" s="1060">
        <v>693383630000</v>
      </c>
      <c r="K83" s="1352">
        <v>719489720000</v>
      </c>
      <c r="L83" s="1060"/>
      <c r="M83" s="1060"/>
      <c r="N83" s="1060"/>
    </row>
    <row r="84" spans="2:14" ht="12.75">
      <c r="B84" s="1064" t="s">
        <v>396</v>
      </c>
      <c r="C84" s="1060">
        <v>93598217000</v>
      </c>
      <c r="D84" s="1060">
        <v>117229173000</v>
      </c>
      <c r="E84" s="1060">
        <v>121221661000</v>
      </c>
      <c r="F84" s="1060">
        <v>98325593000</v>
      </c>
      <c r="G84" s="1060">
        <v>118042900000</v>
      </c>
      <c r="H84" s="1065">
        <v>129023922000</v>
      </c>
      <c r="I84" s="1060">
        <v>122103802000</v>
      </c>
      <c r="J84" s="1060">
        <v>144681420000</v>
      </c>
      <c r="K84" s="1352">
        <v>137128318000</v>
      </c>
      <c r="L84" s="1060"/>
      <c r="M84" s="1060"/>
      <c r="N84" s="1060"/>
    </row>
    <row r="85" spans="2:14" ht="12.75">
      <c r="B85" s="1064" t="s">
        <v>398</v>
      </c>
      <c r="C85" s="1060">
        <v>659750499000</v>
      </c>
      <c r="D85" s="1060">
        <v>710770968000</v>
      </c>
      <c r="E85" s="1060">
        <v>722718863000</v>
      </c>
      <c r="F85" s="1066">
        <v>605576545000</v>
      </c>
      <c r="G85" s="1060">
        <v>716379127000</v>
      </c>
      <c r="H85" s="1065">
        <v>798221259000</v>
      </c>
      <c r="I85" s="1060">
        <v>872388811000</v>
      </c>
      <c r="J85" s="1060">
        <v>1097773572000</v>
      </c>
      <c r="K85" s="1352">
        <v>1179385259000</v>
      </c>
      <c r="L85" s="1060"/>
      <c r="M85" s="1060"/>
      <c r="N85" s="1060"/>
    </row>
    <row r="86" spans="2:14" ht="12.75">
      <c r="B86" s="1064" t="s">
        <v>523</v>
      </c>
      <c r="C86" s="1060">
        <v>3212981000</v>
      </c>
      <c r="D86" s="1060">
        <v>0</v>
      </c>
      <c r="E86" s="1060">
        <v>1364340000</v>
      </c>
      <c r="F86" s="1060">
        <v>1925869000</v>
      </c>
      <c r="G86" s="1060">
        <v>1858727000</v>
      </c>
      <c r="H86" s="1065">
        <v>2428333000</v>
      </c>
      <c r="I86" s="1060">
        <v>4323174000</v>
      </c>
      <c r="J86" s="1060">
        <v>7081549000</v>
      </c>
      <c r="K86" s="1352">
        <v>8788858000</v>
      </c>
      <c r="L86" s="1060"/>
      <c r="M86" s="1060"/>
      <c r="N86" s="1060"/>
    </row>
    <row r="87" spans="2:14" ht="12.75">
      <c r="B87" s="1064" t="s">
        <v>328</v>
      </c>
      <c r="C87" s="1060">
        <f t="shared" ref="C87:N87" si="42">+C77-C84-C85-C83-C78-C86-C82-C81-C80-C79</f>
        <v>0</v>
      </c>
      <c r="D87" s="1060">
        <f t="shared" si="42"/>
        <v>0</v>
      </c>
      <c r="E87" s="1060">
        <f t="shared" si="42"/>
        <v>0</v>
      </c>
      <c r="F87" s="1060">
        <f t="shared" si="42"/>
        <v>0</v>
      </c>
      <c r="G87" s="1060">
        <f t="shared" si="42"/>
        <v>0</v>
      </c>
      <c r="H87" s="1060">
        <f t="shared" si="42"/>
        <v>0</v>
      </c>
      <c r="I87" s="1060">
        <f t="shared" si="42"/>
        <v>0</v>
      </c>
      <c r="J87" s="1060">
        <f t="shared" si="42"/>
        <v>0</v>
      </c>
      <c r="K87" s="1338" t="s">
        <v>524</v>
      </c>
      <c r="L87" s="1060">
        <f t="shared" si="42"/>
        <v>0</v>
      </c>
      <c r="M87" s="1060">
        <f t="shared" si="42"/>
        <v>0</v>
      </c>
      <c r="N87" s="1060">
        <f t="shared" si="42"/>
        <v>0</v>
      </c>
    </row>
    <row r="88" spans="2:14" ht="12.75">
      <c r="B88" s="1068" t="s">
        <v>329</v>
      </c>
      <c r="C88" s="1069">
        <f t="shared" ref="C88:N88" si="43">+C77+C68</f>
        <v>2114859467000</v>
      </c>
      <c r="D88" s="1069">
        <f t="shared" si="43"/>
        <v>2214504689000</v>
      </c>
      <c r="E88" s="1069">
        <f t="shared" si="43"/>
        <v>2390948423000</v>
      </c>
      <c r="F88" s="1069">
        <f t="shared" si="43"/>
        <v>2448064400000</v>
      </c>
      <c r="G88" s="1069">
        <f t="shared" si="43"/>
        <v>2946106647000</v>
      </c>
      <c r="H88" s="1070">
        <f t="shared" si="43"/>
        <v>3010700607000</v>
      </c>
      <c r="I88" s="1070">
        <f t="shared" si="43"/>
        <v>2921520889000</v>
      </c>
      <c r="J88" s="1070">
        <f t="shared" si="43"/>
        <v>3291104273000</v>
      </c>
      <c r="K88" s="934">
        <f>+K77+K68</f>
        <v>3420405418000</v>
      </c>
      <c r="L88" s="1070">
        <f t="shared" si="43"/>
        <v>0</v>
      </c>
      <c r="M88" s="1070">
        <f t="shared" si="43"/>
        <v>0</v>
      </c>
      <c r="N88" s="1070">
        <f t="shared" si="43"/>
        <v>0</v>
      </c>
    </row>
    <row r="89" spans="2:14" ht="12.75">
      <c r="B89" s="1071"/>
      <c r="C89" s="1072"/>
      <c r="D89" s="1072"/>
      <c r="E89" s="1072"/>
      <c r="F89" s="1072"/>
      <c r="G89" s="1072"/>
      <c r="H89" s="1073"/>
      <c r="I89" s="1072"/>
      <c r="J89" s="1072"/>
      <c r="K89" s="1340" t="s">
        <v>180</v>
      </c>
      <c r="L89" s="1072"/>
      <c r="M89" s="1072"/>
      <c r="N89" s="1072"/>
    </row>
    <row r="90" spans="2:14" ht="12.75">
      <c r="B90" s="1057" t="s">
        <v>330</v>
      </c>
      <c r="C90" s="1074"/>
      <c r="D90" s="1074"/>
      <c r="E90" s="1324"/>
      <c r="F90" s="1324"/>
      <c r="G90" s="1074"/>
      <c r="H90" s="1075"/>
      <c r="I90" s="1074"/>
      <c r="J90" s="1074"/>
      <c r="K90" s="1341" t="s">
        <v>180</v>
      </c>
      <c r="L90" s="1074"/>
      <c r="M90" s="1074"/>
      <c r="N90" s="1074"/>
    </row>
    <row r="91" spans="2:14" ht="12.75">
      <c r="B91" s="1062" t="s">
        <v>310</v>
      </c>
      <c r="C91" s="1061">
        <v>428287322000</v>
      </c>
      <c r="D91" s="1061">
        <v>419862101000</v>
      </c>
      <c r="E91" s="1324">
        <v>411658352000</v>
      </c>
      <c r="F91" s="1324">
        <v>378056186000</v>
      </c>
      <c r="G91" s="1061">
        <v>529567279000</v>
      </c>
      <c r="H91" s="1067">
        <v>949245134000</v>
      </c>
      <c r="I91" s="1061">
        <v>692871296000</v>
      </c>
      <c r="J91" s="1061">
        <v>906143994000</v>
      </c>
      <c r="K91" s="1346">
        <v>730412517000</v>
      </c>
      <c r="L91" s="1061"/>
      <c r="M91" s="1061"/>
      <c r="N91" s="1061"/>
    </row>
    <row r="92" spans="2:14" ht="12.75">
      <c r="B92" s="1064" t="s">
        <v>525</v>
      </c>
      <c r="C92" s="1060">
        <v>67981405000</v>
      </c>
      <c r="D92" s="1060">
        <v>56114977000</v>
      </c>
      <c r="E92" s="1060">
        <v>40593878000</v>
      </c>
      <c r="F92" s="1060">
        <v>38566724000</v>
      </c>
      <c r="G92" s="1060">
        <v>47763039000</v>
      </c>
      <c r="H92" s="1065">
        <v>367302080000</v>
      </c>
      <c r="I92" s="1060">
        <v>52997001000</v>
      </c>
      <c r="J92" s="1060">
        <v>110330460000</v>
      </c>
      <c r="K92" s="1352">
        <v>62418990000</v>
      </c>
      <c r="L92" s="1060"/>
      <c r="M92" s="1060"/>
      <c r="N92" s="1060"/>
    </row>
    <row r="93" spans="2:14" ht="12.75">
      <c r="B93" s="1064" t="s">
        <v>405</v>
      </c>
      <c r="C93" s="1060">
        <v>257519477000</v>
      </c>
      <c r="D93" s="1060">
        <v>238109847000</v>
      </c>
      <c r="E93" s="1060">
        <v>243700553000</v>
      </c>
      <c r="F93" s="1060">
        <v>230445809000</v>
      </c>
      <c r="G93" s="1060">
        <v>327409207000</v>
      </c>
      <c r="H93" s="1065">
        <v>384801630000</v>
      </c>
      <c r="I93" s="1060">
        <v>428911984000</v>
      </c>
      <c r="J93" s="1060">
        <v>457074643000</v>
      </c>
      <c r="K93" s="1352">
        <v>480396027000</v>
      </c>
      <c r="L93" s="1060"/>
      <c r="M93" s="1060"/>
      <c r="N93" s="1060"/>
    </row>
    <row r="94" spans="2:14" ht="12.75">
      <c r="B94" s="1064" t="s">
        <v>526</v>
      </c>
      <c r="C94" s="1060">
        <v>33961437000</v>
      </c>
      <c r="D94" s="1060">
        <v>45827859000</v>
      </c>
      <c r="E94" s="1060">
        <v>53637601000</v>
      </c>
      <c r="F94" s="1060">
        <v>39541968000</v>
      </c>
      <c r="G94" s="1060">
        <v>56103461000</v>
      </c>
      <c r="H94" s="1065">
        <v>90248067000</v>
      </c>
      <c r="I94" s="1060">
        <v>96045624000</v>
      </c>
      <c r="J94" s="1060">
        <v>94376420000</v>
      </c>
      <c r="K94" s="1352">
        <v>102102553000</v>
      </c>
      <c r="L94" s="1060"/>
      <c r="M94" s="1060"/>
      <c r="N94" s="1060"/>
    </row>
    <row r="95" spans="2:14" ht="12.75">
      <c r="B95" s="1064" t="s">
        <v>407</v>
      </c>
      <c r="C95" s="1060">
        <v>2676418000</v>
      </c>
      <c r="D95" s="1060">
        <v>3485613000</v>
      </c>
      <c r="E95" s="1060">
        <v>2068984000</v>
      </c>
      <c r="F95" s="1060">
        <v>1335337000</v>
      </c>
      <c r="G95" s="1060">
        <v>1528879000</v>
      </c>
      <c r="H95" s="1065">
        <v>1591644000</v>
      </c>
      <c r="I95" s="1060">
        <v>1314106000</v>
      </c>
      <c r="J95" s="1060">
        <v>1522426000</v>
      </c>
      <c r="K95" s="1352">
        <v>2433147000</v>
      </c>
      <c r="L95" s="1060"/>
      <c r="M95" s="1060"/>
      <c r="N95" s="1060"/>
    </row>
    <row r="96" spans="2:14" ht="12.75">
      <c r="B96" s="1064" t="s">
        <v>527</v>
      </c>
      <c r="C96" s="1060">
        <v>3184965000</v>
      </c>
      <c r="D96" s="1060">
        <v>9338612000</v>
      </c>
      <c r="E96" s="1060">
        <v>6762267000</v>
      </c>
      <c r="F96" s="1060">
        <v>8828599000</v>
      </c>
      <c r="G96" s="1060">
        <v>30512787000</v>
      </c>
      <c r="H96" s="1065">
        <v>14615447000</v>
      </c>
      <c r="I96" s="1060">
        <v>13411621000</v>
      </c>
      <c r="J96" s="1060">
        <v>28369276000</v>
      </c>
      <c r="K96" s="1352">
        <v>14207862000</v>
      </c>
      <c r="L96" s="1060"/>
      <c r="M96" s="1060"/>
      <c r="N96" s="1060"/>
    </row>
    <row r="97" spans="2:14" ht="12.75">
      <c r="B97" s="1064" t="s">
        <v>495</v>
      </c>
      <c r="C97" s="1060">
        <v>35955643000</v>
      </c>
      <c r="D97" s="1060">
        <v>33210979000</v>
      </c>
      <c r="E97" s="1060">
        <v>38392854000</v>
      </c>
      <c r="F97" s="1060">
        <v>31071019000</v>
      </c>
      <c r="G97" s="1060">
        <v>35012072000</v>
      </c>
      <c r="H97" s="1065">
        <v>48391806000</v>
      </c>
      <c r="I97" s="1060">
        <v>57817800000</v>
      </c>
      <c r="J97" s="1060">
        <v>72367187000</v>
      </c>
      <c r="K97" s="1352">
        <v>68363971000</v>
      </c>
      <c r="L97" s="1060"/>
      <c r="M97" s="1060"/>
      <c r="N97" s="1060"/>
    </row>
    <row r="98" spans="2:14" ht="12.75">
      <c r="B98" s="1064" t="s">
        <v>404</v>
      </c>
      <c r="C98" s="1060">
        <v>27007977000</v>
      </c>
      <c r="D98" s="1060">
        <v>33774214000</v>
      </c>
      <c r="E98" s="1060">
        <v>26502215000</v>
      </c>
      <c r="F98" s="1060">
        <v>28266730000</v>
      </c>
      <c r="G98" s="1060">
        <v>31237834000</v>
      </c>
      <c r="H98" s="1065">
        <v>42294460000</v>
      </c>
      <c r="I98" s="1060">
        <v>42373160000</v>
      </c>
      <c r="J98" s="1060">
        <v>142103582000</v>
      </c>
      <c r="K98" s="1352">
        <v>489967000</v>
      </c>
      <c r="L98" s="1060"/>
      <c r="M98" s="1060"/>
      <c r="N98" s="1060"/>
    </row>
    <row r="99" spans="2:14" ht="12.75">
      <c r="B99" s="1064"/>
      <c r="C99" s="1060"/>
      <c r="D99" s="1060"/>
      <c r="E99" s="1060"/>
      <c r="F99" s="1060"/>
      <c r="G99" s="1060"/>
      <c r="H99" s="1065"/>
      <c r="I99" s="1060"/>
      <c r="J99" s="1060"/>
      <c r="K99" s="1338"/>
      <c r="L99" s="1060"/>
      <c r="M99" s="1060"/>
      <c r="N99" s="1060"/>
    </row>
    <row r="100" spans="2:14" ht="12.75">
      <c r="B100" s="1064" t="s">
        <v>410</v>
      </c>
      <c r="C100" s="1060">
        <f t="shared" ref="C100:N100" si="44">+C91-C92-C98-C99-C97-C96-C95-C94-C93</f>
        <v>0</v>
      </c>
      <c r="D100" s="1060">
        <f t="shared" si="44"/>
        <v>0</v>
      </c>
      <c r="E100" s="1060">
        <f t="shared" si="44"/>
        <v>0</v>
      </c>
      <c r="F100" s="1060">
        <f t="shared" si="44"/>
        <v>0</v>
      </c>
      <c r="G100" s="1060">
        <f t="shared" si="44"/>
        <v>0</v>
      </c>
      <c r="H100" s="1060">
        <f t="shared" si="44"/>
        <v>0</v>
      </c>
      <c r="I100" s="1060">
        <f t="shared" si="44"/>
        <v>0</v>
      </c>
      <c r="J100" s="1060">
        <f t="shared" si="44"/>
        <v>0</v>
      </c>
      <c r="K100" s="925">
        <f>+K91-K92-K98-K99-K97-K96-K95-K94-K93</f>
        <v>0</v>
      </c>
      <c r="L100" s="1060">
        <f t="shared" si="44"/>
        <v>0</v>
      </c>
      <c r="M100" s="1060">
        <f t="shared" si="44"/>
        <v>0</v>
      </c>
      <c r="N100" s="1060">
        <f t="shared" si="44"/>
        <v>0</v>
      </c>
    </row>
    <row r="101" spans="2:14" ht="12.75">
      <c r="B101" s="1062" t="s">
        <v>319</v>
      </c>
      <c r="C101" s="1061">
        <v>873338796000</v>
      </c>
      <c r="D101" s="1061">
        <v>930927845000</v>
      </c>
      <c r="E101" s="1061">
        <v>1010386123000</v>
      </c>
      <c r="F101" s="1061">
        <v>1238447623000</v>
      </c>
      <c r="G101" s="1061">
        <v>1315125809000</v>
      </c>
      <c r="H101" s="1061">
        <v>1178052821000</v>
      </c>
      <c r="I101" s="1061">
        <v>1307664179000</v>
      </c>
      <c r="J101" s="1061">
        <v>1370563259000</v>
      </c>
      <c r="K101" s="927">
        <v>1493439053000</v>
      </c>
      <c r="L101" s="1061"/>
      <c r="M101" s="1061"/>
      <c r="N101" s="1061"/>
    </row>
    <row r="102" spans="2:14" ht="12.75">
      <c r="B102" s="1064" t="s">
        <v>525</v>
      </c>
      <c r="C102" s="1060">
        <v>675767201000</v>
      </c>
      <c r="D102" s="1060">
        <v>716563778000</v>
      </c>
      <c r="E102" s="1060">
        <v>743327057000</v>
      </c>
      <c r="F102" s="1060">
        <v>989829569000</v>
      </c>
      <c r="G102" s="1060">
        <v>1041048972000</v>
      </c>
      <c r="H102" s="1060">
        <v>904802058000</v>
      </c>
      <c r="I102" s="1060">
        <v>1044325833000</v>
      </c>
      <c r="J102" s="1060">
        <v>1066543247000</v>
      </c>
      <c r="K102" s="925">
        <v>1191795823000</v>
      </c>
      <c r="L102" s="1060"/>
      <c r="M102" s="1060"/>
      <c r="N102" s="1060"/>
    </row>
    <row r="103" spans="2:14" ht="12.75">
      <c r="B103" s="1064" t="s">
        <v>405</v>
      </c>
      <c r="C103" s="1060">
        <v>1132926000</v>
      </c>
      <c r="D103" s="1060">
        <v>735665000</v>
      </c>
      <c r="E103" s="1060">
        <v>619587000</v>
      </c>
      <c r="F103" s="1060">
        <v>295279000</v>
      </c>
      <c r="G103" s="1060">
        <v>256273000</v>
      </c>
      <c r="H103" s="1065">
        <v>3015284000</v>
      </c>
      <c r="I103" s="1060">
        <v>2392555000</v>
      </c>
      <c r="J103" s="1060">
        <v>2534836000</v>
      </c>
      <c r="K103" s="925">
        <v>685605000</v>
      </c>
      <c r="L103" s="1060"/>
      <c r="M103" s="1060"/>
      <c r="N103" s="1060"/>
    </row>
    <row r="104" spans="2:14" ht="12.75">
      <c r="B104" s="1064" t="s">
        <v>528</v>
      </c>
      <c r="C104" s="1060"/>
      <c r="D104" s="1060"/>
      <c r="E104" s="1060">
        <v>19777812000</v>
      </c>
      <c r="F104" s="1060">
        <v>10790089000</v>
      </c>
      <c r="G104" s="1060">
        <v>11557723000</v>
      </c>
      <c r="H104" s="1065">
        <v>10354296000</v>
      </c>
      <c r="I104" s="1060">
        <v>6007041000</v>
      </c>
      <c r="J104" s="1060">
        <v>380465000</v>
      </c>
      <c r="K104" s="925">
        <v>0</v>
      </c>
      <c r="L104" s="1060"/>
      <c r="M104" s="1060"/>
      <c r="N104" s="1060"/>
    </row>
    <row r="105" spans="2:14" ht="12.75">
      <c r="B105" s="1064" t="s">
        <v>407</v>
      </c>
      <c r="C105" s="1060">
        <v>62947748000</v>
      </c>
      <c r="D105" s="1060">
        <v>58966913000</v>
      </c>
      <c r="E105" s="1060">
        <v>67038566000</v>
      </c>
      <c r="F105" s="1060">
        <v>48734936000</v>
      </c>
      <c r="G105" s="1060">
        <v>55883527000</v>
      </c>
      <c r="H105" s="1065">
        <v>47103783000</v>
      </c>
      <c r="I105" s="1060">
        <v>53487790000</v>
      </c>
      <c r="J105" s="1060">
        <v>53723373000</v>
      </c>
      <c r="K105" s="925">
        <v>55378062000</v>
      </c>
      <c r="L105" s="1060"/>
      <c r="M105" s="1060"/>
      <c r="N105" s="1060"/>
    </row>
    <row r="106" spans="2:14" ht="12.75">
      <c r="B106" s="1064" t="s">
        <v>339</v>
      </c>
      <c r="C106" s="1060">
        <v>125204566000</v>
      </c>
      <c r="D106" s="1060">
        <v>145245948000</v>
      </c>
      <c r="E106" s="1060">
        <v>169449747000</v>
      </c>
      <c r="F106" s="1060">
        <v>153669547000</v>
      </c>
      <c r="G106" s="1060">
        <v>168454827000</v>
      </c>
      <c r="H106" s="1065">
        <v>165778556000</v>
      </c>
      <c r="I106" s="1060">
        <v>180470219000</v>
      </c>
      <c r="J106" s="1060">
        <v>224967885000</v>
      </c>
      <c r="K106" s="925">
        <v>218673311000</v>
      </c>
      <c r="L106" s="1060"/>
      <c r="M106" s="1060"/>
      <c r="N106" s="1060"/>
    </row>
    <row r="107" spans="2:14" ht="12.75">
      <c r="B107" s="1064" t="s">
        <v>529</v>
      </c>
      <c r="C107" s="1060">
        <v>8286355000</v>
      </c>
      <c r="D107" s="1060">
        <v>9415541000</v>
      </c>
      <c r="E107" s="1060">
        <v>10173354000</v>
      </c>
      <c r="F107" s="1060">
        <v>13635558000</v>
      </c>
      <c r="G107" s="1060">
        <v>14139670000</v>
      </c>
      <c r="H107" s="1065">
        <v>17409793000</v>
      </c>
      <c r="I107" s="1060">
        <v>18473946000</v>
      </c>
      <c r="J107" s="1060">
        <v>20160468000</v>
      </c>
      <c r="K107" s="925">
        <v>23123294000</v>
      </c>
      <c r="L107" s="1060"/>
      <c r="M107" s="1060"/>
      <c r="N107" s="1060"/>
    </row>
    <row r="108" spans="2:14" ht="12.75">
      <c r="B108" s="1064" t="s">
        <v>530</v>
      </c>
      <c r="C108" s="1060"/>
      <c r="D108" s="1060"/>
      <c r="E108" s="1060"/>
      <c r="F108" s="1060">
        <v>21472048000</v>
      </c>
      <c r="G108" s="1060">
        <v>23784817000</v>
      </c>
      <c r="H108" s="1065">
        <v>29589051000</v>
      </c>
      <c r="I108" s="1060">
        <v>2506795000</v>
      </c>
      <c r="J108" s="1060">
        <v>2252985000</v>
      </c>
      <c r="K108" s="925">
        <v>3782958000</v>
      </c>
      <c r="L108" s="1060"/>
      <c r="M108" s="1060"/>
      <c r="N108" s="1060"/>
    </row>
    <row r="109" spans="2:14" ht="12.75">
      <c r="B109" s="1064" t="s">
        <v>531</v>
      </c>
      <c r="C109" s="1060">
        <f t="shared" ref="C109:F109" si="45">+C101-C102-C103-C104-C105-C106-C107-C108</f>
        <v>0</v>
      </c>
      <c r="D109" s="1060">
        <f t="shared" si="45"/>
        <v>0</v>
      </c>
      <c r="E109" s="1060">
        <f t="shared" si="45"/>
        <v>0</v>
      </c>
      <c r="F109" s="1060">
        <f t="shared" si="45"/>
        <v>20597000</v>
      </c>
      <c r="G109" s="1060">
        <f>+G101-G102-G103-G104-G105-G106-G107-G108</f>
        <v>0</v>
      </c>
      <c r="H109" s="1060">
        <f>+H101-H102-H103-H104-H105-H106-H107-H108</f>
        <v>0</v>
      </c>
      <c r="I109" s="1060">
        <f t="shared" ref="I109:N109" si="46">+I101-I102-I103-I104-I105-I106-I107-I108</f>
        <v>0</v>
      </c>
      <c r="J109" s="1060">
        <f t="shared" si="46"/>
        <v>0</v>
      </c>
      <c r="K109" s="925">
        <f>+K101-K102-K103-K104-K105-K106-K107-K108</f>
        <v>0</v>
      </c>
      <c r="L109" s="1060">
        <f t="shared" si="46"/>
        <v>0</v>
      </c>
      <c r="M109" s="1060">
        <f t="shared" si="46"/>
        <v>0</v>
      </c>
      <c r="N109" s="1060">
        <f t="shared" si="46"/>
        <v>0</v>
      </c>
    </row>
    <row r="110" spans="2:14" ht="12.75">
      <c r="B110" s="1068" t="s">
        <v>342</v>
      </c>
      <c r="C110" s="1069">
        <f t="shared" ref="C110:N110" si="47">+C101+C91</f>
        <v>1301626118000</v>
      </c>
      <c r="D110" s="1069">
        <f t="shared" si="47"/>
        <v>1350789946000</v>
      </c>
      <c r="E110" s="1069">
        <f t="shared" si="47"/>
        <v>1422044475000</v>
      </c>
      <c r="F110" s="1069">
        <f t="shared" si="47"/>
        <v>1616503809000</v>
      </c>
      <c r="G110" s="1069">
        <f t="shared" si="47"/>
        <v>1844693088000</v>
      </c>
      <c r="H110" s="1070">
        <f t="shared" si="47"/>
        <v>2127297955000</v>
      </c>
      <c r="I110" s="1070">
        <f t="shared" si="47"/>
        <v>2000535475000</v>
      </c>
      <c r="J110" s="1070">
        <f t="shared" si="47"/>
        <v>2276707253000</v>
      </c>
      <c r="K110" s="934">
        <f>+K101+K91</f>
        <v>2223851570000</v>
      </c>
      <c r="L110" s="1070">
        <f t="shared" si="47"/>
        <v>0</v>
      </c>
      <c r="M110" s="1070">
        <f t="shared" si="47"/>
        <v>0</v>
      </c>
      <c r="N110" s="1070">
        <f t="shared" si="47"/>
        <v>0</v>
      </c>
    </row>
    <row r="111" spans="2:14" ht="12.75">
      <c r="B111" s="1071"/>
      <c r="C111" s="1071"/>
      <c r="D111" s="1071"/>
      <c r="E111" s="1071"/>
      <c r="F111" s="1071"/>
      <c r="G111" s="1071"/>
      <c r="H111" s="1071"/>
      <c r="I111" s="1071"/>
      <c r="J111" s="1071"/>
      <c r="K111" s="1340" t="s">
        <v>180</v>
      </c>
      <c r="L111" s="1071"/>
      <c r="M111" s="1071"/>
      <c r="N111" s="1071"/>
    </row>
    <row r="112" spans="2:14" ht="12.75">
      <c r="B112" s="1057" t="s">
        <v>343</v>
      </c>
      <c r="C112" s="1074"/>
      <c r="D112" s="1074"/>
      <c r="E112" s="1074"/>
      <c r="F112" s="1074"/>
      <c r="G112" s="1074"/>
      <c r="H112" s="1075"/>
      <c r="I112" s="1074"/>
      <c r="J112" s="1074"/>
      <c r="K112" s="1341" t="s">
        <v>180</v>
      </c>
      <c r="L112" s="1074"/>
      <c r="M112" s="1074"/>
      <c r="N112" s="1074"/>
    </row>
    <row r="113" spans="2:14" ht="12.75">
      <c r="B113" s="1064" t="s">
        <v>532</v>
      </c>
      <c r="C113" s="1065">
        <v>270737574000</v>
      </c>
      <c r="D113" s="1065">
        <v>270737574000</v>
      </c>
      <c r="E113" s="1065">
        <v>270737574000</v>
      </c>
      <c r="F113" s="1065">
        <v>270737574000</v>
      </c>
      <c r="G113" s="1065">
        <v>270737574000</v>
      </c>
      <c r="H113" s="1065">
        <v>270737574000</v>
      </c>
      <c r="I113" s="1065">
        <v>270737574000</v>
      </c>
      <c r="J113" s="1065">
        <v>270737574000</v>
      </c>
      <c r="K113" s="1352">
        <v>270737574000</v>
      </c>
      <c r="L113" s="1065"/>
      <c r="M113" s="1065"/>
      <c r="N113" s="1065"/>
    </row>
    <row r="114" spans="2:14" ht="12.75">
      <c r="B114" s="1064" t="s">
        <v>533</v>
      </c>
      <c r="C114" s="1060">
        <v>335523254000</v>
      </c>
      <c r="D114" s="1060">
        <v>462221463000</v>
      </c>
      <c r="E114" s="1060">
        <v>600918265000</v>
      </c>
      <c r="F114" s="1060">
        <v>654171126000</v>
      </c>
      <c r="G114" s="1060">
        <v>768116920000</v>
      </c>
      <c r="H114" s="1065">
        <v>716975127000</v>
      </c>
      <c r="I114" s="1060">
        <v>769311795000</v>
      </c>
      <c r="J114" s="1060">
        <v>891746153000</v>
      </c>
      <c r="K114" s="1352">
        <v>1169458993000</v>
      </c>
      <c r="L114" s="1060"/>
      <c r="M114" s="1060"/>
      <c r="N114" s="1060"/>
    </row>
    <row r="115" spans="2:14" ht="12.75">
      <c r="B115" s="1064" t="s">
        <v>345</v>
      </c>
      <c r="C115" s="1060">
        <v>185049228000</v>
      </c>
      <c r="D115" s="1060">
        <v>110854089000</v>
      </c>
      <c r="E115" s="1060">
        <v>76993851000</v>
      </c>
      <c r="F115" s="1060">
        <v>-113727586000</v>
      </c>
      <c r="G115" s="1060">
        <v>37289310000</v>
      </c>
      <c r="H115" s="1065">
        <v>-132452557000</v>
      </c>
      <c r="I115" s="1060">
        <v>-153758842000</v>
      </c>
      <c r="J115" s="1060">
        <v>-186074535000</v>
      </c>
      <c r="K115" s="1347">
        <v>-282797770000</v>
      </c>
      <c r="L115" s="1060"/>
      <c r="M115" s="1060"/>
      <c r="N115" s="1060"/>
    </row>
    <row r="116" spans="2:14" ht="12.75">
      <c r="B116" s="1064" t="s">
        <v>419</v>
      </c>
      <c r="C116" s="1060">
        <v>21923293000</v>
      </c>
      <c r="D116" s="1060">
        <v>19901617000</v>
      </c>
      <c r="E116" s="1060"/>
      <c r="F116" s="1060"/>
      <c r="G116" s="1060">
        <v>25269755000</v>
      </c>
      <c r="H116" s="1065">
        <v>28142508000</v>
      </c>
      <c r="I116" s="1060">
        <v>34694887000</v>
      </c>
      <c r="J116" s="1060">
        <v>37987828000</v>
      </c>
      <c r="K116" s="1352">
        <v>39155051000</v>
      </c>
      <c r="L116" s="1060"/>
      <c r="M116" s="1060"/>
      <c r="N116" s="1060"/>
    </row>
    <row r="117" spans="2:14" ht="12.75">
      <c r="B117" s="1068" t="s">
        <v>347</v>
      </c>
      <c r="C117" s="1069">
        <f t="shared" ref="C117:F117" si="48">+C113+C115+C114</f>
        <v>791310056000</v>
      </c>
      <c r="D117" s="1069">
        <f t="shared" si="48"/>
        <v>843813126000</v>
      </c>
      <c r="E117" s="1069">
        <f t="shared" si="48"/>
        <v>948649690000</v>
      </c>
      <c r="F117" s="1069">
        <f t="shared" si="48"/>
        <v>811181114000</v>
      </c>
      <c r="G117" s="1069">
        <f>+G113+G115+G114</f>
        <v>1076143804000</v>
      </c>
      <c r="H117" s="1069">
        <f>+H113+H115+H114</f>
        <v>855260144000</v>
      </c>
      <c r="I117" s="1069">
        <f>+I113+I115+I114</f>
        <v>886290527000</v>
      </c>
      <c r="J117" s="1069">
        <v>976409192000</v>
      </c>
      <c r="K117" s="1353">
        <v>1157398797000</v>
      </c>
      <c r="L117" s="1069"/>
      <c r="M117" s="1069"/>
      <c r="N117" s="1069"/>
    </row>
    <row r="118" spans="2:14" ht="15" customHeight="1">
      <c r="K118" s="1342"/>
    </row>
    <row r="119" spans="2:14" ht="12.75">
      <c r="B119" s="1056" t="s">
        <v>348</v>
      </c>
      <c r="K119" s="1342"/>
    </row>
    <row r="120" spans="2:14" ht="12.75">
      <c r="B120" s="1076" t="s">
        <v>308</v>
      </c>
      <c r="C120" s="1077">
        <v>2017</v>
      </c>
      <c r="D120" s="1077">
        <v>2018</v>
      </c>
      <c r="E120" s="1077">
        <v>2019</v>
      </c>
      <c r="F120" s="1077">
        <v>2020</v>
      </c>
      <c r="G120" s="1077">
        <v>2021</v>
      </c>
      <c r="H120" s="1077">
        <v>2022</v>
      </c>
      <c r="I120" s="1077">
        <v>2023</v>
      </c>
      <c r="J120" s="1077">
        <v>2024</v>
      </c>
      <c r="K120" s="1343">
        <v>2025</v>
      </c>
      <c r="L120" s="1077">
        <v>2026</v>
      </c>
      <c r="M120" s="1077">
        <v>2027</v>
      </c>
      <c r="N120" s="1077">
        <v>2028</v>
      </c>
    </row>
    <row r="121" spans="2:14" ht="12.75">
      <c r="B121" s="1078" t="s">
        <v>349</v>
      </c>
      <c r="C121" s="1079">
        <v>1848878619000</v>
      </c>
      <c r="D121" s="1079">
        <v>1672915799000</v>
      </c>
      <c r="E121" s="1079">
        <v>1779025115000</v>
      </c>
      <c r="F121" s="1079">
        <v>1698281237000</v>
      </c>
      <c r="G121" s="1079">
        <v>2216732593000</v>
      </c>
      <c r="H121" s="1079">
        <v>2656878395000</v>
      </c>
      <c r="I121" s="1079">
        <v>2618437052000</v>
      </c>
      <c r="J121" s="1079">
        <v>3224233005000</v>
      </c>
      <c r="K121" s="1346">
        <v>3344835851000</v>
      </c>
      <c r="L121" s="1079"/>
      <c r="M121" s="1079"/>
      <c r="N121" s="1079"/>
    </row>
    <row r="122" spans="2:14" ht="12.75">
      <c r="B122" s="1080" t="s">
        <v>534</v>
      </c>
      <c r="C122" s="1060">
        <v>-1069024964000</v>
      </c>
      <c r="D122" s="1060">
        <v>-968027774000</v>
      </c>
      <c r="E122" s="1060">
        <v>-1048343767000</v>
      </c>
      <c r="F122" s="1060">
        <v>-1022498659000</v>
      </c>
      <c r="G122" s="1060">
        <v>-1375392773000</v>
      </c>
      <c r="H122" s="1060">
        <v>-1628701823000</v>
      </c>
      <c r="I122" s="1060">
        <v>-1601997255000</v>
      </c>
      <c r="J122" s="1060">
        <v>-1945363408000</v>
      </c>
      <c r="K122" s="1347">
        <v>-2037679124000</v>
      </c>
      <c r="L122" s="1060"/>
      <c r="M122" s="1060"/>
      <c r="N122" s="1060"/>
    </row>
    <row r="123" spans="2:14" ht="12.75">
      <c r="B123" s="1082" t="s">
        <v>422</v>
      </c>
      <c r="C123" s="1061">
        <f t="shared" ref="C123:F123" si="49">+C121+C122</f>
        <v>779853655000</v>
      </c>
      <c r="D123" s="1061">
        <f>+D121+D122</f>
        <v>704888025000</v>
      </c>
      <c r="E123" s="1061">
        <f t="shared" si="49"/>
        <v>730681348000</v>
      </c>
      <c r="F123" s="1061">
        <f t="shared" si="49"/>
        <v>675782578000</v>
      </c>
      <c r="G123" s="1061">
        <f>+G121+G122</f>
        <v>841339820000</v>
      </c>
      <c r="H123" s="1061">
        <f t="shared" ref="H123:I123" si="50">+H121+H122</f>
        <v>1028176572000</v>
      </c>
      <c r="I123" s="1061">
        <f t="shared" si="50"/>
        <v>1016439797000</v>
      </c>
      <c r="J123" s="1061">
        <v>1278869597000</v>
      </c>
      <c r="K123" s="1346">
        <v>1307156727000</v>
      </c>
      <c r="L123" s="1061"/>
      <c r="M123" s="1061"/>
      <c r="N123" s="1061"/>
    </row>
    <row r="124" spans="2:14" ht="12.75">
      <c r="B124" s="1080" t="s">
        <v>535</v>
      </c>
      <c r="C124" s="1060">
        <v>550834000</v>
      </c>
      <c r="D124" s="1060">
        <v>2609168000</v>
      </c>
      <c r="E124" s="1060">
        <v>40947158000</v>
      </c>
      <c r="F124" s="1060">
        <v>8356298000</v>
      </c>
      <c r="G124" s="1060">
        <v>1337878000</v>
      </c>
      <c r="H124" s="1060">
        <v>2497520000</v>
      </c>
      <c r="I124" s="1060">
        <v>1310489000</v>
      </c>
      <c r="J124" s="1060">
        <v>21479861000</v>
      </c>
      <c r="K124" s="1352">
        <v>13382457000</v>
      </c>
      <c r="L124" s="1060"/>
      <c r="M124" s="1060"/>
      <c r="N124" s="1060"/>
    </row>
    <row r="125" spans="2:14" ht="12.75">
      <c r="B125" s="1080" t="s">
        <v>536</v>
      </c>
      <c r="C125" s="1060">
        <v>-192927875000</v>
      </c>
      <c r="D125" s="1060">
        <v>-165775484000</v>
      </c>
      <c r="E125" s="1060">
        <v>-166996289000</v>
      </c>
      <c r="F125" s="1060">
        <v>-152532018000</v>
      </c>
      <c r="G125" s="1060">
        <v>-199952373000</v>
      </c>
      <c r="H125" s="1060">
        <v>-253514676000</v>
      </c>
      <c r="I125" s="1060">
        <v>-227807179000</v>
      </c>
      <c r="J125" s="1060">
        <v>-289987008000</v>
      </c>
      <c r="K125" s="1347">
        <v>-296664592000</v>
      </c>
      <c r="L125" s="1060"/>
      <c r="M125" s="1060"/>
      <c r="N125" s="1060"/>
    </row>
    <row r="126" spans="2:14" ht="12.75">
      <c r="B126" s="1080" t="s">
        <v>537</v>
      </c>
      <c r="C126" s="1060">
        <v>-348199321000</v>
      </c>
      <c r="D126" s="1060">
        <v>-313742853000</v>
      </c>
      <c r="E126" s="1060">
        <v>-325903809000</v>
      </c>
      <c r="F126" s="1060">
        <v>-283638935000</v>
      </c>
      <c r="G126" s="1060">
        <v>-348949863000</v>
      </c>
      <c r="H126" s="1060">
        <v>-429517716000</v>
      </c>
      <c r="I126" s="1060">
        <v>-431295515000</v>
      </c>
      <c r="J126" s="1060">
        <v>-561801213000</v>
      </c>
      <c r="K126" s="1347">
        <v>-555125622000</v>
      </c>
      <c r="L126" s="1060"/>
      <c r="M126" s="1060"/>
      <c r="N126" s="1060"/>
    </row>
    <row r="127" spans="2:14" ht="12.75">
      <c r="B127" s="1080" t="s">
        <v>510</v>
      </c>
      <c r="C127" s="1060">
        <v>-16701471000</v>
      </c>
      <c r="D127" s="1060">
        <v>-16057763000</v>
      </c>
      <c r="E127" s="1060">
        <v>-26182847000</v>
      </c>
      <c r="F127" s="1060">
        <v>-17430256000</v>
      </c>
      <c r="G127" s="1060">
        <v>-15221790000</v>
      </c>
      <c r="H127" s="1060">
        <v>-886331000</v>
      </c>
      <c r="I127" s="1060">
        <v>-26441583000</v>
      </c>
      <c r="J127" s="1060">
        <v>-36650029000</v>
      </c>
      <c r="K127" s="1347">
        <v>-30114433000</v>
      </c>
      <c r="L127" s="1060"/>
      <c r="M127" s="1060"/>
      <c r="N127" s="1060"/>
    </row>
    <row r="128" spans="2:14" ht="12.75">
      <c r="B128" s="1080" t="s">
        <v>427</v>
      </c>
      <c r="C128" s="1060">
        <v>-2537269000</v>
      </c>
      <c r="D128" s="1060">
        <v>-2707859000</v>
      </c>
      <c r="E128" s="1060">
        <v>2876000</v>
      </c>
      <c r="F128" s="1060">
        <v>287000</v>
      </c>
      <c r="G128" s="1060">
        <v>0</v>
      </c>
      <c r="H128" s="1060">
        <v>-24983899000</v>
      </c>
      <c r="I128" s="1060">
        <v>-15909117000</v>
      </c>
      <c r="J128" s="1060"/>
      <c r="K128" s="925">
        <v>-1817033000</v>
      </c>
      <c r="L128" s="1060"/>
      <c r="M128" s="1060"/>
      <c r="N128" s="1060"/>
    </row>
    <row r="129" spans="2:14" ht="12.75">
      <c r="B129" s="1082" t="s">
        <v>542</v>
      </c>
      <c r="C129" s="1061">
        <f t="shared" ref="C129:F129" si="51">+C123+C128+C124+C125+C126+C127</f>
        <v>220038553000</v>
      </c>
      <c r="D129" s="1061">
        <f t="shared" si="51"/>
        <v>209213234000</v>
      </c>
      <c r="E129" s="1061">
        <f t="shared" si="51"/>
        <v>252548437000</v>
      </c>
      <c r="F129" s="1061">
        <f t="shared" si="51"/>
        <v>230537954000</v>
      </c>
      <c r="G129" s="1061">
        <f>+G123+G128+G124+G125+G126+G127</f>
        <v>278553672000</v>
      </c>
      <c r="H129" s="1061">
        <f>+H123+H128+H124+H125+H126+H127</f>
        <v>321771470000</v>
      </c>
      <c r="I129" s="1061">
        <f>+I123+I128+I124+I125+I126+I127</f>
        <v>316296892000</v>
      </c>
      <c r="J129" s="1061">
        <f>+J123+J128+J124+J125+J126+J127</f>
        <v>411911208000</v>
      </c>
      <c r="K129" s="927">
        <f>+K123+K128+K124+K125+K126+K127</f>
        <v>436817504000</v>
      </c>
      <c r="L129" s="1061"/>
      <c r="M129" s="1061"/>
      <c r="N129" s="1061"/>
    </row>
    <row r="130" spans="2:14" ht="12.75">
      <c r="B130" s="1080" t="s">
        <v>429</v>
      </c>
      <c r="C130" s="1060">
        <v>11194375000</v>
      </c>
      <c r="D130" s="1060">
        <v>3940244000</v>
      </c>
      <c r="E130" s="1060">
        <v>45155791000</v>
      </c>
      <c r="F130" s="1060">
        <v>14945879000</v>
      </c>
      <c r="G130" s="1081">
        <v>7791869000</v>
      </c>
      <c r="H130" s="1081">
        <v>39722410000</v>
      </c>
      <c r="I130" s="1081">
        <v>31396167000</v>
      </c>
      <c r="J130" s="1081">
        <v>28959918000</v>
      </c>
      <c r="K130" s="1345">
        <v>18439612000</v>
      </c>
      <c r="L130" s="1081"/>
      <c r="M130" s="1081"/>
      <c r="N130" s="1081"/>
    </row>
    <row r="131" spans="2:14" ht="12.75">
      <c r="B131" s="1080" t="s">
        <v>430</v>
      </c>
      <c r="C131" s="1060">
        <v>-55220369000</v>
      </c>
      <c r="D131" s="1060">
        <v>-55014660000</v>
      </c>
      <c r="E131" s="1060">
        <v>-46209020000</v>
      </c>
      <c r="F131" s="1060">
        <v>-54772837000</v>
      </c>
      <c r="G131" s="1081">
        <v>-52992456000</v>
      </c>
      <c r="H131" s="1081">
        <v>-59547953000</v>
      </c>
      <c r="I131" s="1081">
        <v>-65288352000</v>
      </c>
      <c r="J131" s="1081">
        <v>-70413883000</v>
      </c>
      <c r="K131" s="1351">
        <v>-68218413000</v>
      </c>
      <c r="L131" s="1081"/>
      <c r="M131" s="1081"/>
      <c r="N131" s="1081"/>
    </row>
    <row r="132" spans="2:14" ht="12.75">
      <c r="B132" s="1080" t="s">
        <v>431</v>
      </c>
      <c r="C132" s="1060">
        <v>-80360000</v>
      </c>
      <c r="D132" s="1060">
        <v>1411179000</v>
      </c>
      <c r="E132" s="1060">
        <v>-3415083000</v>
      </c>
      <c r="F132" s="1060">
        <v>2228763000</v>
      </c>
      <c r="G132" s="1081">
        <v>3093102000</v>
      </c>
      <c r="H132" s="1081">
        <v>1409069000</v>
      </c>
      <c r="I132" s="1081">
        <v>2716169000</v>
      </c>
      <c r="J132" s="1081">
        <v>997644000</v>
      </c>
      <c r="K132" s="1345">
        <v>2913896000</v>
      </c>
      <c r="L132" s="1081"/>
      <c r="M132" s="1081"/>
      <c r="N132" s="1081"/>
    </row>
    <row r="133" spans="2:14" ht="12.75">
      <c r="B133" s="1080" t="s">
        <v>432</v>
      </c>
      <c r="C133" s="1060">
        <v>-1370910000</v>
      </c>
      <c r="D133" s="1060">
        <v>-1449256000</v>
      </c>
      <c r="E133" s="1060">
        <v>-4130543000</v>
      </c>
      <c r="F133" s="1060">
        <v>-3088278000</v>
      </c>
      <c r="G133" s="1081">
        <v>-5508311000</v>
      </c>
      <c r="H133" s="1081">
        <v>-11607728000</v>
      </c>
      <c r="I133" s="1081">
        <v>-17216130000</v>
      </c>
      <c r="J133" s="1081">
        <v>-7406704000</v>
      </c>
      <c r="K133" s="1345">
        <v>-3424890000</v>
      </c>
      <c r="L133" s="1081"/>
      <c r="M133" s="1081"/>
      <c r="N133" s="1081"/>
    </row>
    <row r="134" spans="2:14" ht="12.75">
      <c r="B134" s="1080" t="s">
        <v>433</v>
      </c>
      <c r="C134" s="1060">
        <v>-3762930000</v>
      </c>
      <c r="D134" s="1060">
        <v>-5085140000</v>
      </c>
      <c r="E134" s="1060">
        <v>-7536466000</v>
      </c>
      <c r="F134" s="1060">
        <v>-11828762000</v>
      </c>
      <c r="G134" s="1081">
        <v>-27738888000</v>
      </c>
      <c r="H134" s="1081">
        <v>-58943643000</v>
      </c>
      <c r="I134" s="1081">
        <v>-7398952000</v>
      </c>
      <c r="J134" s="1081">
        <v>3988588000</v>
      </c>
      <c r="K134" s="1351">
        <v>-5893367000</v>
      </c>
      <c r="L134" s="1081"/>
      <c r="M134" s="1081"/>
      <c r="N134" s="1081"/>
    </row>
    <row r="135" spans="2:14" ht="12.75">
      <c r="B135" s="1082" t="s">
        <v>362</v>
      </c>
      <c r="C135" s="1061">
        <f t="shared" ref="C135:E135" si="52">+C129+C130+C131+C132+C133+C134</f>
        <v>170798359000</v>
      </c>
      <c r="D135" s="1061">
        <f t="shared" si="52"/>
        <v>153015601000</v>
      </c>
      <c r="E135" s="1061">
        <f t="shared" si="52"/>
        <v>236413116000</v>
      </c>
      <c r="F135" s="1061">
        <f>+F129+F130+F131+F132+F133+F134</f>
        <v>178022719000</v>
      </c>
      <c r="G135" s="1061">
        <f t="shared" ref="G135:J135" si="53">+G129+G130+G131+G132+G133+G134</f>
        <v>203198988000</v>
      </c>
      <c r="H135" s="1061">
        <f t="shared" si="53"/>
        <v>232803625000</v>
      </c>
      <c r="I135" s="1061">
        <f t="shared" si="53"/>
        <v>260505794000</v>
      </c>
      <c r="J135" s="1061">
        <f t="shared" si="53"/>
        <v>368036771000</v>
      </c>
      <c r="K135" s="927">
        <f>+K129+K130+K131+K132+K133+K134</f>
        <v>380634342000</v>
      </c>
      <c r="L135" s="1061"/>
      <c r="M135" s="1061"/>
      <c r="N135" s="1061"/>
    </row>
    <row r="136" spans="2:14" ht="12.75">
      <c r="B136" s="1080" t="s">
        <v>363</v>
      </c>
      <c r="C136" s="1060">
        <v>-51797634000</v>
      </c>
      <c r="D136" s="1060">
        <v>-55564855000</v>
      </c>
      <c r="E136" s="1060">
        <v>-61166891000</v>
      </c>
      <c r="F136" s="1060">
        <v>-54905399000</v>
      </c>
      <c r="G136" s="1083">
        <v>-46177320000</v>
      </c>
      <c r="H136" s="1083">
        <v>-104344638000</v>
      </c>
      <c r="I136" s="1083">
        <v>-85994307000</v>
      </c>
      <c r="J136" s="1083">
        <v>-133392646000</v>
      </c>
      <c r="K136" s="1347">
        <v>-110156927000</v>
      </c>
      <c r="L136" s="1083"/>
      <c r="M136" s="1083"/>
      <c r="N136" s="1083"/>
    </row>
    <row r="137" spans="2:14" ht="12.75">
      <c r="B137" s="1084" t="s">
        <v>365</v>
      </c>
      <c r="C137" s="1085">
        <f t="shared" ref="C137:G137" si="54">+C135+C136</f>
        <v>119000725000</v>
      </c>
      <c r="D137" s="1085">
        <f t="shared" si="54"/>
        <v>97450746000</v>
      </c>
      <c r="E137" s="1085">
        <f t="shared" si="54"/>
        <v>175246225000</v>
      </c>
      <c r="F137" s="1085">
        <f t="shared" si="54"/>
        <v>123117320000</v>
      </c>
      <c r="G137" s="1085">
        <f t="shared" si="54"/>
        <v>157021668000</v>
      </c>
      <c r="H137" s="1085">
        <f>+H135+H136</f>
        <v>128458987000</v>
      </c>
      <c r="I137" s="1085">
        <f>+I135+I136</f>
        <v>174511487000</v>
      </c>
      <c r="J137" s="1085">
        <v>234644125000</v>
      </c>
      <c r="K137" s="1350">
        <v>270477415000</v>
      </c>
      <c r="L137" s="1085"/>
      <c r="M137" s="1085"/>
      <c r="N137" s="1085"/>
    </row>
    <row r="138" spans="2:14" ht="27">
      <c r="B138" s="1086" t="s">
        <v>435</v>
      </c>
      <c r="C138" s="1060">
        <v>1164935000</v>
      </c>
      <c r="D138" s="1060">
        <v>847375000</v>
      </c>
      <c r="E138" s="1060">
        <v>1524297000</v>
      </c>
      <c r="F138" s="1060">
        <v>1117515000</v>
      </c>
      <c r="G138" s="1083">
        <v>2333518000</v>
      </c>
      <c r="H138" s="1083">
        <v>2961345000</v>
      </c>
      <c r="I138" s="1083">
        <v>3070077000</v>
      </c>
      <c r="J138" s="1083">
        <v>1981241000</v>
      </c>
      <c r="K138" s="1349">
        <v>1780479000</v>
      </c>
      <c r="L138" s="1083"/>
      <c r="M138" s="1083"/>
      <c r="N138" s="1083"/>
    </row>
    <row r="139" spans="2:14" ht="12.75">
      <c r="B139" s="1084" t="s">
        <v>543</v>
      </c>
      <c r="C139" s="1325">
        <v>130.41999999999999</v>
      </c>
      <c r="D139" s="1325">
        <v>106.92</v>
      </c>
      <c r="E139" s="1325">
        <v>192.27</v>
      </c>
      <c r="F139" s="1325">
        <v>135.02000000000001</v>
      </c>
      <c r="G139" s="1325">
        <v>171.21</v>
      </c>
      <c r="H139" s="1325">
        <v>138.88999999999999</v>
      </c>
      <c r="I139" s="1325">
        <v>189.74</v>
      </c>
      <c r="J139" s="1325">
        <v>257.5</v>
      </c>
      <c r="K139" s="1339">
        <v>297.38</v>
      </c>
      <c r="L139" s="1325"/>
      <c r="M139" s="1325"/>
      <c r="N139" s="1325"/>
    </row>
    <row r="140" spans="2:14" ht="15" customHeight="1">
      <c r="K140" s="1342"/>
    </row>
    <row r="141" spans="2:14" ht="12.75">
      <c r="B141" s="1056" t="s">
        <v>367</v>
      </c>
      <c r="K141" s="1342"/>
    </row>
    <row r="142" spans="2:14" ht="12.75">
      <c r="B142" s="1076" t="s">
        <v>308</v>
      </c>
      <c r="C142" s="1077">
        <v>2017</v>
      </c>
      <c r="D142" s="1077">
        <v>2018</v>
      </c>
      <c r="E142" s="1077">
        <v>2019</v>
      </c>
      <c r="F142" s="1077">
        <v>2020</v>
      </c>
      <c r="G142" s="1077">
        <v>2021</v>
      </c>
      <c r="H142" s="1077">
        <v>2022</v>
      </c>
      <c r="I142" s="1077">
        <v>2023</v>
      </c>
      <c r="J142" s="1077">
        <v>2024</v>
      </c>
      <c r="K142" s="1343">
        <v>2025</v>
      </c>
      <c r="L142" s="1077">
        <v>2026</v>
      </c>
      <c r="M142" s="1077">
        <v>2027</v>
      </c>
      <c r="N142" s="1077">
        <v>2028</v>
      </c>
    </row>
    <row r="143" spans="2:14" ht="12.75">
      <c r="B143" s="1078" t="s">
        <v>368</v>
      </c>
      <c r="C143" s="1079">
        <v>247960348000</v>
      </c>
      <c r="D143" s="1079">
        <v>235279362000</v>
      </c>
      <c r="E143" s="1079">
        <v>255148474000</v>
      </c>
      <c r="F143" s="1079">
        <v>278768998000</v>
      </c>
      <c r="G143" s="1079">
        <v>305054983000</v>
      </c>
      <c r="H143" s="1079">
        <v>397452424000</v>
      </c>
      <c r="I143" s="1079">
        <v>366830236000</v>
      </c>
      <c r="J143" s="1079">
        <v>357241911000</v>
      </c>
      <c r="K143" s="1346">
        <v>461127402000</v>
      </c>
      <c r="L143" s="1079"/>
      <c r="M143" s="1079"/>
      <c r="N143" s="1079"/>
    </row>
    <row r="144" spans="2:14" ht="12.75">
      <c r="B144" s="1082" t="s">
        <v>369</v>
      </c>
      <c r="C144" s="1083">
        <v>-168831410000</v>
      </c>
      <c r="D144" s="1088">
        <v>-118085648000</v>
      </c>
      <c r="E144" s="1088">
        <v>-110048000000</v>
      </c>
      <c r="F144" s="1060">
        <v>-223878758000</v>
      </c>
      <c r="G144" s="1088">
        <v>-198252680000</v>
      </c>
      <c r="H144" s="1060">
        <v>-85168471000</v>
      </c>
      <c r="I144" s="1060">
        <v>-158288878000</v>
      </c>
      <c r="J144" s="1060">
        <v>-289852631000</v>
      </c>
      <c r="K144" s="1347">
        <v>-248575357000</v>
      </c>
      <c r="L144" s="1060"/>
      <c r="M144" s="1060"/>
      <c r="N144" s="1060"/>
    </row>
    <row r="145" spans="2:14" ht="12.75">
      <c r="B145" s="1080" t="s">
        <v>370</v>
      </c>
      <c r="C145" s="1088">
        <v>-168857680000</v>
      </c>
      <c r="D145" s="1088">
        <v>-121063273000</v>
      </c>
      <c r="E145" s="1088">
        <v>-110683258000</v>
      </c>
      <c r="F145" s="1088">
        <v>-85874958000</v>
      </c>
      <c r="G145" s="1088">
        <v>-138856157000</v>
      </c>
      <c r="H145" s="1088">
        <v>-186702179000</v>
      </c>
      <c r="I145" s="1088">
        <v>-192707498000</v>
      </c>
      <c r="J145" s="1088">
        <v>-291541611000</v>
      </c>
      <c r="K145" s="1347">
        <v>-277822215000</v>
      </c>
      <c r="L145" s="1088"/>
      <c r="M145" s="1088"/>
      <c r="N145" s="1088"/>
    </row>
    <row r="146" spans="2:14" ht="12.75">
      <c r="B146" s="1082" t="s">
        <v>372</v>
      </c>
      <c r="C146" s="1089">
        <v>-78345770000</v>
      </c>
      <c r="D146" s="1089">
        <v>-114635278000</v>
      </c>
      <c r="E146" s="1061">
        <v>-127112637000</v>
      </c>
      <c r="F146" s="1089">
        <v>113040961000</v>
      </c>
      <c r="G146" s="1089">
        <v>-115319514000</v>
      </c>
      <c r="H146" s="1089">
        <v>-286963382000</v>
      </c>
      <c r="I146" s="1089">
        <v>-187126798000</v>
      </c>
      <c r="J146" s="1089">
        <v>-119758176000</v>
      </c>
      <c r="K146" s="1348">
        <v>-162412211000</v>
      </c>
      <c r="L146" s="1089"/>
      <c r="M146" s="1089"/>
      <c r="N146" s="1089"/>
    </row>
    <row r="147" spans="2:14" ht="12.75">
      <c r="B147" s="1080" t="s">
        <v>373</v>
      </c>
      <c r="C147" s="1088">
        <v>-74968175000</v>
      </c>
      <c r="D147" s="1088">
        <v>-87535698000</v>
      </c>
      <c r="E147" s="1060">
        <v>-86265896000</v>
      </c>
      <c r="F147" s="1088">
        <v>-99985500000</v>
      </c>
      <c r="G147" s="1088">
        <v>-106347165000</v>
      </c>
      <c r="H147" s="1088">
        <v>-274316050000</v>
      </c>
      <c r="I147" s="1088">
        <v>-165877422000</v>
      </c>
      <c r="J147" s="1088">
        <v>-158408120000</v>
      </c>
      <c r="K147" s="1347">
        <v>-195890117000</v>
      </c>
      <c r="L147" s="1088"/>
      <c r="M147" s="1088"/>
      <c r="N147" s="1088"/>
    </row>
    <row r="148" spans="2:14" ht="12.75">
      <c r="B148" s="1080" t="s">
        <v>437</v>
      </c>
      <c r="C148" s="1088"/>
      <c r="D148" s="1088"/>
      <c r="E148" s="1060"/>
      <c r="F148" s="1088"/>
      <c r="G148" s="1088"/>
      <c r="H148" s="1088"/>
      <c r="I148" s="1088"/>
      <c r="J148" s="1088"/>
      <c r="K148" s="955"/>
      <c r="L148" s="1088"/>
      <c r="M148" s="1088"/>
      <c r="N148" s="1088"/>
    </row>
    <row r="149" spans="2:14" ht="12.75">
      <c r="B149" s="1082" t="s">
        <v>375</v>
      </c>
      <c r="C149" s="1061">
        <v>136242116000</v>
      </c>
      <c r="D149" s="1061">
        <v>137538613000</v>
      </c>
      <c r="E149" s="1061">
        <v>157567986000</v>
      </c>
      <c r="F149" s="1061">
        <v>309530699000</v>
      </c>
      <c r="G149" s="1061">
        <v>304312020000</v>
      </c>
      <c r="H149" s="1061">
        <v>291681987000</v>
      </c>
      <c r="I149" s="1061">
        <v>303683683000</v>
      </c>
      <c r="J149" s="1061">
        <v>248899004000</v>
      </c>
      <c r="K149" s="1346">
        <v>296539709000</v>
      </c>
      <c r="L149" s="1061"/>
      <c r="M149" s="1061"/>
      <c r="N149" s="1061"/>
    </row>
    <row r="150" spans="2:14" ht="12.75">
      <c r="B150" s="1080"/>
      <c r="C150" s="1060"/>
      <c r="D150" s="1060"/>
      <c r="E150" s="1060"/>
      <c r="F150" s="1060"/>
      <c r="G150" s="1060"/>
      <c r="H150" s="1060"/>
      <c r="I150" s="1060"/>
      <c r="J150" s="1060"/>
      <c r="K150" s="1338" t="s">
        <v>180</v>
      </c>
      <c r="L150" s="1060"/>
      <c r="M150" s="1060"/>
      <c r="N150" s="1060"/>
    </row>
    <row r="151" spans="2:14" ht="12.75">
      <c r="B151" s="1084" t="s">
        <v>376</v>
      </c>
      <c r="C151" s="1081">
        <f t="shared" ref="C151:G151" si="55">+C143+C145+C148</f>
        <v>79102668000</v>
      </c>
      <c r="D151" s="1081">
        <f t="shared" si="55"/>
        <v>114216089000</v>
      </c>
      <c r="E151" s="1081">
        <f t="shared" si="55"/>
        <v>144465216000</v>
      </c>
      <c r="F151" s="1081">
        <f t="shared" si="55"/>
        <v>192894040000</v>
      </c>
      <c r="G151" s="1081">
        <f t="shared" si="55"/>
        <v>166198826000</v>
      </c>
      <c r="H151" s="1081">
        <f>+H143+H145+H148</f>
        <v>210750245000</v>
      </c>
      <c r="I151" s="1081">
        <f>+I143+I145+I148</f>
        <v>174122738000</v>
      </c>
      <c r="J151" s="1081">
        <f>+J143+J145+J148</f>
        <v>65700300000</v>
      </c>
      <c r="K151" s="1344">
        <f>+K143+K145+K148</f>
        <v>183305187000</v>
      </c>
      <c r="L151" s="1081"/>
      <c r="M151" s="1081"/>
      <c r="N151" s="1081"/>
    </row>
  </sheetData>
  <conditionalFormatting sqref="C67:H73 D74:H74 C75:H110">
    <cfRule type="cellIs" dxfId="264" priority="49" operator="lessThan">
      <formula>0</formula>
    </cfRule>
  </conditionalFormatting>
  <conditionalFormatting sqref="C121:J139 L121:N139">
    <cfRule type="cellIs" dxfId="263" priority="25" operator="lessThan">
      <formula>0</formula>
    </cfRule>
  </conditionalFormatting>
  <conditionalFormatting sqref="C143:J151 L143:N151">
    <cfRule type="cellIs" dxfId="262" priority="24" operator="lessThan">
      <formula>0</formula>
    </cfRule>
  </conditionalFormatting>
  <conditionalFormatting sqref="I67:J110 C112:J117 L112:N117 L67:N110">
    <cfRule type="cellIs" dxfId="261" priority="26" operator="lessThan">
      <formula>0</formula>
    </cfRule>
  </conditionalFormatting>
  <conditionalFormatting sqref="K76">
    <cfRule type="cellIs" dxfId="260" priority="12" operator="lessThan">
      <formula>0</formula>
    </cfRule>
  </conditionalFormatting>
  <conditionalFormatting sqref="K88">
    <cfRule type="cellIs" dxfId="259" priority="11" operator="lessThan">
      <formula>0</formula>
    </cfRule>
  </conditionalFormatting>
  <conditionalFormatting sqref="K110">
    <cfRule type="cellIs" dxfId="258" priority="10" operator="lessThan">
      <formula>0</formula>
    </cfRule>
  </conditionalFormatting>
  <conditionalFormatting sqref="K102:K108">
    <cfRule type="cellIs" dxfId="257" priority="9" operator="lessThan">
      <formula>0</formula>
    </cfRule>
  </conditionalFormatting>
  <conditionalFormatting sqref="K101">
    <cfRule type="cellIs" dxfId="256" priority="8" operator="lessThan">
      <formula>0</formula>
    </cfRule>
  </conditionalFormatting>
  <conditionalFormatting sqref="K129">
    <cfRule type="cellIs" dxfId="255" priority="7" operator="lessThan">
      <formula>0</formula>
    </cfRule>
  </conditionalFormatting>
  <conditionalFormatting sqref="K128">
    <cfRule type="cellIs" dxfId="254" priority="6" operator="lessThan">
      <formula>0</formula>
    </cfRule>
  </conditionalFormatting>
  <conditionalFormatting sqref="K135">
    <cfRule type="cellIs" dxfId="253" priority="5" operator="lessThan">
      <formula>0</formula>
    </cfRule>
  </conditionalFormatting>
  <conditionalFormatting sqref="K151">
    <cfRule type="cellIs" dxfId="252" priority="4" operator="lessThan">
      <formula>0</formula>
    </cfRule>
  </conditionalFormatting>
  <conditionalFormatting sqref="K148">
    <cfRule type="cellIs" dxfId="251" priority="3" operator="lessThan">
      <formula>0</formula>
    </cfRule>
  </conditionalFormatting>
  <conditionalFormatting sqref="K100">
    <cfRule type="cellIs" dxfId="250" priority="2" operator="lessThan">
      <formula>0</formula>
    </cfRule>
  </conditionalFormatting>
  <conditionalFormatting sqref="K109">
    <cfRule type="cellIs" dxfId="249" priority="1" operator="lessThan">
      <formula>0</formula>
    </cfRule>
  </conditionalFormatting>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C10B1-808F-4000-A4E8-436BB2C72292}">
  <sheetPr>
    <pageSetUpPr fitToPage="1"/>
  </sheetPr>
  <dimension ref="A2:R110"/>
  <sheetViews>
    <sheetView zoomScale="130" zoomScaleNormal="130" workbookViewId="0">
      <pane xSplit="2" ySplit="6" topLeftCell="C47" activePane="bottomRight" state="frozen"/>
      <selection pane="bottomRight" activeCell="B47" sqref="B47"/>
      <selection pane="bottomLeft" activeCell="A7" sqref="A7"/>
      <selection pane="topRight" activeCell="C1" sqref="C1"/>
    </sheetView>
  </sheetViews>
  <sheetFormatPr defaultColWidth="10.7109375" defaultRowHeight="14.25"/>
  <cols>
    <col min="1" max="1" width="8" hidden="1" customWidth="1"/>
    <col min="2" max="2" width="40.5703125" customWidth="1"/>
    <col min="3" max="9" width="20.5703125" customWidth="1"/>
    <col min="10" max="10" width="20.5703125" style="414" customWidth="1"/>
    <col min="11" max="14" width="20.5703125" customWidth="1"/>
    <col min="16" max="16" width="17.28515625" bestFit="1" customWidth="1"/>
  </cols>
  <sheetData>
    <row r="2" spans="1:14">
      <c r="B2" s="556">
        <f ca="1">+TODAY()-1</f>
        <v>46105</v>
      </c>
      <c r="C2" s="314"/>
      <c r="D2" s="557" t="s">
        <v>544</v>
      </c>
      <c r="E2" s="557" t="s">
        <v>545</v>
      </c>
    </row>
    <row r="3" spans="1:14">
      <c r="B3" s="558" cm="1">
        <f t="array" aca="1" ref="B3" ca="1">_FV(B6,"Precio")</f>
        <v>720.08</v>
      </c>
      <c r="C3" s="559"/>
      <c r="D3" s="560">
        <f>AVERAGE(G40:I40)</f>
        <v>31.239000000000001</v>
      </c>
      <c r="E3" s="560">
        <f>AVERAGE(G39:J39)</f>
        <v>33.989250000000006</v>
      </c>
    </row>
    <row r="4" spans="1:14">
      <c r="B4" s="561"/>
      <c r="C4" s="562"/>
      <c r="D4" s="563"/>
      <c r="E4" s="563"/>
    </row>
    <row r="6" spans="1:14" s="281" customFormat="1" ht="23.25">
      <c r="B6" s="564" t="e" vm="10">
        <v>#VALUE!</v>
      </c>
      <c r="C6" s="565">
        <v>2017</v>
      </c>
      <c r="D6" s="565">
        <v>2018</v>
      </c>
      <c r="E6" s="565">
        <v>2019</v>
      </c>
      <c r="F6" s="565">
        <v>2020</v>
      </c>
      <c r="G6" s="565">
        <v>2021</v>
      </c>
      <c r="H6" s="565">
        <v>2022</v>
      </c>
      <c r="I6" s="565">
        <v>2023</v>
      </c>
      <c r="J6" s="565">
        <v>2024</v>
      </c>
      <c r="K6" s="566">
        <v>2025</v>
      </c>
      <c r="L6" s="565">
        <v>2026</v>
      </c>
      <c r="M6" s="565">
        <v>2027</v>
      </c>
      <c r="N6" s="565">
        <v>2028</v>
      </c>
    </row>
    <row r="7" spans="1:14" ht="14.65" customHeight="1">
      <c r="B7" s="567" t="s">
        <v>267</v>
      </c>
      <c r="C7" s="568">
        <f>+C54</f>
        <v>31220069000</v>
      </c>
      <c r="D7" s="568">
        <f t="shared" ref="D7:N7" si="0">+D54</f>
        <v>17142083000</v>
      </c>
      <c r="E7" s="568">
        <f t="shared" si="0"/>
        <v>21176416000</v>
      </c>
      <c r="F7" s="568">
        <f t="shared" si="0"/>
        <v>34040424000</v>
      </c>
      <c r="G7" s="568">
        <f t="shared" si="0"/>
        <v>30956769000</v>
      </c>
      <c r="H7" s="568">
        <f t="shared" si="0"/>
        <v>15681171000</v>
      </c>
      <c r="I7" s="568">
        <f t="shared" si="0"/>
        <v>22482787000</v>
      </c>
      <c r="J7" s="568">
        <f t="shared" si="0"/>
        <v>34518349000</v>
      </c>
      <c r="K7" s="569">
        <f t="shared" si="0"/>
        <v>0</v>
      </c>
      <c r="L7" s="568">
        <f t="shared" si="0"/>
        <v>0</v>
      </c>
      <c r="M7" s="568">
        <f t="shared" si="0"/>
        <v>0</v>
      </c>
      <c r="N7" s="568">
        <f t="shared" si="0"/>
        <v>0</v>
      </c>
    </row>
    <row r="8" spans="1:14" ht="14.65" customHeight="1">
      <c r="B8" s="567" t="s">
        <v>519</v>
      </c>
      <c r="C8" s="568">
        <f>+C58</f>
        <v>450331646000</v>
      </c>
      <c r="D8" s="568">
        <f t="shared" ref="D8:N8" si="1">+D58</f>
        <v>431214357000</v>
      </c>
      <c r="E8" s="568">
        <f t="shared" si="1"/>
        <v>487901066000</v>
      </c>
      <c r="F8" s="568">
        <f t="shared" si="1"/>
        <v>538160661000</v>
      </c>
      <c r="G8" s="568">
        <f t="shared" si="1"/>
        <v>516689139000</v>
      </c>
      <c r="H8" s="568">
        <f t="shared" si="1"/>
        <v>612677495000</v>
      </c>
      <c r="I8" s="568">
        <f t="shared" si="1"/>
        <v>654316308000</v>
      </c>
      <c r="J8" s="568">
        <f t="shared" si="1"/>
        <v>683319047000</v>
      </c>
      <c r="K8" s="569">
        <f t="shared" si="1"/>
        <v>0</v>
      </c>
      <c r="L8" s="568">
        <f t="shared" si="1"/>
        <v>0</v>
      </c>
      <c r="M8" s="568">
        <f t="shared" si="1"/>
        <v>0</v>
      </c>
      <c r="N8" s="568">
        <f t="shared" si="1"/>
        <v>0</v>
      </c>
    </row>
    <row r="9" spans="1:14" ht="14.65" customHeight="1">
      <c r="B9" s="570" t="s">
        <v>546</v>
      </c>
      <c r="C9" s="571">
        <f t="shared" ref="C9:N9" si="2">SUM(C7:C8)</f>
        <v>481551715000</v>
      </c>
      <c r="D9" s="571">
        <f t="shared" si="2"/>
        <v>448356440000</v>
      </c>
      <c r="E9" s="571">
        <f t="shared" si="2"/>
        <v>509077482000</v>
      </c>
      <c r="F9" s="571">
        <f t="shared" si="2"/>
        <v>572201085000</v>
      </c>
      <c r="G9" s="571">
        <f t="shared" si="2"/>
        <v>547645908000</v>
      </c>
      <c r="H9" s="571">
        <f t="shared" si="2"/>
        <v>628358666000</v>
      </c>
      <c r="I9" s="571">
        <f t="shared" si="2"/>
        <v>676799095000</v>
      </c>
      <c r="J9" s="571">
        <f t="shared" si="2"/>
        <v>717837396000</v>
      </c>
      <c r="K9" s="572">
        <f t="shared" si="2"/>
        <v>0</v>
      </c>
      <c r="L9" s="571">
        <f t="shared" si="2"/>
        <v>0</v>
      </c>
      <c r="M9" s="571">
        <f t="shared" si="2"/>
        <v>0</v>
      </c>
      <c r="N9" s="571">
        <f t="shared" si="2"/>
        <v>0</v>
      </c>
    </row>
    <row r="10" spans="1:14" ht="14.65" customHeight="1">
      <c r="B10" s="573" t="s">
        <v>273</v>
      </c>
      <c r="C10" s="574">
        <f>+C63</f>
        <v>25364065000</v>
      </c>
      <c r="D10" s="574">
        <f t="shared" ref="D10:N10" si="3">+D63</f>
        <v>9300309000</v>
      </c>
      <c r="E10" s="574">
        <f t="shared" si="3"/>
        <v>45840675000</v>
      </c>
      <c r="F10" s="574">
        <f t="shared" si="3"/>
        <v>25611305000</v>
      </c>
      <c r="G10" s="574">
        <f t="shared" si="3"/>
        <v>19989200000</v>
      </c>
      <c r="H10" s="574">
        <f t="shared" si="3"/>
        <v>7762295000</v>
      </c>
      <c r="I10" s="574">
        <f t="shared" si="3"/>
        <v>15047436000</v>
      </c>
      <c r="J10" s="574">
        <f t="shared" si="3"/>
        <v>27590125000</v>
      </c>
      <c r="K10" s="575">
        <f t="shared" si="3"/>
        <v>0</v>
      </c>
      <c r="L10" s="574">
        <f t="shared" si="3"/>
        <v>0</v>
      </c>
      <c r="M10" s="574">
        <f t="shared" si="3"/>
        <v>0</v>
      </c>
      <c r="N10" s="574">
        <f t="shared" si="3"/>
        <v>0</v>
      </c>
    </row>
    <row r="11" spans="1:14" ht="14.65" customHeight="1">
      <c r="B11" s="573" t="s">
        <v>274</v>
      </c>
      <c r="C11" s="574">
        <f>+C67</f>
        <v>61635722000</v>
      </c>
      <c r="D11" s="574">
        <f>+D67</f>
        <v>63401317000</v>
      </c>
      <c r="E11" s="574">
        <f t="shared" ref="E11:N11" si="4">+E67</f>
        <v>65112862000</v>
      </c>
      <c r="F11" s="574">
        <f t="shared" si="4"/>
        <v>66861759000</v>
      </c>
      <c r="G11" s="574">
        <f t="shared" si="4"/>
        <v>71281002000</v>
      </c>
      <c r="H11" s="574">
        <f t="shared" si="4"/>
        <v>80755254000</v>
      </c>
      <c r="I11" s="574">
        <f t="shared" si="4"/>
        <v>77036919000</v>
      </c>
      <c r="J11" s="574">
        <f t="shared" si="4"/>
        <v>77673831000</v>
      </c>
      <c r="K11" s="575">
        <f t="shared" si="4"/>
        <v>0</v>
      </c>
      <c r="L11" s="574">
        <f t="shared" si="4"/>
        <v>0</v>
      </c>
      <c r="M11" s="574">
        <f t="shared" si="4"/>
        <v>0</v>
      </c>
      <c r="N11" s="574">
        <f t="shared" si="4"/>
        <v>0</v>
      </c>
    </row>
    <row r="12" spans="1:14" ht="14.65" customHeight="1">
      <c r="A12" s="576"/>
      <c r="B12" s="577" t="s">
        <v>275</v>
      </c>
      <c r="C12" s="578">
        <f>+C69</f>
        <v>86999787000</v>
      </c>
      <c r="D12" s="578">
        <f t="shared" ref="D12:N12" si="5">+D69</f>
        <v>72701626000</v>
      </c>
      <c r="E12" s="578">
        <f t="shared" si="5"/>
        <v>110953537000</v>
      </c>
      <c r="F12" s="578">
        <f t="shared" si="5"/>
        <v>92473064000</v>
      </c>
      <c r="G12" s="578">
        <f t="shared" si="5"/>
        <v>91270202000</v>
      </c>
      <c r="H12" s="578">
        <f t="shared" si="5"/>
        <v>88517549000</v>
      </c>
      <c r="I12" s="578">
        <f t="shared" si="5"/>
        <v>92084355000</v>
      </c>
      <c r="J12" s="578">
        <f t="shared" si="5"/>
        <v>105263956000</v>
      </c>
      <c r="K12" s="579">
        <f t="shared" si="5"/>
        <v>0</v>
      </c>
      <c r="L12" s="578">
        <f t="shared" si="5"/>
        <v>0</v>
      </c>
      <c r="M12" s="578">
        <f t="shared" si="5"/>
        <v>0</v>
      </c>
      <c r="N12" s="578">
        <f t="shared" si="5"/>
        <v>0</v>
      </c>
    </row>
    <row r="13" spans="1:14" ht="14.65" customHeight="1">
      <c r="B13" s="580" t="s">
        <v>276</v>
      </c>
      <c r="C13" s="581">
        <f>+C78</f>
        <v>394551928000</v>
      </c>
      <c r="D13" s="581">
        <f t="shared" ref="D13:N13" si="6">+D78</f>
        <v>375654814000</v>
      </c>
      <c r="E13" s="581">
        <f t="shared" si="6"/>
        <v>398123945000</v>
      </c>
      <c r="F13" s="581">
        <f t="shared" si="6"/>
        <v>479728021000</v>
      </c>
      <c r="G13" s="581">
        <f t="shared" si="6"/>
        <v>456375706000</v>
      </c>
      <c r="H13" s="581">
        <f t="shared" si="6"/>
        <v>539841117000</v>
      </c>
      <c r="I13" s="581">
        <f t="shared" si="6"/>
        <v>584715140000</v>
      </c>
      <c r="J13" s="581">
        <f t="shared" si="6"/>
        <v>612573440000</v>
      </c>
      <c r="K13" s="582">
        <f t="shared" si="6"/>
        <v>0</v>
      </c>
      <c r="L13" s="581">
        <f t="shared" si="6"/>
        <v>0</v>
      </c>
      <c r="M13" s="581">
        <f t="shared" si="6"/>
        <v>0</v>
      </c>
      <c r="N13" s="581">
        <f t="shared" si="6"/>
        <v>0</v>
      </c>
    </row>
    <row r="14" spans="1:14" ht="14.65" customHeight="1">
      <c r="B14" s="583" t="s">
        <v>278</v>
      </c>
      <c r="C14" s="584">
        <v>1430000000</v>
      </c>
      <c r="D14" s="584">
        <v>1430000000</v>
      </c>
      <c r="E14" s="584">
        <v>1430000000</v>
      </c>
      <c r="F14" s="584">
        <v>1600065708</v>
      </c>
      <c r="G14" s="584">
        <v>1600065708</v>
      </c>
      <c r="H14" s="584">
        <v>1600065708</v>
      </c>
      <c r="I14" s="584">
        <v>1600065708</v>
      </c>
      <c r="J14" s="584">
        <v>1600065708</v>
      </c>
      <c r="K14" s="585"/>
      <c r="L14" s="584"/>
      <c r="M14" s="584"/>
      <c r="N14" s="584"/>
    </row>
    <row r="15" spans="1:14" ht="14.65" customHeight="1">
      <c r="C15" s="193"/>
      <c r="D15" s="193"/>
      <c r="E15" s="193"/>
      <c r="F15" s="193"/>
      <c r="G15" s="193"/>
      <c r="H15" s="193"/>
    </row>
    <row r="16" spans="1:14" ht="14.65" customHeight="1">
      <c r="B16" s="586" t="s">
        <v>279</v>
      </c>
      <c r="C16" s="587">
        <f t="shared" ref="C16:N16" si="7">(C13/C14)</f>
        <v>275.91043916083913</v>
      </c>
      <c r="D16" s="587">
        <f t="shared" si="7"/>
        <v>262.69567412587412</v>
      </c>
      <c r="E16" s="587">
        <f t="shared" si="7"/>
        <v>278.40835314685313</v>
      </c>
      <c r="F16" s="587">
        <f t="shared" si="7"/>
        <v>299.81770036159043</v>
      </c>
      <c r="G16" s="587">
        <f t="shared" si="7"/>
        <v>285.22310285022371</v>
      </c>
      <c r="H16" s="587">
        <f t="shared" si="7"/>
        <v>337.38684249084599</v>
      </c>
      <c r="I16" s="587">
        <f t="shared" si="7"/>
        <v>365.431955123183</v>
      </c>
      <c r="J16" s="588">
        <f t="shared" si="7"/>
        <v>382.84267760833734</v>
      </c>
      <c r="K16" s="587" t="e">
        <f t="shared" si="7"/>
        <v>#DIV/0!</v>
      </c>
      <c r="L16" s="587" t="e">
        <f t="shared" si="7"/>
        <v>#DIV/0!</v>
      </c>
      <c r="M16" s="587" t="e">
        <f t="shared" si="7"/>
        <v>#DIV/0!</v>
      </c>
      <c r="N16" s="587" t="e">
        <f t="shared" si="7"/>
        <v>#DIV/0!</v>
      </c>
    </row>
    <row r="17" spans="1:14" ht="14.65" customHeight="1">
      <c r="A17" s="589"/>
      <c r="B17" s="590" t="s">
        <v>547</v>
      </c>
      <c r="C17" s="591">
        <v>279.43</v>
      </c>
      <c r="D17" s="591">
        <v>470.82</v>
      </c>
      <c r="E17" s="591">
        <v>237.66</v>
      </c>
      <c r="F17" s="591">
        <v>257.19</v>
      </c>
      <c r="G17" s="591">
        <v>258.16000000000003</v>
      </c>
      <c r="H17" s="591">
        <v>303</v>
      </c>
      <c r="I17" s="591">
        <v>381.72</v>
      </c>
      <c r="J17" s="592"/>
      <c r="K17" s="591"/>
      <c r="L17" s="591"/>
      <c r="M17" s="591"/>
      <c r="N17" s="591"/>
    </row>
    <row r="18" spans="1:14" ht="14.65" customHeight="1">
      <c r="B18" s="586" t="s">
        <v>283</v>
      </c>
      <c r="C18" s="593">
        <f t="shared" ref="C18:N18" si="8">+C17/C35</f>
        <v>4.770943037479789</v>
      </c>
      <c r="D18" s="593">
        <f t="shared" si="8"/>
        <v>22.207492855084162</v>
      </c>
      <c r="E18" s="593">
        <f t="shared" si="8"/>
        <v>8.6454164020730762</v>
      </c>
      <c r="F18" s="593">
        <f t="shared" si="8"/>
        <v>4.8620966103588072</v>
      </c>
      <c r="G18" s="593">
        <f t="shared" si="8"/>
        <v>3.0591111099982093</v>
      </c>
      <c r="H18" s="593">
        <f t="shared" si="8"/>
        <v>4.4031597615459948</v>
      </c>
      <c r="I18" s="593">
        <f t="shared" si="8"/>
        <v>5.5950900862794724</v>
      </c>
      <c r="J18" s="594">
        <f t="shared" si="8"/>
        <v>0</v>
      </c>
      <c r="K18" s="593" t="e">
        <f t="shared" si="8"/>
        <v>#DIV/0!</v>
      </c>
      <c r="L18" s="593" t="e">
        <f t="shared" si="8"/>
        <v>#DIV/0!</v>
      </c>
      <c r="M18" s="593" t="e">
        <f t="shared" si="8"/>
        <v>#DIV/0!</v>
      </c>
      <c r="N18" s="593" t="e">
        <f t="shared" si="8"/>
        <v>#DIV/0!</v>
      </c>
    </row>
    <row r="19" spans="1:14" ht="14.65" customHeight="1">
      <c r="B19" s="586" t="s">
        <v>301</v>
      </c>
      <c r="C19" s="593">
        <f t="shared" ref="C19:N19" si="9">+C17/C16</f>
        <v>1.0127561713498965</v>
      </c>
      <c r="D19" s="593">
        <f t="shared" si="9"/>
        <v>1.792264001174227</v>
      </c>
      <c r="E19" s="593">
        <f t="shared" si="9"/>
        <v>0.85363818044152062</v>
      </c>
      <c r="F19" s="593">
        <f t="shared" si="9"/>
        <v>0.85782126835680494</v>
      </c>
      <c r="G19" s="593">
        <f t="shared" si="9"/>
        <v>0.90511602117856826</v>
      </c>
      <c r="H19" s="593">
        <f t="shared" si="9"/>
        <v>0.89807888702186434</v>
      </c>
      <c r="I19" s="593">
        <f t="shared" si="9"/>
        <v>1.0445720322168501</v>
      </c>
      <c r="J19" s="594">
        <f t="shared" si="9"/>
        <v>0</v>
      </c>
      <c r="K19" s="593" t="e">
        <f t="shared" si="9"/>
        <v>#DIV/0!</v>
      </c>
      <c r="L19" s="593" t="e">
        <f t="shared" si="9"/>
        <v>#DIV/0!</v>
      </c>
      <c r="M19" s="593" t="e">
        <f t="shared" si="9"/>
        <v>#DIV/0!</v>
      </c>
      <c r="N19" s="593" t="e">
        <f t="shared" si="9"/>
        <v>#DIV/0!</v>
      </c>
    </row>
    <row r="20" spans="1:14" ht="14.65" customHeight="1">
      <c r="B20" s="586" t="s">
        <v>285</v>
      </c>
      <c r="C20" s="593">
        <f>+C18*C19</f>
        <v>4.8318020043664767</v>
      </c>
      <c r="D20" s="593">
        <f t="shared" ref="D20:N20" si="10">+D18*D19</f>
        <v>39.801690000501196</v>
      </c>
      <c r="E20" s="593">
        <f t="shared" si="10"/>
        <v>7.3800575266249382</v>
      </c>
      <c r="F20" s="593">
        <f t="shared" si="10"/>
        <v>4.1708098811713139</v>
      </c>
      <c r="G20" s="593">
        <f>+G18*G19</f>
        <v>2.7688504762247326</v>
      </c>
      <c r="H20" s="593">
        <f t="shared" si="10"/>
        <v>3.9543848180286845</v>
      </c>
      <c r="I20" s="593">
        <f t="shared" si="10"/>
        <v>5.8444746218613002</v>
      </c>
      <c r="J20" s="594">
        <f t="shared" si="10"/>
        <v>0</v>
      </c>
      <c r="K20" s="593" t="e">
        <f t="shared" si="10"/>
        <v>#DIV/0!</v>
      </c>
      <c r="L20" s="593" t="e">
        <f t="shared" si="10"/>
        <v>#DIV/0!</v>
      </c>
      <c r="M20" s="593" t="e">
        <f t="shared" si="10"/>
        <v>#DIV/0!</v>
      </c>
      <c r="N20" s="593" t="e">
        <f t="shared" si="10"/>
        <v>#DIV/0!</v>
      </c>
    </row>
    <row r="21" spans="1:14" ht="14.65" customHeight="1">
      <c r="B21" s="595" t="s">
        <v>286</v>
      </c>
      <c r="C21" s="596">
        <v>2</v>
      </c>
      <c r="D21" s="596">
        <v>2</v>
      </c>
      <c r="E21" s="596">
        <v>2</v>
      </c>
      <c r="F21" s="596">
        <v>2</v>
      </c>
      <c r="G21" s="596">
        <v>2</v>
      </c>
      <c r="H21" s="596">
        <v>2</v>
      </c>
      <c r="I21" s="596">
        <v>2</v>
      </c>
      <c r="J21" s="597"/>
      <c r="K21" s="596"/>
      <c r="L21" s="596"/>
      <c r="M21" s="596"/>
      <c r="N21" s="596"/>
    </row>
    <row r="22" spans="1:14" ht="14.65" customHeight="1">
      <c r="B22" s="595" t="s">
        <v>287</v>
      </c>
      <c r="C22" s="596">
        <v>2.5</v>
      </c>
      <c r="D22" s="596">
        <v>2.5</v>
      </c>
      <c r="E22" s="596">
        <v>2.5</v>
      </c>
      <c r="F22" s="596">
        <v>2.5</v>
      </c>
      <c r="G22" s="596">
        <v>2.5</v>
      </c>
      <c r="H22" s="596">
        <v>2.5</v>
      </c>
      <c r="I22" s="596">
        <v>2.5</v>
      </c>
      <c r="J22" s="597"/>
      <c r="K22" s="596"/>
      <c r="L22" s="596"/>
      <c r="M22" s="596"/>
      <c r="N22" s="596"/>
    </row>
    <row r="23" spans="1:14" ht="14.65" customHeight="1">
      <c r="B23" s="598" t="s">
        <v>288</v>
      </c>
      <c r="C23" s="599">
        <f>+C21*C16</f>
        <v>551.82087832167826</v>
      </c>
      <c r="D23" s="599">
        <f t="shared" ref="D23:N23" si="11">+D21*D16</f>
        <v>525.39134825174824</v>
      </c>
      <c r="E23" s="599">
        <f t="shared" si="11"/>
        <v>556.81670629370626</v>
      </c>
      <c r="F23" s="599">
        <f t="shared" si="11"/>
        <v>599.63540072318085</v>
      </c>
      <c r="G23" s="599">
        <f t="shared" si="11"/>
        <v>570.44620570044742</v>
      </c>
      <c r="H23" s="599">
        <f t="shared" si="11"/>
        <v>674.77368498169199</v>
      </c>
      <c r="I23" s="599">
        <f>+I21*I16</f>
        <v>730.863910246366</v>
      </c>
      <c r="J23" s="600">
        <f t="shared" si="11"/>
        <v>0</v>
      </c>
      <c r="K23" s="599" t="e">
        <f t="shared" si="11"/>
        <v>#DIV/0!</v>
      </c>
      <c r="L23" s="599" t="e">
        <f t="shared" si="11"/>
        <v>#DIV/0!</v>
      </c>
      <c r="M23" s="599" t="e">
        <f t="shared" si="11"/>
        <v>#DIV/0!</v>
      </c>
      <c r="N23" s="599" t="e">
        <f t="shared" si="11"/>
        <v>#DIV/0!</v>
      </c>
    </row>
    <row r="24" spans="1:14" ht="14.65" customHeight="1">
      <c r="B24" s="598" t="s">
        <v>289</v>
      </c>
      <c r="C24" s="599">
        <f>AVERAGE(C23,C25)</f>
        <v>620.79848811188799</v>
      </c>
      <c r="D24" s="599">
        <f t="shared" ref="D24:N24" si="12">AVERAGE(D23,D25)</f>
        <v>591.06526678321677</v>
      </c>
      <c r="E24" s="599">
        <f t="shared" si="12"/>
        <v>626.41879458041956</v>
      </c>
      <c r="F24" s="599">
        <f t="shared" si="12"/>
        <v>674.5898258135785</v>
      </c>
      <c r="G24" s="599">
        <f t="shared" si="12"/>
        <v>641.75198141300336</v>
      </c>
      <c r="H24" s="599">
        <f t="shared" si="12"/>
        <v>759.12039560440348</v>
      </c>
      <c r="I24" s="599">
        <f t="shared" si="12"/>
        <v>822.22189902716173</v>
      </c>
      <c r="J24" s="600">
        <f t="shared" si="12"/>
        <v>0</v>
      </c>
      <c r="K24" s="599" t="e">
        <f t="shared" si="12"/>
        <v>#DIV/0!</v>
      </c>
      <c r="L24" s="599" t="e">
        <f t="shared" si="12"/>
        <v>#DIV/0!</v>
      </c>
      <c r="M24" s="599" t="e">
        <f t="shared" si="12"/>
        <v>#DIV/0!</v>
      </c>
      <c r="N24" s="599" t="e">
        <f t="shared" si="12"/>
        <v>#DIV/0!</v>
      </c>
    </row>
    <row r="25" spans="1:14" ht="14.65" customHeight="1">
      <c r="B25" s="598" t="s">
        <v>290</v>
      </c>
      <c r="C25" s="599">
        <f t="shared" ref="C25:N25" si="13">+C16*C22</f>
        <v>689.77609790209783</v>
      </c>
      <c r="D25" s="599">
        <f t="shared" si="13"/>
        <v>656.7391853146853</v>
      </c>
      <c r="E25" s="599">
        <f t="shared" si="13"/>
        <v>696.02088286713285</v>
      </c>
      <c r="F25" s="599">
        <f t="shared" si="13"/>
        <v>749.54425090397604</v>
      </c>
      <c r="G25" s="599">
        <f t="shared" si="13"/>
        <v>713.05775712555931</v>
      </c>
      <c r="H25" s="599">
        <f t="shared" si="13"/>
        <v>843.46710622711498</v>
      </c>
      <c r="I25" s="599">
        <f t="shared" si="13"/>
        <v>913.57988780795745</v>
      </c>
      <c r="J25" s="600">
        <f t="shared" si="13"/>
        <v>0</v>
      </c>
      <c r="K25" s="599" t="e">
        <f t="shared" si="13"/>
        <v>#DIV/0!</v>
      </c>
      <c r="L25" s="599" t="e">
        <f t="shared" si="13"/>
        <v>#DIV/0!</v>
      </c>
      <c r="M25" s="599" t="e">
        <f t="shared" si="13"/>
        <v>#DIV/0!</v>
      </c>
      <c r="N25" s="599" t="e">
        <f t="shared" si="13"/>
        <v>#DIV/0!</v>
      </c>
    </row>
    <row r="26" spans="1:14" ht="14.65" customHeight="1"/>
    <row r="27" spans="1:14" ht="14.65" customHeight="1">
      <c r="B27" s="601" t="s">
        <v>291</v>
      </c>
      <c r="C27" s="602">
        <f t="shared" ref="C27:N27" si="14">C7-C10</f>
        <v>5856004000</v>
      </c>
      <c r="D27" s="602">
        <f t="shared" si="14"/>
        <v>7841774000</v>
      </c>
      <c r="E27" s="602">
        <f t="shared" si="14"/>
        <v>-24664259000</v>
      </c>
      <c r="F27" s="602">
        <f t="shared" si="14"/>
        <v>8429119000</v>
      </c>
      <c r="G27" s="602">
        <f t="shared" si="14"/>
        <v>10967569000</v>
      </c>
      <c r="H27" s="602">
        <f t="shared" si="14"/>
        <v>7918876000</v>
      </c>
      <c r="I27" s="602">
        <f t="shared" si="14"/>
        <v>7435351000</v>
      </c>
      <c r="J27" s="603">
        <f t="shared" si="14"/>
        <v>6928224000</v>
      </c>
      <c r="K27" s="604">
        <f t="shared" si="14"/>
        <v>0</v>
      </c>
      <c r="L27" s="602">
        <f t="shared" si="14"/>
        <v>0</v>
      </c>
      <c r="M27" s="602">
        <f t="shared" si="14"/>
        <v>0</v>
      </c>
      <c r="N27" s="602">
        <f t="shared" si="14"/>
        <v>0</v>
      </c>
    </row>
    <row r="28" spans="1:14" ht="14.65" customHeight="1">
      <c r="A28" s="605"/>
      <c r="B28" s="30" t="s">
        <v>149</v>
      </c>
      <c r="C28" s="606">
        <f>C7/C10</f>
        <v>1.2308779763811519</v>
      </c>
      <c r="D28" s="606">
        <f t="shared" ref="D28:N28" si="15">D7/D10</f>
        <v>1.8431734902571517</v>
      </c>
      <c r="E28" s="606">
        <f t="shared" si="15"/>
        <v>0.46195689744969942</v>
      </c>
      <c r="F28" s="606">
        <f t="shared" si="15"/>
        <v>1.3291171223020459</v>
      </c>
      <c r="G28" s="606">
        <f t="shared" si="15"/>
        <v>1.5486747343565526</v>
      </c>
      <c r="H28" s="606">
        <f t="shared" si="15"/>
        <v>2.0201719981010773</v>
      </c>
      <c r="I28" s="606">
        <f t="shared" si="15"/>
        <v>1.4941274380565566</v>
      </c>
      <c r="J28" s="607">
        <f t="shared" si="15"/>
        <v>1.2511124541842416</v>
      </c>
      <c r="K28" s="608" t="e">
        <f t="shared" si="15"/>
        <v>#DIV/0!</v>
      </c>
      <c r="L28" s="606" t="e">
        <f t="shared" si="15"/>
        <v>#DIV/0!</v>
      </c>
      <c r="M28" s="606" t="e">
        <f t="shared" si="15"/>
        <v>#DIV/0!</v>
      </c>
      <c r="N28" s="606" t="e">
        <f t="shared" si="15"/>
        <v>#DIV/0!</v>
      </c>
    </row>
    <row r="29" spans="1:14" ht="14.65" customHeight="1">
      <c r="A29" s="605"/>
      <c r="B29" s="30" t="s">
        <v>292</v>
      </c>
      <c r="C29" s="606">
        <f>+(C7)/C10</f>
        <v>1.2308779763811519</v>
      </c>
      <c r="D29" s="606">
        <f t="shared" ref="D29:N29" si="16">+(D7)/D10</f>
        <v>1.8431734902571517</v>
      </c>
      <c r="E29" s="606">
        <f t="shared" si="16"/>
        <v>0.46195689744969942</v>
      </c>
      <c r="F29" s="606">
        <f t="shared" si="16"/>
        <v>1.3291171223020459</v>
      </c>
      <c r="G29" s="606">
        <f t="shared" si="16"/>
        <v>1.5486747343565526</v>
      </c>
      <c r="H29" s="606">
        <f t="shared" si="16"/>
        <v>2.0201719981010773</v>
      </c>
      <c r="I29" s="606">
        <f t="shared" si="16"/>
        <v>1.4941274380565566</v>
      </c>
      <c r="J29" s="606">
        <f t="shared" si="16"/>
        <v>1.2511124541842416</v>
      </c>
      <c r="K29" s="606" t="e">
        <f t="shared" si="16"/>
        <v>#DIV/0!</v>
      </c>
      <c r="L29" s="606" t="e">
        <f t="shared" si="16"/>
        <v>#DIV/0!</v>
      </c>
      <c r="M29" s="606" t="e">
        <f t="shared" si="16"/>
        <v>#DIV/0!</v>
      </c>
      <c r="N29" s="606" t="e">
        <f t="shared" si="16"/>
        <v>#DIV/0!</v>
      </c>
    </row>
    <row r="30" spans="1:14" ht="14.65" customHeight="1">
      <c r="B30" s="32" t="s">
        <v>153</v>
      </c>
      <c r="C30" s="609">
        <f t="shared" ref="C30:N30" si="17">C12/C9</f>
        <v>0.18066551169898751</v>
      </c>
      <c r="D30" s="609">
        <f t="shared" si="17"/>
        <v>0.16215140346818704</v>
      </c>
      <c r="E30" s="609">
        <f t="shared" si="17"/>
        <v>0.21795019603715254</v>
      </c>
      <c r="F30" s="609">
        <f t="shared" si="17"/>
        <v>0.16160938247783993</v>
      </c>
      <c r="G30" s="609">
        <f t="shared" si="17"/>
        <v>0.16665915086139929</v>
      </c>
      <c r="H30" s="609">
        <f t="shared" si="17"/>
        <v>0.14087105627663932</v>
      </c>
      <c r="I30" s="609">
        <f t="shared" si="17"/>
        <v>0.13605862608312147</v>
      </c>
      <c r="J30" s="610">
        <f t="shared" si="17"/>
        <v>0.14664039040952945</v>
      </c>
      <c r="K30" s="611" t="e">
        <f t="shared" si="17"/>
        <v>#DIV/0!</v>
      </c>
      <c r="L30" s="609" t="e">
        <f t="shared" si="17"/>
        <v>#DIV/0!</v>
      </c>
      <c r="M30" s="609" t="e">
        <f t="shared" si="17"/>
        <v>#DIV/0!</v>
      </c>
      <c r="N30" s="609" t="e">
        <f t="shared" si="17"/>
        <v>#DIV/0!</v>
      </c>
    </row>
    <row r="31" spans="1:14" ht="14.65" customHeight="1">
      <c r="I31" s="612"/>
      <c r="J31" s="613"/>
      <c r="K31" s="612"/>
      <c r="L31" s="612"/>
      <c r="M31" s="612"/>
      <c r="N31" s="612"/>
    </row>
    <row r="32" spans="1:14" ht="14.65" customHeight="1">
      <c r="B32" s="614" t="s">
        <v>293</v>
      </c>
      <c r="C32" s="615">
        <f t="shared" ref="C32:H32" si="18">+C82</f>
        <v>0</v>
      </c>
      <c r="D32" s="615">
        <f t="shared" si="18"/>
        <v>0</v>
      </c>
      <c r="E32" s="615">
        <f t="shared" si="18"/>
        <v>0</v>
      </c>
      <c r="F32" s="615">
        <f t="shared" si="18"/>
        <v>0</v>
      </c>
      <c r="G32" s="615">
        <f t="shared" si="18"/>
        <v>0</v>
      </c>
      <c r="H32" s="615">
        <f t="shared" si="18"/>
        <v>0</v>
      </c>
      <c r="I32" s="615">
        <f>+I82</f>
        <v>0</v>
      </c>
      <c r="J32" s="615">
        <f t="shared" ref="J32:N32" si="19">+J82</f>
        <v>0</v>
      </c>
      <c r="K32" s="615">
        <f t="shared" si="19"/>
        <v>0</v>
      </c>
      <c r="L32" s="615">
        <f t="shared" si="19"/>
        <v>0</v>
      </c>
      <c r="M32" s="615">
        <f t="shared" si="19"/>
        <v>0</v>
      </c>
      <c r="N32" s="615">
        <f t="shared" si="19"/>
        <v>0</v>
      </c>
    </row>
    <row r="33" spans="1:18" ht="14.65" customHeight="1">
      <c r="B33" s="616" t="s">
        <v>181</v>
      </c>
      <c r="C33" s="617">
        <f t="shared" ref="C33:H33" si="20">+C86</f>
        <v>-455164000</v>
      </c>
      <c r="D33" s="617">
        <f t="shared" si="20"/>
        <v>-602945000</v>
      </c>
      <c r="E33" s="617">
        <f t="shared" si="20"/>
        <v>-627613000</v>
      </c>
      <c r="F33" s="617">
        <f t="shared" si="20"/>
        <v>-785026000</v>
      </c>
      <c r="G33" s="617">
        <f t="shared" si="20"/>
        <v>-652185000</v>
      </c>
      <c r="H33" s="617">
        <f t="shared" si="20"/>
        <v>-700840000</v>
      </c>
      <c r="I33" s="617">
        <f>+I86</f>
        <v>-944074000</v>
      </c>
      <c r="J33" s="617">
        <f>+J86</f>
        <v>-277924000</v>
      </c>
      <c r="K33" s="617"/>
      <c r="L33" s="617"/>
      <c r="M33" s="617"/>
      <c r="N33" s="617"/>
    </row>
    <row r="34" spans="1:18" ht="14.65" customHeight="1">
      <c r="B34" s="618" t="s">
        <v>295</v>
      </c>
      <c r="C34" s="619">
        <f>+C94</f>
        <v>83753861000</v>
      </c>
      <c r="D34" s="619">
        <f>+D94</f>
        <v>30317362000</v>
      </c>
      <c r="E34" s="619">
        <f t="shared" ref="E34:N34" si="21">+E94</f>
        <v>39310287000</v>
      </c>
      <c r="F34" s="619">
        <f t="shared" si="21"/>
        <v>84638569000</v>
      </c>
      <c r="G34" s="619">
        <f t="shared" si="21"/>
        <v>135030389000</v>
      </c>
      <c r="H34" s="619">
        <f t="shared" si="21"/>
        <v>110107272000</v>
      </c>
      <c r="I34" s="619">
        <f t="shared" si="21"/>
        <v>109163047000</v>
      </c>
      <c r="J34" s="620">
        <f t="shared" si="21"/>
        <v>39253894000</v>
      </c>
      <c r="K34" s="621">
        <f t="shared" si="21"/>
        <v>0</v>
      </c>
      <c r="L34" s="619">
        <f t="shared" si="21"/>
        <v>0</v>
      </c>
      <c r="M34" s="619">
        <f t="shared" si="21"/>
        <v>0</v>
      </c>
      <c r="N34" s="619">
        <f t="shared" si="21"/>
        <v>0</v>
      </c>
    </row>
    <row r="35" spans="1:18" ht="14.65" customHeight="1">
      <c r="B35" s="583" t="s">
        <v>159</v>
      </c>
      <c r="C35" s="622">
        <f>+C95</f>
        <v>58.569133566433564</v>
      </c>
      <c r="D35" s="622">
        <f t="shared" ref="D35:N35" si="22">+D95</f>
        <v>21.200952447552446</v>
      </c>
      <c r="E35" s="622">
        <f t="shared" si="22"/>
        <v>27.489711188811189</v>
      </c>
      <c r="F35" s="622">
        <f t="shared" si="22"/>
        <v>52.896933280192513</v>
      </c>
      <c r="G35" s="622">
        <f t="shared" si="22"/>
        <v>84.390527417015306</v>
      </c>
      <c r="H35" s="622">
        <f t="shared" si="22"/>
        <v>68.814218972062363</v>
      </c>
      <c r="I35" s="622">
        <f t="shared" si="22"/>
        <v>68.224102581667225</v>
      </c>
      <c r="J35" s="623">
        <f t="shared" si="22"/>
        <v>24.532676254317927</v>
      </c>
      <c r="K35" s="624">
        <f t="shared" si="22"/>
        <v>0</v>
      </c>
      <c r="L35" s="622">
        <f t="shared" si="22"/>
        <v>0</v>
      </c>
      <c r="M35" s="622">
        <f t="shared" si="22"/>
        <v>0</v>
      </c>
      <c r="N35" s="622">
        <f t="shared" si="22"/>
        <v>0</v>
      </c>
    </row>
    <row r="36" spans="1:18" ht="14.65" customHeight="1">
      <c r="B36" s="625" t="s">
        <v>160</v>
      </c>
      <c r="C36" s="626">
        <f t="shared" ref="C36:N36" si="23">C34/C13</f>
        <v>0.21227588830842059</v>
      </c>
      <c r="D36" s="626">
        <f t="shared" si="23"/>
        <v>8.0705373311148354E-2</v>
      </c>
      <c r="E36" s="626">
        <f t="shared" si="23"/>
        <v>9.8738816124209761E-2</v>
      </c>
      <c r="F36" s="626">
        <f t="shared" si="23"/>
        <v>0.17643032154671656</v>
      </c>
      <c r="G36" s="626">
        <f t="shared" si="23"/>
        <v>0.29587549736926622</v>
      </c>
      <c r="H36" s="626">
        <f t="shared" si="23"/>
        <v>0.2039623669495334</v>
      </c>
      <c r="I36" s="626">
        <f t="shared" si="23"/>
        <v>0.18669440815231841</v>
      </c>
      <c r="J36" s="627">
        <f t="shared" si="23"/>
        <v>6.4080306844514837E-2</v>
      </c>
      <c r="K36" s="628" t="e">
        <f t="shared" si="23"/>
        <v>#DIV/0!</v>
      </c>
      <c r="L36" s="626" t="e">
        <f t="shared" si="23"/>
        <v>#DIV/0!</v>
      </c>
      <c r="M36" s="626" t="e">
        <f t="shared" si="23"/>
        <v>#DIV/0!</v>
      </c>
      <c r="N36" s="626" t="e">
        <f t="shared" si="23"/>
        <v>#DIV/0!</v>
      </c>
    </row>
    <row r="37" spans="1:18" ht="14.65" customHeight="1">
      <c r="B37" s="625" t="s">
        <v>548</v>
      </c>
      <c r="C37" s="626">
        <f>AVERAGE(G36:I36)</f>
        <v>0.22884409082370602</v>
      </c>
      <c r="D37" s="626"/>
      <c r="E37" s="626"/>
      <c r="F37" s="626"/>
      <c r="G37" s="626"/>
      <c r="H37" s="626"/>
      <c r="I37" s="626"/>
      <c r="J37" s="627"/>
      <c r="K37" s="628"/>
      <c r="L37" s="626"/>
      <c r="M37" s="626"/>
      <c r="N37" s="626"/>
    </row>
    <row r="38" spans="1:18" ht="14.65" customHeight="1">
      <c r="B38" s="629" t="s">
        <v>298</v>
      </c>
      <c r="C38" s="630">
        <f>+C110</f>
        <v>3947927000</v>
      </c>
      <c r="D38" s="630">
        <f t="shared" ref="D38:N38" si="24">+D110</f>
        <v>4526234000</v>
      </c>
      <c r="E38" s="630">
        <f t="shared" si="24"/>
        <v>3206616000</v>
      </c>
      <c r="F38" s="630">
        <f t="shared" si="24"/>
        <v>2622088000</v>
      </c>
      <c r="G38" s="630">
        <f t="shared" si="24"/>
        <v>4590222000</v>
      </c>
      <c r="H38" s="630">
        <f t="shared" si="24"/>
        <v>34938338000</v>
      </c>
      <c r="I38" s="630">
        <f t="shared" si="24"/>
        <v>6628611000</v>
      </c>
      <c r="J38" s="631">
        <f t="shared" si="24"/>
        <v>-408731000</v>
      </c>
      <c r="K38" s="632">
        <f t="shared" si="24"/>
        <v>0</v>
      </c>
      <c r="L38" s="633">
        <f t="shared" si="24"/>
        <v>0</v>
      </c>
      <c r="M38" s="633">
        <f t="shared" si="24"/>
        <v>0</v>
      </c>
      <c r="N38" s="633">
        <f t="shared" si="24"/>
        <v>0</v>
      </c>
    </row>
    <row r="39" spans="1:18" ht="14.65" customHeight="1">
      <c r="A39" s="634"/>
      <c r="B39" s="635" t="s">
        <v>119</v>
      </c>
      <c r="C39" s="636">
        <f t="shared" ref="C39:N39" si="25">SUM(C41:C44)</f>
        <v>17.5</v>
      </c>
      <c r="D39" s="636">
        <f t="shared" si="25"/>
        <v>29.7</v>
      </c>
      <c r="E39" s="636">
        <f t="shared" si="25"/>
        <v>12</v>
      </c>
      <c r="F39" s="636">
        <f t="shared" si="25"/>
        <v>8.25</v>
      </c>
      <c r="G39" s="636">
        <f t="shared" si="25"/>
        <v>59.78</v>
      </c>
      <c r="H39" s="636">
        <f t="shared" si="25"/>
        <v>28.317</v>
      </c>
      <c r="I39" s="636">
        <f t="shared" si="25"/>
        <v>36.53</v>
      </c>
      <c r="J39" s="636">
        <f t="shared" si="25"/>
        <v>11.33</v>
      </c>
      <c r="K39" s="635">
        <f t="shared" si="25"/>
        <v>0</v>
      </c>
      <c r="L39" s="635">
        <f t="shared" si="25"/>
        <v>0</v>
      </c>
      <c r="M39" s="635">
        <f t="shared" si="25"/>
        <v>0</v>
      </c>
      <c r="N39" s="635">
        <f t="shared" si="25"/>
        <v>0</v>
      </c>
      <c r="O39" s="68"/>
      <c r="P39" s="68"/>
      <c r="Q39" s="382"/>
      <c r="R39" s="382"/>
    </row>
    <row r="40" spans="1:18" s="612" customFormat="1" ht="14.65" customHeight="1">
      <c r="A40" s="637"/>
      <c r="B40" s="638" t="s">
        <v>383</v>
      </c>
      <c r="C40" s="639">
        <f t="shared" ref="C40:N40" si="26">+C39-C43-C44</f>
        <v>13.97</v>
      </c>
      <c r="D40" s="639">
        <f t="shared" si="26"/>
        <v>29.7</v>
      </c>
      <c r="E40" s="639">
        <f t="shared" si="26"/>
        <v>12</v>
      </c>
      <c r="F40" s="639">
        <f t="shared" si="26"/>
        <v>8.25</v>
      </c>
      <c r="G40" s="639">
        <f t="shared" si="26"/>
        <v>28.87</v>
      </c>
      <c r="H40" s="639">
        <f t="shared" si="26"/>
        <v>28.317</v>
      </c>
      <c r="I40" s="639">
        <f t="shared" si="26"/>
        <v>36.53</v>
      </c>
      <c r="J40" s="639">
        <f t="shared" si="26"/>
        <v>11.33</v>
      </c>
      <c r="K40" s="638">
        <f t="shared" si="26"/>
        <v>0</v>
      </c>
      <c r="L40" s="638">
        <f t="shared" si="26"/>
        <v>0</v>
      </c>
      <c r="M40" s="638">
        <f t="shared" si="26"/>
        <v>0</v>
      </c>
      <c r="N40" s="638">
        <f t="shared" si="26"/>
        <v>0</v>
      </c>
      <c r="O40" s="69"/>
      <c r="P40" s="69"/>
      <c r="Q40" s="640"/>
      <c r="R40" s="640"/>
    </row>
    <row r="41" spans="1:18" ht="14.65" customHeight="1">
      <c r="B41" s="641" t="s">
        <v>121</v>
      </c>
      <c r="C41" s="642">
        <v>13.97</v>
      </c>
      <c r="D41" s="642">
        <v>29.7</v>
      </c>
      <c r="E41" s="642">
        <v>12</v>
      </c>
      <c r="F41" s="642">
        <v>8.25</v>
      </c>
      <c r="G41" s="642">
        <v>15.87</v>
      </c>
      <c r="H41" s="642">
        <v>12.317</v>
      </c>
      <c r="I41" s="642">
        <v>22.8</v>
      </c>
      <c r="J41" s="642">
        <v>11.33</v>
      </c>
      <c r="K41" s="643"/>
      <c r="L41" s="644"/>
      <c r="M41" s="644"/>
      <c r="N41" s="644"/>
    </row>
    <row r="42" spans="1:18" ht="14.65" customHeight="1">
      <c r="B42" s="641" t="s">
        <v>122</v>
      </c>
      <c r="C42" s="642"/>
      <c r="D42" s="642"/>
      <c r="E42" s="642"/>
      <c r="F42" s="642"/>
      <c r="G42" s="642">
        <v>13</v>
      </c>
      <c r="H42" s="642">
        <v>16</v>
      </c>
      <c r="I42" s="642">
        <v>13.73</v>
      </c>
      <c r="J42" s="642"/>
      <c r="K42" s="644"/>
      <c r="L42" s="644"/>
      <c r="M42" s="644"/>
      <c r="N42" s="644"/>
    </row>
    <row r="43" spans="1:18" ht="14.65" customHeight="1">
      <c r="B43" s="641" t="s">
        <v>124</v>
      </c>
      <c r="C43" s="642"/>
      <c r="D43" s="642"/>
      <c r="E43" s="642"/>
      <c r="F43" s="642"/>
      <c r="G43" s="642">
        <v>18</v>
      </c>
      <c r="H43" s="642"/>
      <c r="I43" s="642"/>
      <c r="J43" s="642"/>
      <c r="K43" s="644"/>
      <c r="L43" s="644"/>
      <c r="M43" s="644"/>
      <c r="N43" s="644"/>
    </row>
    <row r="44" spans="1:18" ht="14.65" customHeight="1">
      <c r="B44" s="641" t="s">
        <v>123</v>
      </c>
      <c r="C44" s="642">
        <v>3.53</v>
      </c>
      <c r="D44" s="642"/>
      <c r="E44" s="642"/>
      <c r="F44" s="642"/>
      <c r="G44" s="642">
        <v>12.91</v>
      </c>
      <c r="H44" s="642"/>
      <c r="I44" s="642"/>
      <c r="J44" s="642"/>
      <c r="K44" s="644"/>
      <c r="L44" s="644"/>
      <c r="M44" s="644"/>
      <c r="N44" s="644"/>
    </row>
    <row r="45" spans="1:18" ht="14.65" customHeight="1">
      <c r="A45" s="645"/>
      <c r="B45" s="646" t="s">
        <v>167</v>
      </c>
      <c r="C45" s="647">
        <f t="shared" ref="C45:N45" si="27">(SUM(C42:C44)+D41)/C35</f>
        <v>0.56736369443314383</v>
      </c>
      <c r="D45" s="647">
        <f t="shared" si="27"/>
        <v>0.56601230674357494</v>
      </c>
      <c r="E45" s="647">
        <f t="shared" si="27"/>
        <v>0.30011228358622771</v>
      </c>
      <c r="F45" s="647">
        <f t="shared" si="27"/>
        <v>0.30001739261399846</v>
      </c>
      <c r="G45" s="647">
        <f t="shared" si="27"/>
        <v>0.66627146103915902</v>
      </c>
      <c r="H45" s="647">
        <f t="shared" si="27"/>
        <v>0.56383695956430557</v>
      </c>
      <c r="I45" s="647">
        <f t="shared" si="27"/>
        <v>0.36731886608551706</v>
      </c>
      <c r="J45" s="647">
        <f t="shared" si="27"/>
        <v>0</v>
      </c>
      <c r="K45" s="647" t="e">
        <f t="shared" si="27"/>
        <v>#DIV/0!</v>
      </c>
      <c r="L45" s="647" t="e">
        <f t="shared" si="27"/>
        <v>#DIV/0!</v>
      </c>
      <c r="M45" s="647" t="e">
        <f t="shared" si="27"/>
        <v>#DIV/0!</v>
      </c>
      <c r="N45" s="647" t="e">
        <f t="shared" si="27"/>
        <v>#DIV/0!</v>
      </c>
    </row>
    <row r="46" spans="1:18" ht="14.65" customHeight="1">
      <c r="A46" s="645"/>
      <c r="B46" s="646" t="s">
        <v>303</v>
      </c>
      <c r="C46" s="647">
        <f>AVERAGE(G45:I45)</f>
        <v>0.53247576222966053</v>
      </c>
      <c r="D46" s="647"/>
      <c r="E46" s="647"/>
      <c r="F46" s="647"/>
      <c r="G46" s="647"/>
      <c r="H46" s="647"/>
      <c r="I46" s="647"/>
      <c r="J46" s="647"/>
      <c r="K46" s="647"/>
      <c r="L46" s="647"/>
      <c r="M46" s="647"/>
      <c r="N46" s="647"/>
    </row>
    <row r="47" spans="1:18" ht="14.65" customHeight="1">
      <c r="B47" s="648" t="s">
        <v>304</v>
      </c>
      <c r="C47" s="649">
        <f t="shared" ref="C47:N47" si="28">+C39/C17</f>
        <v>6.2627491679490388E-2</v>
      </c>
      <c r="D47" s="649">
        <f t="shared" si="28"/>
        <v>6.3081432394545681E-2</v>
      </c>
      <c r="E47" s="649">
        <f t="shared" si="28"/>
        <v>5.0492299924261554E-2</v>
      </c>
      <c r="F47" s="649">
        <f t="shared" si="28"/>
        <v>3.2077452467047705E-2</v>
      </c>
      <c r="G47" s="649">
        <f t="shared" si="28"/>
        <v>0.23156182212581344</v>
      </c>
      <c r="H47" s="649">
        <f t="shared" si="28"/>
        <v>9.3455445544554455E-2</v>
      </c>
      <c r="I47" s="649">
        <f t="shared" si="28"/>
        <v>9.5698417688357948E-2</v>
      </c>
      <c r="J47" s="649" t="e">
        <f t="shared" si="28"/>
        <v>#DIV/0!</v>
      </c>
      <c r="K47" s="649" t="e">
        <f t="shared" si="28"/>
        <v>#DIV/0!</v>
      </c>
      <c r="L47" s="649" t="e">
        <f t="shared" si="28"/>
        <v>#DIV/0!</v>
      </c>
      <c r="M47" s="649" t="e">
        <f t="shared" si="28"/>
        <v>#DIV/0!</v>
      </c>
      <c r="N47" s="649" t="e">
        <f t="shared" si="28"/>
        <v>#DIV/0!</v>
      </c>
    </row>
    <row r="48" spans="1:18" ht="14.65" customHeight="1">
      <c r="B48" s="648" t="s">
        <v>549</v>
      </c>
      <c r="C48" s="649">
        <f>AVERAGE(G47:I47)</f>
        <v>0.14023856178624194</v>
      </c>
      <c r="D48" s="649"/>
      <c r="E48" s="649"/>
      <c r="F48" s="649"/>
      <c r="G48" s="649"/>
      <c r="H48" s="649"/>
      <c r="I48" s="649"/>
      <c r="J48" s="649"/>
      <c r="K48" s="649"/>
      <c r="L48" s="649"/>
      <c r="M48" s="649"/>
      <c r="N48" s="649"/>
    </row>
    <row r="49" spans="1:14" ht="14.65" customHeight="1">
      <c r="A49" s="357"/>
      <c r="B49" s="650" t="s">
        <v>176</v>
      </c>
      <c r="C49" s="651">
        <f t="shared" ref="C49:N49" si="29">+C36*(100%-C45)</f>
        <v>9.1838256078677682E-2</v>
      </c>
      <c r="D49" s="651">
        <f t="shared" si="29"/>
        <v>3.5025138796703922E-2</v>
      </c>
      <c r="E49" s="651">
        <f t="shared" si="29"/>
        <v>6.9106084538572518E-2</v>
      </c>
      <c r="F49" s="651">
        <f t="shared" si="29"/>
        <v>0.12349815649822132</v>
      </c>
      <c r="G49" s="651">
        <f t="shared" si="29"/>
        <v>9.8742097451357369E-2</v>
      </c>
      <c r="H49" s="651">
        <f t="shared" si="29"/>
        <v>8.8960846103169289E-2</v>
      </c>
      <c r="I49" s="651">
        <f t="shared" si="29"/>
        <v>0.11811802984530209</v>
      </c>
      <c r="J49" s="651">
        <f t="shared" si="29"/>
        <v>6.4080306844514837E-2</v>
      </c>
      <c r="K49" s="651" t="e">
        <f t="shared" si="29"/>
        <v>#DIV/0!</v>
      </c>
      <c r="L49" s="651" t="e">
        <f t="shared" si="29"/>
        <v>#DIV/0!</v>
      </c>
      <c r="M49" s="651" t="e">
        <f t="shared" si="29"/>
        <v>#DIV/0!</v>
      </c>
      <c r="N49" s="651" t="e">
        <f t="shared" si="29"/>
        <v>#DIV/0!</v>
      </c>
    </row>
    <row r="50" spans="1:14" ht="14.65" customHeight="1">
      <c r="B50" s="679" t="s">
        <v>306</v>
      </c>
      <c r="C50" s="680">
        <f>AVERAGE(G49:I49)</f>
        <v>0.10194032446660957</v>
      </c>
      <c r="D50" s="680"/>
      <c r="E50" s="680"/>
      <c r="F50" s="680"/>
      <c r="G50" s="680"/>
      <c r="H50" s="680"/>
      <c r="I50" s="680"/>
      <c r="J50" s="680"/>
      <c r="K50" s="680"/>
      <c r="L50" s="680"/>
      <c r="M50" s="680"/>
      <c r="N50" s="680"/>
    </row>
    <row r="52" spans="1:14" ht="18.399999999999999" thickBot="1">
      <c r="B52" s="652" t="s">
        <v>307</v>
      </c>
    </row>
    <row r="53" spans="1:14" s="38" customFormat="1" ht="18">
      <c r="B53" s="653" t="s">
        <v>309</v>
      </c>
      <c r="C53" s="654">
        <f t="shared" ref="C53:H53" si="30">+C6</f>
        <v>2017</v>
      </c>
      <c r="D53" s="654">
        <f t="shared" si="30"/>
        <v>2018</v>
      </c>
      <c r="E53" s="654">
        <f t="shared" si="30"/>
        <v>2019</v>
      </c>
      <c r="F53" s="654">
        <f t="shared" si="30"/>
        <v>2020</v>
      </c>
      <c r="G53" s="654">
        <f t="shared" si="30"/>
        <v>2021</v>
      </c>
      <c r="H53" s="654">
        <f t="shared" si="30"/>
        <v>2022</v>
      </c>
      <c r="I53" s="654">
        <v>2023</v>
      </c>
      <c r="J53" s="655">
        <f>+J6</f>
        <v>2024</v>
      </c>
      <c r="K53" s="656">
        <v>2024</v>
      </c>
      <c r="L53" s="654">
        <f>+L6</f>
        <v>2026</v>
      </c>
      <c r="M53" s="654">
        <v>2025</v>
      </c>
      <c r="N53" s="654">
        <f>+N6</f>
        <v>2028</v>
      </c>
    </row>
    <row r="54" spans="1:14">
      <c r="B54" s="140" t="s">
        <v>550</v>
      </c>
      <c r="C54" s="64">
        <v>31220069000</v>
      </c>
      <c r="D54" s="64">
        <v>17142083000</v>
      </c>
      <c r="E54" s="64">
        <v>21176416000</v>
      </c>
      <c r="F54" s="141">
        <v>34040424000</v>
      </c>
      <c r="G54" s="64">
        <v>30956769000</v>
      </c>
      <c r="H54" s="64">
        <v>15681171000</v>
      </c>
      <c r="I54" s="64">
        <v>22482787000</v>
      </c>
      <c r="J54" s="64">
        <v>34518349000</v>
      </c>
      <c r="K54" s="196"/>
      <c r="L54" s="64"/>
      <c r="M54" s="64"/>
      <c r="N54" s="64"/>
    </row>
    <row r="55" spans="1:14">
      <c r="B55" s="657" t="s">
        <v>386</v>
      </c>
      <c r="C55" s="66">
        <v>4700797000</v>
      </c>
      <c r="D55" s="66">
        <v>6825982000</v>
      </c>
      <c r="E55" s="66">
        <v>7748537000</v>
      </c>
      <c r="F55" s="160">
        <v>7354859000</v>
      </c>
      <c r="G55" s="66">
        <v>8831082000</v>
      </c>
      <c r="H55" s="66">
        <v>8630533000</v>
      </c>
      <c r="I55" s="66">
        <v>9535528000</v>
      </c>
      <c r="J55" s="66">
        <v>9308546000</v>
      </c>
      <c r="K55" s="105"/>
      <c r="L55" s="66"/>
      <c r="M55" s="66"/>
      <c r="N55" s="66"/>
    </row>
    <row r="56" spans="1:14">
      <c r="B56" s="657" t="s">
        <v>484</v>
      </c>
      <c r="C56" s="66">
        <v>26289555000</v>
      </c>
      <c r="D56" s="66">
        <v>10131653000</v>
      </c>
      <c r="E56" s="66">
        <v>13256518000</v>
      </c>
      <c r="F56" s="160">
        <v>26526311000</v>
      </c>
      <c r="G56" s="66">
        <v>21957115000</v>
      </c>
      <c r="H56" s="66">
        <v>6907210000</v>
      </c>
      <c r="I56" s="66">
        <v>12812623000</v>
      </c>
      <c r="J56" s="66">
        <v>25079093000</v>
      </c>
      <c r="K56" s="105"/>
      <c r="L56" s="66"/>
      <c r="M56" s="66"/>
      <c r="N56" s="66"/>
    </row>
    <row r="57" spans="1:14">
      <c r="B57" s="59" t="s">
        <v>551</v>
      </c>
      <c r="C57" s="66">
        <f t="shared" ref="C57:F57" si="31">+C54-C55-C56</f>
        <v>229717000</v>
      </c>
      <c r="D57" s="66">
        <f t="shared" si="31"/>
        <v>184448000</v>
      </c>
      <c r="E57" s="66">
        <f t="shared" si="31"/>
        <v>171361000</v>
      </c>
      <c r="F57" s="66">
        <f t="shared" si="31"/>
        <v>159254000</v>
      </c>
      <c r="G57" s="66">
        <f>+G54-G55-G56</f>
        <v>168572000</v>
      </c>
      <c r="H57" s="66">
        <f>+H54-H55-H56</f>
        <v>143428000</v>
      </c>
      <c r="I57" s="66">
        <f>+I54-I55-I56</f>
        <v>134636000</v>
      </c>
      <c r="J57" s="66">
        <f t="shared" ref="J57:K57" si="32">+J54-J55-J56</f>
        <v>130710000</v>
      </c>
      <c r="K57" s="66">
        <f t="shared" si="32"/>
        <v>0</v>
      </c>
      <c r="L57" s="66">
        <f>+L54-L55-L56</f>
        <v>0</v>
      </c>
      <c r="M57" s="66">
        <f t="shared" ref="M57:N57" si="33">+M54-M55-M56</f>
        <v>0</v>
      </c>
      <c r="N57" s="66">
        <f t="shared" si="33"/>
        <v>0</v>
      </c>
    </row>
    <row r="58" spans="1:14">
      <c r="B58" s="58" t="s">
        <v>552</v>
      </c>
      <c r="C58" s="64">
        <v>450331646000</v>
      </c>
      <c r="D58" s="64">
        <v>431214357000</v>
      </c>
      <c r="E58" s="64">
        <v>487901066000</v>
      </c>
      <c r="F58" s="64">
        <v>538160661000</v>
      </c>
      <c r="G58" s="64">
        <v>516689139000</v>
      </c>
      <c r="H58" s="64">
        <v>612677495000</v>
      </c>
      <c r="I58" s="64">
        <v>654316308000</v>
      </c>
      <c r="J58" s="65">
        <v>683319047000</v>
      </c>
      <c r="K58" s="64"/>
      <c r="L58" s="64"/>
      <c r="M58" s="64"/>
      <c r="N58" s="64"/>
    </row>
    <row r="59" spans="1:14">
      <c r="B59" s="59" t="s">
        <v>553</v>
      </c>
      <c r="C59" s="66">
        <v>450331646000</v>
      </c>
      <c r="D59" s="66">
        <v>431214357000</v>
      </c>
      <c r="E59" s="66">
        <v>487901066000</v>
      </c>
      <c r="F59" s="66">
        <v>538160661000</v>
      </c>
      <c r="G59" s="66">
        <v>516689139000</v>
      </c>
      <c r="H59" s="66">
        <v>612677495000</v>
      </c>
      <c r="I59" s="66">
        <v>654316308000</v>
      </c>
      <c r="J59" s="67">
        <v>683319047000</v>
      </c>
      <c r="K59" s="105"/>
      <c r="L59" s="66"/>
      <c r="M59" s="66"/>
      <c r="N59" s="66"/>
    </row>
    <row r="60" spans="1:14" ht="14.65" thickBot="1">
      <c r="B60" s="658" t="s">
        <v>329</v>
      </c>
      <c r="C60" s="659">
        <f t="shared" ref="C60:N60" si="34">+C58+C54</f>
        <v>481551715000</v>
      </c>
      <c r="D60" s="659">
        <f t="shared" si="34"/>
        <v>448356440000</v>
      </c>
      <c r="E60" s="659">
        <f t="shared" si="34"/>
        <v>509077482000</v>
      </c>
      <c r="F60" s="659">
        <f t="shared" si="34"/>
        <v>572201085000</v>
      </c>
      <c r="G60" s="659">
        <f t="shared" si="34"/>
        <v>547645908000</v>
      </c>
      <c r="H60" s="659">
        <f t="shared" si="34"/>
        <v>628358666000</v>
      </c>
      <c r="I60" s="659">
        <f t="shared" si="34"/>
        <v>676799095000</v>
      </c>
      <c r="J60" s="660">
        <f t="shared" si="34"/>
        <v>717837396000</v>
      </c>
      <c r="K60" s="661">
        <f t="shared" si="34"/>
        <v>0</v>
      </c>
      <c r="L60" s="659">
        <f t="shared" si="34"/>
        <v>0</v>
      </c>
      <c r="M60" s="659">
        <f t="shared" si="34"/>
        <v>0</v>
      </c>
      <c r="N60" s="659">
        <f t="shared" si="34"/>
        <v>0</v>
      </c>
    </row>
    <row r="61" spans="1:14" ht="14.65" thickBot="1">
      <c r="B61" s="61"/>
      <c r="C61" s="72"/>
      <c r="D61" s="72"/>
      <c r="E61" s="72"/>
      <c r="F61" s="72"/>
      <c r="G61" s="72"/>
      <c r="H61" s="72"/>
      <c r="I61" s="72"/>
      <c r="J61" s="73"/>
      <c r="K61" s="107"/>
      <c r="L61" s="72"/>
      <c r="M61" s="72"/>
      <c r="N61" s="72"/>
    </row>
    <row r="62" spans="1:14" s="38" customFormat="1" ht="18">
      <c r="B62" s="653" t="s">
        <v>330</v>
      </c>
      <c r="C62" s="654"/>
      <c r="D62" s="654"/>
      <c r="E62" s="654"/>
      <c r="F62" s="654"/>
      <c r="G62" s="654"/>
      <c r="H62" s="654"/>
      <c r="I62" s="654"/>
      <c r="J62" s="655"/>
      <c r="K62" s="656"/>
      <c r="L62" s="654"/>
      <c r="M62" s="654"/>
      <c r="N62" s="654"/>
    </row>
    <row r="63" spans="1:14">
      <c r="B63" s="58" t="s">
        <v>554</v>
      </c>
      <c r="C63" s="64">
        <v>25364065000</v>
      </c>
      <c r="D63" s="64">
        <v>9300309000</v>
      </c>
      <c r="E63" s="64">
        <v>45840675000</v>
      </c>
      <c r="F63" s="64">
        <v>25611305000</v>
      </c>
      <c r="G63" s="64">
        <v>19989200000</v>
      </c>
      <c r="H63" s="64">
        <v>7762295000</v>
      </c>
      <c r="I63" s="64">
        <v>15047436000</v>
      </c>
      <c r="J63" s="65">
        <v>27590125000</v>
      </c>
      <c r="K63" s="196"/>
      <c r="L63" s="64"/>
      <c r="M63" s="64"/>
      <c r="N63" s="64"/>
    </row>
    <row r="64" spans="1:14">
      <c r="B64" s="59" t="s">
        <v>491</v>
      </c>
      <c r="C64" s="66">
        <v>110775000</v>
      </c>
      <c r="D64" s="66">
        <v>113949000</v>
      </c>
      <c r="E64" s="66">
        <v>33942941000</v>
      </c>
      <c r="F64" s="66">
        <v>120168000</v>
      </c>
      <c r="G64" s="66">
        <v>128111000</v>
      </c>
      <c r="H64" s="66">
        <v>145136000</v>
      </c>
      <c r="I64" s="66">
        <v>3940333000</v>
      </c>
      <c r="J64" s="67">
        <v>4838986000</v>
      </c>
      <c r="K64" s="105"/>
      <c r="L64" s="66"/>
      <c r="M64" s="66"/>
      <c r="N64" s="66"/>
    </row>
    <row r="65" spans="1:14">
      <c r="B65" s="59" t="s">
        <v>405</v>
      </c>
      <c r="C65">
        <v>25251210000</v>
      </c>
      <c r="D65" s="66">
        <v>9186360000</v>
      </c>
      <c r="E65" s="66">
        <v>11897734000</v>
      </c>
      <c r="F65" s="66">
        <v>25491137000</v>
      </c>
      <c r="G65" s="66">
        <v>19861089000</v>
      </c>
      <c r="H65" s="66">
        <v>7617159000</v>
      </c>
      <c r="I65" s="66">
        <v>11107103000</v>
      </c>
      <c r="J65" s="67">
        <v>22751139000</v>
      </c>
      <c r="K65" s="105"/>
      <c r="L65" s="66"/>
      <c r="M65" s="66"/>
      <c r="N65" s="66"/>
    </row>
    <row r="66" spans="1:14">
      <c r="B66" s="59" t="s">
        <v>408</v>
      </c>
      <c r="C66" s="66">
        <v>2080000</v>
      </c>
      <c r="D66" s="66">
        <v>0</v>
      </c>
      <c r="E66" s="66">
        <v>0</v>
      </c>
      <c r="F66" s="66">
        <v>0</v>
      </c>
      <c r="G66" s="66">
        <v>0</v>
      </c>
      <c r="H66" s="66">
        <v>0</v>
      </c>
      <c r="I66" s="66">
        <v>0</v>
      </c>
      <c r="J66" s="66">
        <v>0</v>
      </c>
      <c r="K66" s="105"/>
      <c r="L66" s="66"/>
      <c r="M66" s="66"/>
      <c r="N66" s="66"/>
    </row>
    <row r="67" spans="1:14">
      <c r="B67" s="58" t="s">
        <v>555</v>
      </c>
      <c r="C67" s="64">
        <v>61635722000</v>
      </c>
      <c r="D67" s="64">
        <v>63401317000</v>
      </c>
      <c r="E67" s="64">
        <v>65112862000</v>
      </c>
      <c r="F67" s="64">
        <v>66861759000</v>
      </c>
      <c r="G67" s="64">
        <v>71281002000</v>
      </c>
      <c r="H67" s="64">
        <v>80755254000</v>
      </c>
      <c r="I67" s="64">
        <v>77036919000</v>
      </c>
      <c r="J67" s="65">
        <v>77673831000</v>
      </c>
      <c r="K67" s="196"/>
      <c r="L67" s="64"/>
      <c r="M67" s="64"/>
      <c r="N67" s="64"/>
    </row>
    <row r="68" spans="1:14">
      <c r="B68" s="59" t="s">
        <v>497</v>
      </c>
      <c r="C68" s="66">
        <v>61635722000</v>
      </c>
      <c r="D68" s="66">
        <v>63401317000</v>
      </c>
      <c r="E68" s="117">
        <v>65112862000</v>
      </c>
      <c r="F68" s="66">
        <v>66861759000</v>
      </c>
      <c r="G68" s="66">
        <v>71281002000</v>
      </c>
      <c r="H68" s="117">
        <v>80755254000</v>
      </c>
      <c r="I68" s="117">
        <v>77036919000</v>
      </c>
      <c r="J68" s="450">
        <v>77673831000</v>
      </c>
      <c r="K68" s="105"/>
      <c r="L68" s="66"/>
      <c r="M68" s="66"/>
      <c r="N68" s="66"/>
    </row>
    <row r="69" spans="1:14" ht="14.65" thickBot="1">
      <c r="B69" s="662" t="s">
        <v>342</v>
      </c>
      <c r="C69" s="663">
        <f t="shared" ref="C69:N69" si="35">+C67+C63</f>
        <v>86999787000</v>
      </c>
      <c r="D69" s="663">
        <f>+D67+D63</f>
        <v>72701626000</v>
      </c>
      <c r="E69" s="663">
        <f t="shared" si="35"/>
        <v>110953537000</v>
      </c>
      <c r="F69" s="663">
        <f t="shared" si="35"/>
        <v>92473064000</v>
      </c>
      <c r="G69" s="663">
        <f t="shared" si="35"/>
        <v>91270202000</v>
      </c>
      <c r="H69" s="663">
        <f t="shared" si="35"/>
        <v>88517549000</v>
      </c>
      <c r="I69" s="663">
        <f t="shared" si="35"/>
        <v>92084355000</v>
      </c>
      <c r="J69" s="664">
        <f t="shared" si="35"/>
        <v>105263956000</v>
      </c>
      <c r="K69" s="665">
        <f t="shared" si="35"/>
        <v>0</v>
      </c>
      <c r="L69" s="663">
        <f t="shared" si="35"/>
        <v>0</v>
      </c>
      <c r="M69" s="663">
        <f t="shared" si="35"/>
        <v>0</v>
      </c>
      <c r="N69" s="663">
        <f t="shared" si="35"/>
        <v>0</v>
      </c>
    </row>
    <row r="70" spans="1:14" ht="14.65" thickBot="1"/>
    <row r="71" spans="1:14" s="38" customFormat="1" ht="18">
      <c r="B71" s="653" t="s">
        <v>343</v>
      </c>
      <c r="C71" s="654"/>
      <c r="D71" s="654"/>
      <c r="E71" s="654"/>
      <c r="F71" s="654"/>
      <c r="G71" s="654"/>
      <c r="H71" s="654"/>
      <c r="I71" s="654"/>
      <c r="J71" s="655"/>
      <c r="K71" s="656"/>
      <c r="L71" s="654"/>
      <c r="M71" s="654"/>
      <c r="N71" s="654"/>
    </row>
    <row r="72" spans="1:14">
      <c r="B72" s="657" t="s">
        <v>556</v>
      </c>
      <c r="C72" s="66">
        <v>88778486000</v>
      </c>
      <c r="D72" s="66">
        <v>88778486000</v>
      </c>
      <c r="E72" s="66">
        <v>88778486000</v>
      </c>
      <c r="F72" s="66">
        <v>122771220000</v>
      </c>
      <c r="G72" s="66">
        <v>122771220000</v>
      </c>
      <c r="H72" s="66">
        <v>122771220000</v>
      </c>
      <c r="I72" s="66">
        <v>122771220000</v>
      </c>
      <c r="J72" s="66">
        <v>122771220000</v>
      </c>
      <c r="K72" s="66"/>
      <c r="L72" s="66"/>
      <c r="M72" s="66"/>
      <c r="N72" s="66"/>
    </row>
    <row r="73" spans="1:14">
      <c r="B73" s="657" t="s">
        <v>502</v>
      </c>
      <c r="C73" s="66">
        <v>322255624000</v>
      </c>
      <c r="D73" s="66">
        <v>326134370000</v>
      </c>
      <c r="E73" s="66">
        <v>345586780000</v>
      </c>
      <c r="F73" s="66">
        <v>404829364000</v>
      </c>
      <c r="G73" s="66">
        <v>449891134000</v>
      </c>
      <c r="H73" s="66">
        <v>526961686000</v>
      </c>
      <c r="I73" s="66">
        <v>574325449000</v>
      </c>
      <c r="J73" s="66">
        <v>601803175000</v>
      </c>
      <c r="K73" s="66"/>
      <c r="L73" s="66"/>
      <c r="M73" s="66"/>
      <c r="N73" s="66"/>
    </row>
    <row r="74" spans="1:14">
      <c r="B74" s="657" t="s">
        <v>417</v>
      </c>
      <c r="C74" s="66">
        <v>102578000</v>
      </c>
      <c r="D74" s="66">
        <v>102578000</v>
      </c>
      <c r="E74" s="66">
        <v>102578000</v>
      </c>
      <c r="F74" s="66">
        <v>102578000</v>
      </c>
      <c r="G74" s="66">
        <v>102578000</v>
      </c>
      <c r="H74" s="66">
        <v>102578000</v>
      </c>
      <c r="I74" s="66">
        <v>102578000</v>
      </c>
      <c r="J74" s="66">
        <v>102578000</v>
      </c>
      <c r="K74" s="66"/>
      <c r="L74" s="66"/>
      <c r="M74" s="66"/>
      <c r="N74" s="66"/>
    </row>
    <row r="75" spans="1:14">
      <c r="B75" s="657" t="s">
        <v>345</v>
      </c>
      <c r="C75" s="117">
        <v>-16584760000</v>
      </c>
      <c r="D75" s="117">
        <v>-39360620000</v>
      </c>
      <c r="E75" s="117">
        <v>-36343899000</v>
      </c>
      <c r="F75" s="117">
        <v>-47975141000</v>
      </c>
      <c r="G75" s="117">
        <v>-116389226000</v>
      </c>
      <c r="H75" s="117">
        <v>-109994367000</v>
      </c>
      <c r="I75" s="117">
        <v>-112484107000</v>
      </c>
      <c r="J75" s="117">
        <v>-112103533000</v>
      </c>
      <c r="K75" s="117"/>
      <c r="L75" s="117"/>
      <c r="M75" s="117"/>
      <c r="N75" s="117"/>
    </row>
    <row r="76" spans="1:14">
      <c r="B76" s="657" t="s">
        <v>557</v>
      </c>
      <c r="C76" s="117">
        <f t="shared" ref="C76:G76" si="36">+SUM(C72:C75)</f>
        <v>394551928000</v>
      </c>
      <c r="D76" s="117">
        <f t="shared" si="36"/>
        <v>375654814000</v>
      </c>
      <c r="E76" s="117">
        <f t="shared" si="36"/>
        <v>398123945000</v>
      </c>
      <c r="F76" s="117">
        <f t="shared" si="36"/>
        <v>479728021000</v>
      </c>
      <c r="G76" s="117">
        <f t="shared" si="36"/>
        <v>456375706000</v>
      </c>
      <c r="H76" s="117">
        <f>+SUM(H72:H75)</f>
        <v>539841117000</v>
      </c>
      <c r="I76" s="117">
        <f t="shared" ref="I76:N76" si="37">+SUM(I72:I75)</f>
        <v>584715140000</v>
      </c>
      <c r="J76" s="117">
        <f t="shared" si="37"/>
        <v>612573440000</v>
      </c>
      <c r="K76" s="117">
        <f t="shared" si="37"/>
        <v>0</v>
      </c>
      <c r="L76" s="117">
        <f t="shared" si="37"/>
        <v>0</v>
      </c>
      <c r="M76" s="117">
        <f t="shared" si="37"/>
        <v>0</v>
      </c>
      <c r="N76" s="117">
        <f t="shared" si="37"/>
        <v>0</v>
      </c>
    </row>
    <row r="77" spans="1:14">
      <c r="B77" s="657" t="s">
        <v>505</v>
      </c>
      <c r="C77" s="117">
        <v>0</v>
      </c>
      <c r="D77" s="117">
        <v>0</v>
      </c>
      <c r="E77" s="117">
        <v>0</v>
      </c>
      <c r="F77" s="117">
        <v>0</v>
      </c>
      <c r="G77" s="117">
        <v>0</v>
      </c>
      <c r="H77" s="117">
        <v>0</v>
      </c>
      <c r="I77" s="117">
        <v>0</v>
      </c>
      <c r="J77" s="117">
        <v>0</v>
      </c>
      <c r="K77" s="117"/>
      <c r="L77" s="117"/>
      <c r="M77" s="117"/>
      <c r="N77" s="117"/>
    </row>
    <row r="78" spans="1:14" ht="14.65" thickBot="1">
      <c r="A78" s="552"/>
      <c r="B78" s="666" t="s">
        <v>347</v>
      </c>
      <c r="C78" s="667">
        <f t="shared" ref="C78:H78" si="38">+C76+C77</f>
        <v>394551928000</v>
      </c>
      <c r="D78" s="667">
        <f t="shared" si="38"/>
        <v>375654814000</v>
      </c>
      <c r="E78" s="667">
        <f t="shared" si="38"/>
        <v>398123945000</v>
      </c>
      <c r="F78" s="667">
        <f t="shared" si="38"/>
        <v>479728021000</v>
      </c>
      <c r="G78" s="667">
        <f t="shared" si="38"/>
        <v>456375706000</v>
      </c>
      <c r="H78" s="667">
        <f t="shared" si="38"/>
        <v>539841117000</v>
      </c>
      <c r="I78" s="667">
        <f>+I76+I77</f>
        <v>584715140000</v>
      </c>
      <c r="J78" s="667">
        <f>+J76+J77</f>
        <v>612573440000</v>
      </c>
      <c r="K78" s="668">
        <f t="shared" ref="K78:N78" si="39">+K72+K77+K75</f>
        <v>0</v>
      </c>
      <c r="L78" s="667">
        <f t="shared" si="39"/>
        <v>0</v>
      </c>
      <c r="M78" s="667">
        <f t="shared" si="39"/>
        <v>0</v>
      </c>
      <c r="N78" s="667">
        <f t="shared" si="39"/>
        <v>0</v>
      </c>
    </row>
    <row r="80" spans="1:14" ht="18.399999999999999" thickBot="1">
      <c r="B80" s="652" t="s">
        <v>348</v>
      </c>
    </row>
    <row r="81" spans="1:14" s="38" customFormat="1" ht="18">
      <c r="B81" s="653" t="s">
        <v>308</v>
      </c>
      <c r="C81" s="654">
        <v>2017</v>
      </c>
      <c r="D81" s="654">
        <v>2018</v>
      </c>
      <c r="E81" s="654">
        <v>2019</v>
      </c>
      <c r="F81" s="654">
        <v>2020</v>
      </c>
      <c r="G81" s="654">
        <v>2021</v>
      </c>
      <c r="H81" s="654">
        <v>2022</v>
      </c>
      <c r="I81" s="654">
        <v>2023</v>
      </c>
      <c r="J81" s="655">
        <v>2024</v>
      </c>
      <c r="K81" s="656">
        <v>2025</v>
      </c>
      <c r="L81" s="654">
        <v>2026</v>
      </c>
      <c r="M81" s="654">
        <v>2027</v>
      </c>
      <c r="N81" s="654">
        <v>2028</v>
      </c>
    </row>
    <row r="82" spans="1:14">
      <c r="B82" s="657" t="s">
        <v>558</v>
      </c>
      <c r="C82" s="669">
        <v>0</v>
      </c>
      <c r="D82" s="669">
        <v>0</v>
      </c>
      <c r="E82" s="669">
        <v>0</v>
      </c>
      <c r="F82" s="669">
        <v>0</v>
      </c>
      <c r="G82" s="669">
        <v>0</v>
      </c>
      <c r="H82" s="669">
        <v>0</v>
      </c>
      <c r="I82" s="669">
        <v>0</v>
      </c>
      <c r="J82" s="67">
        <v>0</v>
      </c>
      <c r="K82" s="410"/>
      <c r="L82" s="90"/>
      <c r="M82" s="90"/>
      <c r="N82" s="90"/>
    </row>
    <row r="83" spans="1:14">
      <c r="B83" s="657" t="s">
        <v>559</v>
      </c>
      <c r="C83" s="66">
        <v>0</v>
      </c>
      <c r="D83" s="66">
        <v>0</v>
      </c>
      <c r="E83" s="66">
        <v>0</v>
      </c>
      <c r="F83" s="66">
        <v>0</v>
      </c>
      <c r="G83" s="66">
        <v>0</v>
      </c>
      <c r="H83" s="66">
        <v>0</v>
      </c>
      <c r="I83" s="66">
        <v>0</v>
      </c>
      <c r="J83" s="67">
        <v>0</v>
      </c>
      <c r="K83" s="105"/>
      <c r="L83" s="66"/>
      <c r="M83" s="66"/>
      <c r="N83" s="66"/>
    </row>
    <row r="84" spans="1:14">
      <c r="B84" s="86" t="s">
        <v>422</v>
      </c>
      <c r="C84" s="64">
        <f t="shared" ref="C84:F84" si="40">+SUM(C82:C83)</f>
        <v>0</v>
      </c>
      <c r="D84" s="64">
        <f t="shared" si="40"/>
        <v>0</v>
      </c>
      <c r="E84" s="64">
        <f t="shared" si="40"/>
        <v>0</v>
      </c>
      <c r="F84" s="64">
        <f t="shared" si="40"/>
        <v>0</v>
      </c>
      <c r="G84" s="64">
        <f t="shared" ref="G84" si="41">+SUM(G82:G83)</f>
        <v>0</v>
      </c>
      <c r="H84" s="64">
        <f t="shared" ref="H84" si="42">+SUM(H82:H83)</f>
        <v>0</v>
      </c>
      <c r="I84" s="64">
        <f>+SUM(I82:I83)</f>
        <v>0</v>
      </c>
      <c r="J84" s="65">
        <f>+SUM(J82:J83)</f>
        <v>0</v>
      </c>
      <c r="K84" s="64">
        <f t="shared" ref="K84:N84" si="43">+SUM(K82:K83)</f>
        <v>0</v>
      </c>
      <c r="L84" s="64">
        <f t="shared" si="43"/>
        <v>0</v>
      </c>
      <c r="M84" s="64">
        <f t="shared" si="43"/>
        <v>0</v>
      </c>
      <c r="N84" s="64">
        <f t="shared" si="43"/>
        <v>0</v>
      </c>
    </row>
    <row r="85" spans="1:14">
      <c r="B85" s="657" t="s">
        <v>537</v>
      </c>
      <c r="C85" s="66">
        <v>-455164000</v>
      </c>
      <c r="D85" s="66">
        <v>-602945000</v>
      </c>
      <c r="E85" s="66">
        <v>-627613000</v>
      </c>
      <c r="F85" s="66">
        <v>-785026000</v>
      </c>
      <c r="G85" s="66">
        <v>-652185000</v>
      </c>
      <c r="H85" s="66">
        <v>-700840000</v>
      </c>
      <c r="I85" s="66">
        <v>-944074000</v>
      </c>
      <c r="J85" s="67">
        <v>-277924000</v>
      </c>
      <c r="K85" s="105"/>
      <c r="L85" s="66"/>
      <c r="M85" s="66"/>
      <c r="N85" s="66"/>
    </row>
    <row r="86" spans="1:14">
      <c r="B86" s="670" t="s">
        <v>542</v>
      </c>
      <c r="C86" s="671">
        <f t="shared" ref="C86:G86" si="44">+C84+C85</f>
        <v>-455164000</v>
      </c>
      <c r="D86" s="671">
        <f t="shared" si="44"/>
        <v>-602945000</v>
      </c>
      <c r="E86" s="671">
        <f t="shared" si="44"/>
        <v>-627613000</v>
      </c>
      <c r="F86" s="671">
        <f t="shared" si="44"/>
        <v>-785026000</v>
      </c>
      <c r="G86" s="671">
        <f t="shared" si="44"/>
        <v>-652185000</v>
      </c>
      <c r="H86" s="671">
        <f>+H84+H85</f>
        <v>-700840000</v>
      </c>
      <c r="I86" s="671">
        <f>+I84+I85</f>
        <v>-944074000</v>
      </c>
      <c r="J86" s="671">
        <f t="shared" ref="J86:N86" si="45">+J84+J85</f>
        <v>-277924000</v>
      </c>
      <c r="K86" s="671">
        <f t="shared" si="45"/>
        <v>0</v>
      </c>
      <c r="L86" s="671">
        <f t="shared" si="45"/>
        <v>0</v>
      </c>
      <c r="M86" s="671">
        <f t="shared" si="45"/>
        <v>0</v>
      </c>
      <c r="N86" s="671">
        <f t="shared" si="45"/>
        <v>0</v>
      </c>
    </row>
    <row r="87" spans="1:14">
      <c r="A87" t="s">
        <v>429</v>
      </c>
      <c r="B87" s="657" t="s">
        <v>429</v>
      </c>
      <c r="C87" s="117">
        <v>165631000</v>
      </c>
      <c r="D87" s="117">
        <v>214205000</v>
      </c>
      <c r="E87" s="117">
        <v>277373000</v>
      </c>
      <c r="F87" s="117">
        <v>249467000</v>
      </c>
      <c r="G87" s="117">
        <v>28770000</v>
      </c>
      <c r="H87" s="117">
        <v>0</v>
      </c>
      <c r="I87" s="117">
        <v>0</v>
      </c>
      <c r="J87" s="117">
        <v>0</v>
      </c>
      <c r="K87" s="451"/>
      <c r="L87" s="117"/>
      <c r="M87" s="117"/>
      <c r="N87" s="117"/>
    </row>
    <row r="88" spans="1:14">
      <c r="B88" s="657" t="s">
        <v>430</v>
      </c>
      <c r="C88" s="66">
        <v>-2545419000</v>
      </c>
      <c r="D88" s="66">
        <v>-2621440000</v>
      </c>
      <c r="E88" s="66">
        <v>-2686615000</v>
      </c>
      <c r="F88" s="66">
        <v>-3440991000</v>
      </c>
      <c r="G88" s="66">
        <v>-3142491000</v>
      </c>
      <c r="H88" s="66">
        <v>-1755895000</v>
      </c>
      <c r="I88" s="66">
        <v>-2011185000</v>
      </c>
      <c r="J88" s="67">
        <v>-688178000</v>
      </c>
      <c r="K88" s="105"/>
      <c r="L88" s="66"/>
      <c r="M88" s="66"/>
      <c r="N88" s="66"/>
    </row>
    <row r="89" spans="1:14">
      <c r="B89" s="657" t="s">
        <v>560</v>
      </c>
      <c r="C89" s="66">
        <v>87631849000</v>
      </c>
      <c r="D89" s="66">
        <v>33772179000</v>
      </c>
      <c r="E89" s="66">
        <v>44188393000</v>
      </c>
      <c r="F89" s="66">
        <v>88421038000</v>
      </c>
      <c r="G89" s="66">
        <v>143229036000</v>
      </c>
      <c r="H89" s="66">
        <v>121297967000</v>
      </c>
      <c r="I89" s="66">
        <v>115964962000</v>
      </c>
      <c r="J89" s="67">
        <v>40888236000</v>
      </c>
      <c r="K89" s="105"/>
      <c r="L89" s="66"/>
      <c r="M89" s="66"/>
      <c r="N89" s="66"/>
    </row>
    <row r="90" spans="1:14">
      <c r="B90" s="657" t="s">
        <v>433</v>
      </c>
      <c r="C90" s="66">
        <v>-1035926000</v>
      </c>
      <c r="D90" s="66">
        <v>-1765595000</v>
      </c>
      <c r="E90" s="66">
        <v>-1827888000</v>
      </c>
      <c r="F90" s="66">
        <v>-1753901000</v>
      </c>
      <c r="G90" s="66">
        <v>-4432741000</v>
      </c>
      <c r="H90" s="66">
        <v>-9485042000</v>
      </c>
      <c r="I90" s="66">
        <v>-3846656000</v>
      </c>
      <c r="J90" s="67">
        <v>-668240000</v>
      </c>
      <c r="K90" s="105"/>
      <c r="L90" s="66"/>
      <c r="M90" s="66"/>
      <c r="N90" s="66"/>
    </row>
    <row r="91" spans="1:14">
      <c r="B91" s="657" t="s">
        <v>535</v>
      </c>
      <c r="C91" s="66">
        <v>0</v>
      </c>
      <c r="D91" s="66">
        <v>1322378000</v>
      </c>
      <c r="E91" s="66">
        <v>17915000</v>
      </c>
      <c r="F91" s="66">
        <v>1947982000</v>
      </c>
      <c r="G91" s="66">
        <v>0</v>
      </c>
      <c r="H91" s="66">
        <v>0</v>
      </c>
      <c r="I91" s="66">
        <v>0</v>
      </c>
      <c r="J91" s="447">
        <v>0</v>
      </c>
      <c r="K91" s="105"/>
      <c r="L91" s="66"/>
      <c r="M91" s="66"/>
      <c r="N91" s="66"/>
    </row>
    <row r="92" spans="1:14">
      <c r="B92" s="86" t="s">
        <v>561</v>
      </c>
      <c r="C92" s="64">
        <f t="shared" ref="C92:H92" si="46">SUM(C87:C91)+C86</f>
        <v>83760971000</v>
      </c>
      <c r="D92" s="64">
        <f t="shared" si="46"/>
        <v>30318782000</v>
      </c>
      <c r="E92" s="64">
        <f t="shared" si="46"/>
        <v>39341565000</v>
      </c>
      <c r="F92" s="64">
        <f t="shared" si="46"/>
        <v>84638569000</v>
      </c>
      <c r="G92" s="64">
        <f t="shared" si="46"/>
        <v>135030389000</v>
      </c>
      <c r="H92" s="64">
        <f t="shared" si="46"/>
        <v>109356190000</v>
      </c>
      <c r="I92" s="64">
        <f>SUM(I87:I91)+I86</f>
        <v>109163047000</v>
      </c>
      <c r="J92" s="64">
        <f t="shared" ref="J92:N92" si="47">SUM(J87:J90)+J86</f>
        <v>39253894000</v>
      </c>
      <c r="K92" s="64">
        <f t="shared" si="47"/>
        <v>0</v>
      </c>
      <c r="L92" s="64">
        <f t="shared" si="47"/>
        <v>0</v>
      </c>
      <c r="M92" s="64">
        <f t="shared" si="47"/>
        <v>0</v>
      </c>
      <c r="N92" s="64">
        <f t="shared" si="47"/>
        <v>0</v>
      </c>
    </row>
    <row r="93" spans="1:14">
      <c r="B93" s="657" t="s">
        <v>562</v>
      </c>
      <c r="C93" s="66">
        <v>-7110000</v>
      </c>
      <c r="D93" s="66">
        <v>-1420000</v>
      </c>
      <c r="E93" s="66">
        <v>-31278000</v>
      </c>
      <c r="F93" s="91">
        <v>0</v>
      </c>
      <c r="G93" s="91">
        <v>0</v>
      </c>
      <c r="H93" s="91">
        <v>751082000</v>
      </c>
      <c r="I93" s="91">
        <v>0</v>
      </c>
      <c r="J93" s="447"/>
      <c r="K93" s="411"/>
      <c r="L93" s="91"/>
      <c r="M93" s="91"/>
      <c r="N93" s="91"/>
    </row>
    <row r="94" spans="1:14">
      <c r="B94" s="672" t="s">
        <v>365</v>
      </c>
      <c r="C94" s="673">
        <f t="shared" ref="C94:H94" si="48">+C92+C93</f>
        <v>83753861000</v>
      </c>
      <c r="D94" s="673">
        <f t="shared" si="48"/>
        <v>30317362000</v>
      </c>
      <c r="E94" s="673">
        <f t="shared" si="48"/>
        <v>39310287000</v>
      </c>
      <c r="F94" s="673">
        <f t="shared" si="48"/>
        <v>84638569000</v>
      </c>
      <c r="G94" s="673">
        <f t="shared" si="48"/>
        <v>135030389000</v>
      </c>
      <c r="H94" s="673">
        <f t="shared" si="48"/>
        <v>110107272000</v>
      </c>
      <c r="I94" s="673">
        <f>+I92+I93</f>
        <v>109163047000</v>
      </c>
      <c r="J94" s="673">
        <f>+J92+J93</f>
        <v>39253894000</v>
      </c>
      <c r="K94" s="674"/>
      <c r="L94" s="673"/>
      <c r="M94" s="673"/>
      <c r="N94" s="673"/>
    </row>
    <row r="95" spans="1:14">
      <c r="B95" s="618" t="s">
        <v>366</v>
      </c>
      <c r="C95" s="675">
        <f t="shared" ref="C95:J95" si="49">+C94/C14</f>
        <v>58.569133566433564</v>
      </c>
      <c r="D95" s="675">
        <f t="shared" si="49"/>
        <v>21.200952447552446</v>
      </c>
      <c r="E95" s="675">
        <f t="shared" si="49"/>
        <v>27.489711188811189</v>
      </c>
      <c r="F95" s="675">
        <f t="shared" si="49"/>
        <v>52.896933280192513</v>
      </c>
      <c r="G95" s="675">
        <f t="shared" si="49"/>
        <v>84.390527417015306</v>
      </c>
      <c r="H95" s="675">
        <f t="shared" si="49"/>
        <v>68.814218972062363</v>
      </c>
      <c r="I95" s="675">
        <f t="shared" si="49"/>
        <v>68.224102581667225</v>
      </c>
      <c r="J95" s="675">
        <f t="shared" si="49"/>
        <v>24.532676254317927</v>
      </c>
      <c r="K95" s="621"/>
      <c r="L95" s="619"/>
      <c r="M95" s="619"/>
      <c r="N95" s="619"/>
    </row>
    <row r="98" spans="1:14" ht="18.399999999999999" thickBot="1">
      <c r="B98" s="652" t="s">
        <v>367</v>
      </c>
    </row>
    <row r="99" spans="1:14" s="38" customFormat="1" ht="18">
      <c r="B99" s="653" t="s">
        <v>308</v>
      </c>
      <c r="C99" s="654">
        <v>2017</v>
      </c>
      <c r="D99" s="654">
        <v>2018</v>
      </c>
      <c r="E99" s="654">
        <v>2019</v>
      </c>
      <c r="F99" s="654">
        <v>2020</v>
      </c>
      <c r="G99" s="654">
        <v>2021</v>
      </c>
      <c r="H99" s="654">
        <v>2022</v>
      </c>
      <c r="I99" s="654">
        <v>2023</v>
      </c>
      <c r="J99" s="655">
        <v>2024</v>
      </c>
      <c r="K99" s="656">
        <v>2025</v>
      </c>
      <c r="L99" s="654">
        <v>2026</v>
      </c>
      <c r="M99" s="654">
        <v>2027</v>
      </c>
      <c r="N99" s="654">
        <v>2028</v>
      </c>
    </row>
    <row r="100" spans="1:14" s="612" customFormat="1">
      <c r="B100" s="83" t="s">
        <v>368</v>
      </c>
      <c r="C100" s="64">
        <v>3947927000</v>
      </c>
      <c r="D100" s="64">
        <v>4526234000</v>
      </c>
      <c r="E100" s="64">
        <v>3206616000</v>
      </c>
      <c r="F100" s="64">
        <v>2622088000</v>
      </c>
      <c r="G100" s="64">
        <v>4590222000</v>
      </c>
      <c r="H100" s="64">
        <v>34938338000</v>
      </c>
      <c r="I100" s="64">
        <v>6628611000</v>
      </c>
      <c r="J100" s="64">
        <v>-408731000</v>
      </c>
      <c r="K100" s="457"/>
      <c r="L100" s="113"/>
      <c r="M100" s="113"/>
      <c r="N100" s="113"/>
    </row>
    <row r="101" spans="1:14" s="612" customFormat="1">
      <c r="B101" s="86" t="s">
        <v>369</v>
      </c>
      <c r="C101" s="64">
        <v>165630000</v>
      </c>
      <c r="D101" s="64">
        <v>214205000</v>
      </c>
      <c r="E101" s="64">
        <v>-33323271000</v>
      </c>
      <c r="F101" s="64">
        <v>247093000</v>
      </c>
      <c r="G101" s="64">
        <v>-193105000</v>
      </c>
      <c r="H101" s="64">
        <v>-35138887000</v>
      </c>
      <c r="I101" s="64">
        <v>1545344000</v>
      </c>
      <c r="J101" s="64">
        <v>182049000</v>
      </c>
      <c r="K101" s="475"/>
      <c r="L101" s="120"/>
      <c r="M101" s="120"/>
      <c r="N101" s="120"/>
    </row>
    <row r="102" spans="1:14">
      <c r="B102" s="657" t="s">
        <v>563</v>
      </c>
      <c r="C102" s="66">
        <v>0</v>
      </c>
      <c r="D102" s="66">
        <v>0</v>
      </c>
      <c r="E102" s="66">
        <v>0</v>
      </c>
      <c r="F102" s="66">
        <v>0</v>
      </c>
      <c r="G102" s="66">
        <v>0</v>
      </c>
      <c r="H102" s="66">
        <v>0</v>
      </c>
      <c r="I102" s="66">
        <v>0</v>
      </c>
      <c r="J102" s="449"/>
      <c r="K102" s="413"/>
      <c r="L102" s="93"/>
      <c r="M102" s="93"/>
      <c r="N102" s="93"/>
    </row>
    <row r="103" spans="1:14" s="612" customFormat="1">
      <c r="B103" s="86" t="s">
        <v>372</v>
      </c>
      <c r="C103" s="64">
        <v>-2530860000</v>
      </c>
      <c r="D103" s="64">
        <v>-2615254000</v>
      </c>
      <c r="E103" s="64">
        <v>31039210000</v>
      </c>
      <c r="F103" s="64">
        <v>-3262859000</v>
      </c>
      <c r="G103" s="64">
        <v>-2920894000</v>
      </c>
      <c r="H103" s="64">
        <v>0</v>
      </c>
      <c r="I103" s="64">
        <v>-7268960000</v>
      </c>
      <c r="J103" s="64">
        <v>-300000</v>
      </c>
      <c r="K103" s="475"/>
      <c r="L103" s="120"/>
      <c r="M103" s="120"/>
      <c r="N103" s="120"/>
    </row>
    <row r="104" spans="1:14">
      <c r="B104" s="657" t="s">
        <v>373</v>
      </c>
      <c r="C104" s="66"/>
      <c r="D104" s="66"/>
      <c r="E104" s="66"/>
      <c r="F104" s="66"/>
      <c r="G104" s="66"/>
      <c r="H104" s="66"/>
      <c r="I104" s="66"/>
      <c r="J104" s="449"/>
      <c r="K104" s="413"/>
      <c r="L104" s="93"/>
      <c r="M104" s="93"/>
      <c r="N104" s="93"/>
    </row>
    <row r="105" spans="1:14">
      <c r="B105" s="657" t="s">
        <v>437</v>
      </c>
      <c r="C105" s="66"/>
      <c r="D105" s="66"/>
      <c r="E105" s="66"/>
      <c r="F105" s="66"/>
      <c r="G105" s="66"/>
      <c r="H105" s="66">
        <v>0</v>
      </c>
      <c r="I105" s="66"/>
      <c r="J105" s="449"/>
      <c r="K105" s="413"/>
      <c r="L105" s="93"/>
      <c r="M105" s="93"/>
      <c r="N105" s="93"/>
    </row>
    <row r="106" spans="1:14" s="612" customFormat="1">
      <c r="B106" s="86" t="s">
        <v>564</v>
      </c>
      <c r="C106" s="64">
        <v>1582697000</v>
      </c>
      <c r="D106" s="66">
        <v>2125185000</v>
      </c>
      <c r="E106" s="64">
        <v>922555000</v>
      </c>
      <c r="F106" s="64">
        <v>-393678000</v>
      </c>
      <c r="G106" s="64">
        <v>1476223000</v>
      </c>
      <c r="H106" s="64">
        <v>-200549000</v>
      </c>
      <c r="I106" s="64">
        <v>904995000</v>
      </c>
      <c r="J106" s="479">
        <v>-226982000</v>
      </c>
      <c r="K106" s="475"/>
      <c r="L106" s="120"/>
      <c r="M106" s="120"/>
      <c r="N106" s="120"/>
    </row>
    <row r="107" spans="1:14" s="612" customFormat="1">
      <c r="B107" s="676" t="s">
        <v>565</v>
      </c>
      <c r="C107" s="117">
        <v>3118100000</v>
      </c>
      <c r="D107" s="117">
        <v>4700797000</v>
      </c>
      <c r="E107" s="117">
        <v>6825982000</v>
      </c>
      <c r="F107" s="117">
        <v>7748537000</v>
      </c>
      <c r="G107" s="117">
        <v>7354859000</v>
      </c>
      <c r="H107" s="117">
        <v>8831082000</v>
      </c>
      <c r="I107" s="117">
        <v>8630533000</v>
      </c>
      <c r="J107" s="450">
        <v>9535528000</v>
      </c>
      <c r="K107" s="196"/>
      <c r="L107" s="64"/>
      <c r="M107" s="64"/>
      <c r="N107" s="64"/>
    </row>
    <row r="108" spans="1:14" s="612" customFormat="1">
      <c r="B108" s="86" t="s">
        <v>375</v>
      </c>
      <c r="C108" s="64">
        <f t="shared" ref="C108:H108" si="50">+C107+C106</f>
        <v>4700797000</v>
      </c>
      <c r="D108" s="64">
        <f t="shared" si="50"/>
        <v>6825982000</v>
      </c>
      <c r="E108" s="64">
        <f t="shared" si="50"/>
        <v>7748537000</v>
      </c>
      <c r="F108" s="64">
        <f t="shared" si="50"/>
        <v>7354859000</v>
      </c>
      <c r="G108" s="64">
        <f t="shared" si="50"/>
        <v>8831082000</v>
      </c>
      <c r="H108" s="64">
        <f t="shared" si="50"/>
        <v>8630533000</v>
      </c>
      <c r="I108" s="64">
        <f>+I107+I106</f>
        <v>9535528000</v>
      </c>
      <c r="J108" s="64">
        <f>+J107+J106</f>
        <v>9308546000</v>
      </c>
      <c r="K108" s="196"/>
      <c r="L108" s="64"/>
      <c r="M108" s="64"/>
      <c r="N108" s="64"/>
    </row>
    <row r="109" spans="1:14">
      <c r="B109" s="85"/>
      <c r="C109" s="66"/>
      <c r="D109" s="66"/>
      <c r="E109" s="66"/>
      <c r="F109" s="66"/>
      <c r="G109" s="66"/>
      <c r="H109" s="66"/>
      <c r="I109" s="66"/>
      <c r="J109" s="67"/>
      <c r="K109" s="105"/>
      <c r="L109" s="66"/>
      <c r="M109" s="66"/>
      <c r="N109" s="66"/>
    </row>
    <row r="110" spans="1:14" s="612" customFormat="1">
      <c r="A110" s="677"/>
      <c r="B110" s="629" t="s">
        <v>376</v>
      </c>
      <c r="C110" s="678">
        <f t="shared" ref="C110:K110" si="51">+C100+C102+C105</f>
        <v>3947927000</v>
      </c>
      <c r="D110" s="678">
        <f t="shared" si="51"/>
        <v>4526234000</v>
      </c>
      <c r="E110" s="678">
        <f t="shared" si="51"/>
        <v>3206616000</v>
      </c>
      <c r="F110" s="678">
        <f t="shared" si="51"/>
        <v>2622088000</v>
      </c>
      <c r="G110" s="678">
        <f t="shared" si="51"/>
        <v>4590222000</v>
      </c>
      <c r="H110" s="678">
        <f t="shared" si="51"/>
        <v>34938338000</v>
      </c>
      <c r="I110" s="678">
        <f t="shared" si="51"/>
        <v>6628611000</v>
      </c>
      <c r="J110" s="678">
        <f>+J100+J102+J105</f>
        <v>-408731000</v>
      </c>
      <c r="K110" s="678">
        <f t="shared" si="51"/>
        <v>0</v>
      </c>
      <c r="L110" s="678">
        <f t="shared" ref="L110:N110" si="52">+L100-L102</f>
        <v>0</v>
      </c>
      <c r="M110" s="678">
        <f t="shared" si="52"/>
        <v>0</v>
      </c>
      <c r="N110" s="678">
        <f t="shared" si="52"/>
        <v>0</v>
      </c>
    </row>
  </sheetData>
  <conditionalFormatting sqref="C33:N33 C54:N61 C63:N64 D65:N65 C66:N69 C72:N78 C82:N95 C100:I110">
    <cfRule type="cellIs" dxfId="248" priority="5" operator="lessThan">
      <formula>0</formula>
    </cfRule>
  </conditionalFormatting>
  <conditionalFormatting sqref="J100:J101">
    <cfRule type="cellIs" dxfId="247" priority="4" operator="lessThan">
      <formula>0</formula>
    </cfRule>
  </conditionalFormatting>
  <conditionalFormatting sqref="J103">
    <cfRule type="cellIs" dxfId="246" priority="3" operator="lessThan">
      <formula>0</formula>
    </cfRule>
  </conditionalFormatting>
  <conditionalFormatting sqref="J108">
    <cfRule type="cellIs" dxfId="245" priority="2" operator="lessThan">
      <formula>0</formula>
    </cfRule>
  </conditionalFormatting>
  <conditionalFormatting sqref="J110:K110">
    <cfRule type="cellIs" dxfId="244" priority="1" operator="lessThan">
      <formula>0</formula>
    </cfRule>
  </conditionalFormatting>
  <pageMargins left="0.7" right="0.7" top="0.75" bottom="0.75" header="0.3" footer="0.3"/>
  <pageSetup scale="27" orientation="landscape"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F2509-D55D-4B9E-A4AA-1B72BCD15514}">
  <dimension ref="B1:N45"/>
  <sheetViews>
    <sheetView zoomScaleNormal="100" workbookViewId="0">
      <pane xSplit="2" ySplit="6" topLeftCell="G25" activePane="bottomRight" state="frozen"/>
      <selection pane="bottomRight" activeCell="G25" sqref="G25"/>
      <selection pane="bottomLeft" activeCell="A7" sqref="A7"/>
      <selection pane="topRight" activeCell="C1" sqref="C1"/>
    </sheetView>
  </sheetViews>
  <sheetFormatPr defaultColWidth="11.42578125" defaultRowHeight="23.25"/>
  <cols>
    <col min="1" max="1" width="6.28515625" style="281" customWidth="1"/>
    <col min="2" max="2" width="33.42578125" style="281" bestFit="1" customWidth="1"/>
    <col min="3" max="3" width="22.28515625" style="281" bestFit="1" customWidth="1"/>
    <col min="4" max="4" width="24.28515625" style="281" customWidth="1"/>
    <col min="5" max="5" width="32.7109375" style="281" bestFit="1" customWidth="1"/>
    <col min="6" max="6" width="25.42578125" style="281" bestFit="1" customWidth="1"/>
    <col min="7" max="13" width="22.28515625" style="281" bestFit="1" customWidth="1"/>
    <col min="14" max="16384" width="11.42578125" style="281"/>
  </cols>
  <sheetData>
    <row r="1" spans="2:13" customFormat="1" ht="14.25"/>
    <row r="2" spans="2:13" customFormat="1" ht="21">
      <c r="B2" s="313">
        <f ca="1">TODAY()-1</f>
        <v>46105</v>
      </c>
      <c r="C2" s="314"/>
      <c r="D2" s="344" t="s">
        <v>265</v>
      </c>
      <c r="E2" s="345" t="s">
        <v>266</v>
      </c>
    </row>
    <row r="3" spans="2:13" customFormat="1" ht="25.5">
      <c r="B3" s="376" cm="1">
        <f t="array" aca="1" ref="B3" ca="1">_FV(B6,"Precio")</f>
        <v>60500</v>
      </c>
      <c r="C3" s="316"/>
      <c r="D3" s="555">
        <f>AVERAGE(F17:H17)</f>
        <v>1070</v>
      </c>
      <c r="E3" s="555">
        <f>AVERAGE(F17:H17)</f>
        <v>1070</v>
      </c>
    </row>
    <row r="4" spans="2:13" customFormat="1" ht="10.5" customHeight="1">
      <c r="B4" s="319"/>
      <c r="C4" s="320"/>
      <c r="D4" s="328"/>
      <c r="E4" s="328"/>
    </row>
    <row r="6" spans="2:13">
      <c r="B6" s="280" t="e" vm="11">
        <v>#VALUE!</v>
      </c>
      <c r="C6" s="280">
        <v>2018</v>
      </c>
      <c r="D6" s="280">
        <v>2019</v>
      </c>
      <c r="E6" s="280">
        <v>2020</v>
      </c>
      <c r="F6" s="280">
        <v>2021</v>
      </c>
      <c r="G6" s="307">
        <v>2022</v>
      </c>
      <c r="H6" s="280">
        <v>2023</v>
      </c>
      <c r="I6" s="307">
        <v>2024</v>
      </c>
      <c r="J6" s="280">
        <v>2025</v>
      </c>
      <c r="K6" s="307">
        <v>2026</v>
      </c>
      <c r="L6" s="280">
        <v>2027</v>
      </c>
      <c r="M6" s="307">
        <v>2028</v>
      </c>
    </row>
    <row r="7" spans="2:13">
      <c r="B7" s="282" t="s">
        <v>272</v>
      </c>
      <c r="C7" s="283">
        <v>41349717</v>
      </c>
      <c r="D7" s="283">
        <v>50336620</v>
      </c>
      <c r="E7" s="283">
        <v>57156299</v>
      </c>
      <c r="F7" s="283">
        <v>69158634</v>
      </c>
      <c r="G7" s="283">
        <v>78049119</v>
      </c>
      <c r="H7" s="283">
        <v>79301153</v>
      </c>
      <c r="I7" s="283"/>
      <c r="J7" s="283"/>
      <c r="K7" s="283"/>
      <c r="L7" s="283"/>
      <c r="M7" s="283"/>
    </row>
    <row r="8" spans="2:13">
      <c r="B8" s="284" t="s">
        <v>566</v>
      </c>
      <c r="C8" s="285">
        <f>C7-C9</f>
        <v>38169264</v>
      </c>
      <c r="D8" s="285">
        <f t="shared" ref="D8:E8" si="0">D7-D9</f>
        <v>46826993</v>
      </c>
      <c r="E8" s="285">
        <f t="shared" si="0"/>
        <v>53478139</v>
      </c>
      <c r="F8" s="285">
        <v>64657158</v>
      </c>
      <c r="G8" s="285">
        <v>73272318</v>
      </c>
      <c r="H8" s="285">
        <v>73233777</v>
      </c>
      <c r="I8" s="285"/>
      <c r="J8" s="285"/>
      <c r="K8" s="285"/>
      <c r="L8" s="285"/>
      <c r="M8" s="285"/>
    </row>
    <row r="9" spans="2:13">
      <c r="B9" s="286" t="s">
        <v>276</v>
      </c>
      <c r="C9" s="287">
        <v>3180453</v>
      </c>
      <c r="D9" s="287">
        <v>3509627</v>
      </c>
      <c r="E9" s="287">
        <v>3678160</v>
      </c>
      <c r="F9" s="287">
        <v>4500076</v>
      </c>
      <c r="G9" s="287">
        <v>4775478</v>
      </c>
      <c r="H9" s="287">
        <v>6065795</v>
      </c>
      <c r="I9" s="287"/>
      <c r="J9" s="287"/>
      <c r="K9" s="287"/>
      <c r="L9" s="287"/>
      <c r="M9" s="287"/>
    </row>
    <row r="10" spans="2:13">
      <c r="B10" s="288" t="s">
        <v>567</v>
      </c>
      <c r="C10" s="289">
        <v>124944872</v>
      </c>
      <c r="D10" s="289">
        <v>135892980</v>
      </c>
      <c r="E10" s="289">
        <v>141616409</v>
      </c>
      <c r="F10" s="289">
        <v>148767940</v>
      </c>
      <c r="G10" s="289">
        <v>155886505</v>
      </c>
      <c r="H10" s="289">
        <v>168837345</v>
      </c>
      <c r="I10" s="289"/>
      <c r="J10" s="289"/>
      <c r="K10" s="289"/>
      <c r="L10" s="289"/>
      <c r="M10" s="289"/>
    </row>
    <row r="11" spans="2:13" customFormat="1">
      <c r="B11" s="553" t="s">
        <v>568</v>
      </c>
      <c r="C11" s="554">
        <v>32132</v>
      </c>
      <c r="D11" s="554">
        <v>26422</v>
      </c>
      <c r="E11" s="554">
        <v>21776</v>
      </c>
      <c r="F11" s="554">
        <v>20363</v>
      </c>
      <c r="G11" s="554">
        <v>21609</v>
      </c>
      <c r="H11" s="554">
        <v>23850</v>
      </c>
      <c r="I11" s="554"/>
      <c r="J11" s="554"/>
      <c r="K11" s="554"/>
      <c r="L11" s="554"/>
      <c r="M11" s="554"/>
    </row>
    <row r="12" spans="2:13">
      <c r="B12" s="290"/>
      <c r="C12" s="290"/>
      <c r="D12" s="290"/>
      <c r="E12" s="290"/>
      <c r="F12" s="290"/>
      <c r="G12" s="290"/>
    </row>
    <row r="13" spans="2:13">
      <c r="B13" s="291" t="s">
        <v>569</v>
      </c>
      <c r="C13" s="292">
        <v>1318890</v>
      </c>
      <c r="D13" s="292">
        <v>1476269</v>
      </c>
      <c r="E13" s="292">
        <v>1378417</v>
      </c>
      <c r="F13" s="292">
        <v>1760758</v>
      </c>
      <c r="G13" s="292">
        <v>2699087</v>
      </c>
      <c r="H13" s="292">
        <v>2520329</v>
      </c>
      <c r="I13" s="292"/>
      <c r="J13" s="292"/>
      <c r="K13" s="292"/>
      <c r="L13" s="292"/>
      <c r="M13" s="292"/>
    </row>
    <row r="14" spans="2:13">
      <c r="B14" s="293" t="s">
        <v>570</v>
      </c>
      <c r="C14" s="294">
        <v>454613</v>
      </c>
      <c r="D14" s="294">
        <v>518538</v>
      </c>
      <c r="E14" s="294">
        <v>342556</v>
      </c>
      <c r="F14" s="294">
        <v>719738</v>
      </c>
      <c r="G14" s="294">
        <v>911903</v>
      </c>
      <c r="H14" s="294">
        <v>817975</v>
      </c>
      <c r="I14" s="294"/>
      <c r="J14" s="294"/>
      <c r="K14" s="294"/>
      <c r="L14" s="294"/>
      <c r="M14" s="294"/>
    </row>
    <row r="15" spans="2:13">
      <c r="B15" s="295" t="s">
        <v>571</v>
      </c>
      <c r="C15" s="296">
        <v>395794</v>
      </c>
      <c r="D15" s="296">
        <v>402645</v>
      </c>
      <c r="E15" s="296">
        <v>317454</v>
      </c>
      <c r="F15" s="296">
        <v>520391</v>
      </c>
      <c r="G15" s="296">
        <v>820822</v>
      </c>
      <c r="H15" s="296">
        <v>682468</v>
      </c>
      <c r="I15" s="296"/>
      <c r="J15" s="296"/>
      <c r="K15" s="296"/>
      <c r="L15" s="296"/>
      <c r="M15" s="296"/>
    </row>
    <row r="16" spans="2:13">
      <c r="B16" s="295" t="s">
        <v>572</v>
      </c>
      <c r="C16" s="297">
        <v>3104</v>
      </c>
      <c r="D16" s="297">
        <v>3333</v>
      </c>
      <c r="E16" s="297">
        <v>1585</v>
      </c>
      <c r="F16" s="297">
        <v>3657</v>
      </c>
      <c r="G16" s="297">
        <v>5664</v>
      </c>
      <c r="H16" s="297"/>
      <c r="I16" s="297"/>
      <c r="J16" s="297"/>
      <c r="K16" s="297"/>
      <c r="L16" s="297"/>
      <c r="M16" s="297"/>
    </row>
    <row r="17" spans="2:14">
      <c r="B17" s="298" t="s">
        <v>573</v>
      </c>
      <c r="C17" s="299">
        <v>1050</v>
      </c>
      <c r="D17" s="299">
        <v>1000</v>
      </c>
      <c r="E17" s="299">
        <v>1000</v>
      </c>
      <c r="F17" s="299">
        <v>700</v>
      </c>
      <c r="G17" s="299">
        <v>1010</v>
      </c>
      <c r="H17" s="299">
        <v>1500</v>
      </c>
      <c r="I17" s="299"/>
      <c r="J17" s="299"/>
      <c r="K17" s="299"/>
      <c r="L17" s="299"/>
      <c r="M17" s="299"/>
    </row>
    <row r="18" spans="2:14">
      <c r="B18" s="298" t="s">
        <v>574</v>
      </c>
      <c r="C18" s="301"/>
      <c r="D18" s="301">
        <f>D17/C16</f>
        <v>0.32216494845360827</v>
      </c>
      <c r="E18" s="301">
        <f t="shared" ref="E18:M18" si="1">E17/D16</f>
        <v>0.30003000300030003</v>
      </c>
      <c r="F18" s="301">
        <f t="shared" si="1"/>
        <v>0.44164037854889587</v>
      </c>
      <c r="G18" s="301">
        <f>G17/F16</f>
        <v>0.27618266338528846</v>
      </c>
      <c r="H18" s="301">
        <f t="shared" si="1"/>
        <v>0.26483050847457629</v>
      </c>
      <c r="I18" s="301" t="e">
        <f t="shared" si="1"/>
        <v>#DIV/0!</v>
      </c>
      <c r="J18" s="301" t="e">
        <f t="shared" si="1"/>
        <v>#DIV/0!</v>
      </c>
      <c r="K18" s="301" t="e">
        <f t="shared" si="1"/>
        <v>#DIV/0!</v>
      </c>
      <c r="L18" s="301" t="e">
        <f t="shared" si="1"/>
        <v>#DIV/0!</v>
      </c>
      <c r="M18" s="301" t="e">
        <f t="shared" si="1"/>
        <v>#DIV/0!</v>
      </c>
    </row>
    <row r="19" spans="2:14" customFormat="1" ht="28.5">
      <c r="B19" s="540" t="s">
        <v>303</v>
      </c>
      <c r="C19" s="54">
        <f>AVERAGE(F18:H18)</f>
        <v>0.32755118346958684</v>
      </c>
      <c r="D19" s="54"/>
      <c r="E19" s="54"/>
      <c r="F19" s="54"/>
      <c r="G19" s="54"/>
      <c r="H19" s="54"/>
      <c r="I19" s="54"/>
      <c r="J19" s="54"/>
      <c r="K19" s="54"/>
      <c r="L19" s="54"/>
      <c r="M19" s="54"/>
      <c r="N19" s="54"/>
    </row>
    <row r="20" spans="2:14">
      <c r="C20" s="177"/>
      <c r="D20" s="177"/>
      <c r="E20" s="177"/>
      <c r="F20" s="177"/>
      <c r="G20" s="177"/>
      <c r="H20" s="177"/>
      <c r="I20" s="177"/>
      <c r="J20" s="177"/>
      <c r="K20" s="177"/>
      <c r="L20" s="177"/>
      <c r="M20" s="177"/>
    </row>
    <row r="21" spans="2:14">
      <c r="E21" s="302" t="s">
        <v>575</v>
      </c>
    </row>
    <row r="22" spans="2:14">
      <c r="B22" s="303" t="s">
        <v>576</v>
      </c>
      <c r="C22" s="304">
        <f>C14/C13</f>
        <v>0.34469364389751989</v>
      </c>
      <c r="D22" s="304">
        <f t="shared" ref="D22:H22" si="2">D14/D13</f>
        <v>0.35124899323903708</v>
      </c>
      <c r="E22" s="304">
        <f t="shared" si="2"/>
        <v>0.24851405634144094</v>
      </c>
      <c r="F22" s="304">
        <f t="shared" si="2"/>
        <v>0.40876599737158653</v>
      </c>
      <c r="G22" s="304">
        <f t="shared" si="2"/>
        <v>0.33785609726548271</v>
      </c>
      <c r="H22" s="304">
        <f t="shared" si="2"/>
        <v>0.32455088204754223</v>
      </c>
      <c r="I22" s="304" t="e">
        <f t="shared" ref="I22:M22" si="3">I14/I13</f>
        <v>#DIV/0!</v>
      </c>
      <c r="J22" s="304" t="e">
        <f t="shared" si="3"/>
        <v>#DIV/0!</v>
      </c>
      <c r="K22" s="304" t="e">
        <f t="shared" si="3"/>
        <v>#DIV/0!</v>
      </c>
      <c r="L22" s="304" t="e">
        <f t="shared" si="3"/>
        <v>#DIV/0!</v>
      </c>
      <c r="M22" s="304" t="e">
        <f t="shared" si="3"/>
        <v>#DIV/0!</v>
      </c>
    </row>
    <row r="23" spans="2:14">
      <c r="B23" s="303" t="s">
        <v>577</v>
      </c>
      <c r="C23" s="304">
        <f>C15/C13</f>
        <v>0.30009629309495106</v>
      </c>
      <c r="D23" s="304">
        <f t="shared" ref="D23:H23" si="4">D15/D13</f>
        <v>0.27274500785425965</v>
      </c>
      <c r="E23" s="304">
        <f t="shared" si="4"/>
        <v>0.23030331169740362</v>
      </c>
      <c r="F23" s="304">
        <f t="shared" si="4"/>
        <v>0.29554941678527091</v>
      </c>
      <c r="G23" s="304">
        <f t="shared" si="4"/>
        <v>0.30411098271378434</v>
      </c>
      <c r="H23" s="304">
        <f t="shared" si="4"/>
        <v>0.2707852823976552</v>
      </c>
      <c r="I23" s="304" t="e">
        <f t="shared" ref="I23:M23" si="5">I15/I13</f>
        <v>#DIV/0!</v>
      </c>
      <c r="J23" s="304" t="e">
        <f t="shared" si="5"/>
        <v>#DIV/0!</v>
      </c>
      <c r="K23" s="304" t="e">
        <f t="shared" si="5"/>
        <v>#DIV/0!</v>
      </c>
      <c r="L23" s="304" t="e">
        <f t="shared" si="5"/>
        <v>#DIV/0!</v>
      </c>
      <c r="M23" s="304" t="e">
        <f t="shared" si="5"/>
        <v>#DIV/0!</v>
      </c>
    </row>
    <row r="24" spans="2:14">
      <c r="B24" s="303" t="s">
        <v>160</v>
      </c>
      <c r="C24" s="304">
        <f>C15/C9</f>
        <v>0.12444579435696738</v>
      </c>
      <c r="D24" s="304">
        <f t="shared" ref="D24:H24" si="6">D15/D9</f>
        <v>0.11472586687987071</v>
      </c>
      <c r="E24" s="304">
        <f t="shared" si="6"/>
        <v>8.6307827826956951E-2</v>
      </c>
      <c r="F24" s="304">
        <f t="shared" si="6"/>
        <v>0.11564049140503405</v>
      </c>
      <c r="G24" s="304">
        <f t="shared" si="6"/>
        <v>0.1718826890208687</v>
      </c>
      <c r="H24" s="304">
        <f t="shared" si="6"/>
        <v>0.11251089098790842</v>
      </c>
      <c r="I24" s="304" t="e">
        <f t="shared" ref="I24:M24" si="7">I15/I9</f>
        <v>#DIV/0!</v>
      </c>
      <c r="J24" s="304" t="e">
        <f t="shared" si="7"/>
        <v>#DIV/0!</v>
      </c>
      <c r="K24" s="304" t="e">
        <f t="shared" si="7"/>
        <v>#DIV/0!</v>
      </c>
      <c r="L24" s="304" t="e">
        <f t="shared" si="7"/>
        <v>#DIV/0!</v>
      </c>
      <c r="M24" s="304" t="e">
        <f t="shared" si="7"/>
        <v>#DIV/0!</v>
      </c>
    </row>
    <row r="25" spans="2:14">
      <c r="B25" s="281" t="s">
        <v>382</v>
      </c>
      <c r="C25" s="305">
        <f>AVERAGE(F24:H24)</f>
        <v>0.1333446904712704</v>
      </c>
    </row>
    <row r="26" spans="2:14" customFormat="1">
      <c r="B26" s="281" t="s">
        <v>176</v>
      </c>
      <c r="C26" s="305"/>
      <c r="D26" s="306">
        <f>D24*(100%-D18)</f>
        <v>7.7765213890221646E-2</v>
      </c>
      <c r="E26" s="306">
        <f t="shared" ref="E26:M26" si="8">E24*(100%-E18)</f>
        <v>6.0412889985085677E-2</v>
      </c>
      <c r="F26" s="306">
        <f t="shared" si="8"/>
        <v>6.456898100533448E-2</v>
      </c>
      <c r="G26" s="306">
        <f t="shared" si="8"/>
        <v>0.12441167017725992</v>
      </c>
      <c r="H26" s="306">
        <f t="shared" si="8"/>
        <v>8.2714574518653008E-2</v>
      </c>
      <c r="I26" s="306" t="e">
        <f t="shared" si="8"/>
        <v>#DIV/0!</v>
      </c>
      <c r="J26" s="306" t="e">
        <f t="shared" si="8"/>
        <v>#DIV/0!</v>
      </c>
      <c r="K26" s="306" t="e">
        <f t="shared" si="8"/>
        <v>#DIV/0!</v>
      </c>
      <c r="L26" s="306" t="e">
        <f t="shared" si="8"/>
        <v>#DIV/0!</v>
      </c>
      <c r="M26" s="306" t="e">
        <f t="shared" si="8"/>
        <v>#DIV/0!</v>
      </c>
    </row>
    <row r="27" spans="2:14" customFormat="1" ht="25.5">
      <c r="B27" s="542" t="s">
        <v>306</v>
      </c>
      <c r="C27" s="534">
        <f>AVERAGE(F26:H26)</f>
        <v>9.0565075233749126E-2</v>
      </c>
      <c r="D27" s="534"/>
      <c r="E27" s="534"/>
      <c r="F27" s="534"/>
      <c r="G27" s="534"/>
      <c r="H27" s="534"/>
      <c r="I27" s="534"/>
      <c r="J27" s="535"/>
      <c r="K27" s="534"/>
      <c r="L27" s="534"/>
      <c r="M27" s="534"/>
      <c r="N27" s="534"/>
    </row>
    <row r="28" spans="2:14" customFormat="1" ht="25.5">
      <c r="B28" s="281" t="s">
        <v>578</v>
      </c>
      <c r="C28" s="534">
        <f>+C17/C11</f>
        <v>3.2677704469065108E-2</v>
      </c>
      <c r="D28" s="534">
        <f t="shared" ref="D28:M28" si="9">+D17/D11</f>
        <v>3.7847248505033682E-2</v>
      </c>
      <c r="E28" s="534">
        <f t="shared" si="9"/>
        <v>4.592211609110948E-2</v>
      </c>
      <c r="F28" s="534">
        <f t="shared" si="9"/>
        <v>3.4376074252320386E-2</v>
      </c>
      <c r="G28" s="534">
        <f t="shared" si="9"/>
        <v>4.6739784349113793E-2</v>
      </c>
      <c r="H28" s="534">
        <f t="shared" si="9"/>
        <v>6.2893081761006289E-2</v>
      </c>
      <c r="I28" s="534" t="e">
        <f t="shared" si="9"/>
        <v>#DIV/0!</v>
      </c>
      <c r="J28" s="534" t="e">
        <f t="shared" si="9"/>
        <v>#DIV/0!</v>
      </c>
      <c r="K28" s="534" t="e">
        <f t="shared" si="9"/>
        <v>#DIV/0!</v>
      </c>
      <c r="L28" s="534" t="e">
        <f t="shared" si="9"/>
        <v>#DIV/0!</v>
      </c>
      <c r="M28" s="534" t="e">
        <f t="shared" si="9"/>
        <v>#DIV/0!</v>
      </c>
    </row>
    <row r="29" spans="2:14" customFormat="1" ht="25.5">
      <c r="B29" s="281" t="s">
        <v>579</v>
      </c>
      <c r="C29" s="534">
        <f>AVERAGE(F28:H28)</f>
        <v>4.8002980120813492E-2</v>
      </c>
    </row>
    <row r="41" spans="3:6">
      <c r="C41" s="281" t="s">
        <v>580</v>
      </c>
      <c r="D41" s="281" t="s">
        <v>581</v>
      </c>
      <c r="E41" s="281" t="s">
        <v>582</v>
      </c>
      <c r="F41" s="281" t="s">
        <v>583</v>
      </c>
    </row>
    <row r="42" spans="3:6">
      <c r="C42" s="308">
        <v>36262052</v>
      </c>
      <c r="D42" s="281">
        <v>39617415</v>
      </c>
      <c r="E42" s="281">
        <v>1754276</v>
      </c>
      <c r="F42" s="281">
        <f>D42+E42</f>
        <v>41371691</v>
      </c>
    </row>
    <row r="45" spans="3:6">
      <c r="D45" s="309">
        <f>F42/C42-1</f>
        <v>0.1409087108473619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27A0-9454-4888-9E70-9360267F076A}">
  <dimension ref="B2:P144"/>
  <sheetViews>
    <sheetView zoomScale="80" zoomScaleNormal="80" workbookViewId="0">
      <pane xSplit="2" ySplit="6" topLeftCell="C7" activePane="bottomRight" state="frozen"/>
      <selection pane="bottomRight" activeCell="A55" sqref="A55"/>
      <selection pane="bottomLeft" activeCell="A7" sqref="A7"/>
      <selection pane="topRight" activeCell="C1" sqref="C1"/>
    </sheetView>
  </sheetViews>
  <sheetFormatPr defaultColWidth="10.7109375" defaultRowHeight="14.25"/>
  <cols>
    <col min="1" max="1" width="4.42578125" customWidth="1"/>
    <col min="2" max="2" width="47.28515625" customWidth="1"/>
    <col min="3" max="6" width="33.28515625" customWidth="1"/>
    <col min="7" max="7" width="36.28515625" customWidth="1"/>
    <col min="8" max="8" width="35.7109375" customWidth="1"/>
    <col min="9" max="9" width="37.5703125" customWidth="1"/>
    <col min="10" max="14" width="25.42578125" bestFit="1" customWidth="1"/>
  </cols>
  <sheetData>
    <row r="2" spans="2:14" ht="21">
      <c r="B2" s="313">
        <f ca="1">TODAY()-1</f>
        <v>46105</v>
      </c>
      <c r="C2" s="314"/>
      <c r="D2" s="344" t="s">
        <v>518</v>
      </c>
      <c r="E2" s="345" t="s">
        <v>266</v>
      </c>
      <c r="G2" t="s">
        <v>584</v>
      </c>
      <c r="H2" s="524">
        <v>1000000</v>
      </c>
    </row>
    <row r="3" spans="2:14" ht="25.5">
      <c r="B3" s="376" cm="1">
        <f t="array" aca="1" ref="B3" ca="1">_FV(B6,"Precio")</f>
        <v>1270</v>
      </c>
      <c r="C3" s="316"/>
      <c r="D3" s="365">
        <f>AVERAGE(C45:J45)</f>
        <v>10.744499999999999</v>
      </c>
      <c r="E3" s="365">
        <f>AVERAGE(C44:J44)</f>
        <v>13.512499999999999</v>
      </c>
    </row>
    <row r="4" spans="2:14" ht="28.5">
      <c r="B4" s="319"/>
      <c r="C4" s="320"/>
      <c r="D4" s="328"/>
      <c r="E4" s="328"/>
    </row>
    <row r="6" spans="2:14" ht="33.4">
      <c r="B6" s="3" t="e" vm="12">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318305160000</v>
      </c>
      <c r="D7" s="5">
        <f t="shared" ref="D7:N7" si="0">+D61</f>
        <v>344726600000</v>
      </c>
      <c r="E7" s="5">
        <f t="shared" si="0"/>
        <v>388093710000</v>
      </c>
      <c r="F7" s="5">
        <f t="shared" si="0"/>
        <v>406386500000</v>
      </c>
      <c r="G7" s="5">
        <f t="shared" si="0"/>
        <v>507352150000</v>
      </c>
      <c r="H7" s="5">
        <f t="shared" si="0"/>
        <v>584214540000</v>
      </c>
      <c r="I7" s="5">
        <f>+I61</f>
        <v>626565710000</v>
      </c>
      <c r="J7" s="5">
        <f t="shared" si="0"/>
        <v>0</v>
      </c>
      <c r="K7" s="5">
        <f t="shared" si="0"/>
        <v>0</v>
      </c>
      <c r="L7" s="5">
        <f t="shared" si="0"/>
        <v>0</v>
      </c>
      <c r="M7" s="5">
        <f t="shared" si="0"/>
        <v>0</v>
      </c>
      <c r="N7" s="5">
        <f t="shared" si="0"/>
        <v>0</v>
      </c>
    </row>
    <row r="8" spans="2:14" ht="25.5">
      <c r="B8" s="146" t="s">
        <v>377</v>
      </c>
      <c r="C8" s="147">
        <f>+C65</f>
        <v>153751740000</v>
      </c>
      <c r="D8" s="147">
        <f t="shared" ref="D8:N8" si="1">+D65</f>
        <v>149901950000</v>
      </c>
      <c r="E8" s="147">
        <f t="shared" si="1"/>
        <v>116486400000</v>
      </c>
      <c r="F8" s="147">
        <f t="shared" si="1"/>
        <v>137245390000.00002</v>
      </c>
      <c r="G8" s="147">
        <f t="shared" si="1"/>
        <v>212202870000</v>
      </c>
      <c r="H8" s="147">
        <f t="shared" si="1"/>
        <v>271784479999.99997</v>
      </c>
      <c r="I8" s="147">
        <f t="shared" si="1"/>
        <v>294080550000</v>
      </c>
      <c r="J8" s="147">
        <f t="shared" si="1"/>
        <v>0</v>
      </c>
      <c r="K8" s="147">
        <f t="shared" si="1"/>
        <v>0</v>
      </c>
      <c r="L8" s="147">
        <f t="shared" si="1"/>
        <v>0</v>
      </c>
      <c r="M8" s="147">
        <f t="shared" si="1"/>
        <v>0</v>
      </c>
      <c r="N8" s="147">
        <f t="shared" si="1"/>
        <v>0</v>
      </c>
    </row>
    <row r="9" spans="2:14" ht="25.5">
      <c r="B9" s="146" t="s">
        <v>378</v>
      </c>
      <c r="C9" s="147">
        <f>+C67</f>
        <v>92638060000</v>
      </c>
      <c r="D9" s="147">
        <f t="shared" ref="D9:N9" si="2">+D67</f>
        <v>115024140000</v>
      </c>
      <c r="E9" s="147">
        <f t="shared" si="2"/>
        <v>152919190000</v>
      </c>
      <c r="F9" s="147">
        <f t="shared" si="2"/>
        <v>153223650000</v>
      </c>
      <c r="G9" s="147">
        <f t="shared" si="2"/>
        <v>171087120000</v>
      </c>
      <c r="H9" s="147">
        <f t="shared" si="2"/>
        <v>163021620000</v>
      </c>
      <c r="I9" s="147">
        <f t="shared" si="2"/>
        <v>189280580000</v>
      </c>
      <c r="J9" s="147">
        <f t="shared" si="2"/>
        <v>0</v>
      </c>
      <c r="K9" s="147">
        <f t="shared" si="2"/>
        <v>0</v>
      </c>
      <c r="L9" s="147">
        <f t="shared" si="2"/>
        <v>0</v>
      </c>
      <c r="M9" s="147">
        <f t="shared" si="2"/>
        <v>0</v>
      </c>
      <c r="N9" s="147">
        <f t="shared" si="2"/>
        <v>0</v>
      </c>
    </row>
    <row r="10" spans="2:14" ht="25.5">
      <c r="B10" s="4" t="s">
        <v>379</v>
      </c>
      <c r="C10" s="5">
        <f>+C70</f>
        <v>301853810000</v>
      </c>
      <c r="D10" s="5">
        <f t="shared" ref="D10:N10" si="3">+D70</f>
        <v>353662440000.00006</v>
      </c>
      <c r="E10" s="5">
        <f t="shared" si="3"/>
        <v>388526100000.00006</v>
      </c>
      <c r="F10" s="5">
        <f t="shared" si="3"/>
        <v>381474290000.00006</v>
      </c>
      <c r="G10" s="5">
        <f t="shared" si="3"/>
        <v>418088410000.00006</v>
      </c>
      <c r="H10" s="5">
        <f t="shared" si="3"/>
        <v>446021039999.99994</v>
      </c>
      <c r="I10" s="5">
        <f t="shared" si="3"/>
        <v>455211020000</v>
      </c>
      <c r="J10" s="5">
        <f t="shared" si="3"/>
        <v>0</v>
      </c>
      <c r="K10" s="5">
        <f t="shared" si="3"/>
        <v>0</v>
      </c>
      <c r="L10" s="5">
        <f t="shared" si="3"/>
        <v>0</v>
      </c>
      <c r="M10" s="5">
        <f t="shared" si="3"/>
        <v>0</v>
      </c>
      <c r="N10" s="5">
        <f t="shared" si="3"/>
        <v>0</v>
      </c>
    </row>
    <row r="11" spans="2:14" ht="25.5">
      <c r="B11" s="8" t="s">
        <v>272</v>
      </c>
      <c r="C11" s="9">
        <f>+C10+C7</f>
        <v>620158970000</v>
      </c>
      <c r="D11" s="9">
        <f t="shared" ref="D11:N11" si="4">+D10+D7</f>
        <v>698389040000</v>
      </c>
      <c r="E11" s="9">
        <f t="shared" si="4"/>
        <v>776619810000</v>
      </c>
      <c r="F11" s="9">
        <f t="shared" si="4"/>
        <v>787860790000</v>
      </c>
      <c r="G11" s="9">
        <f t="shared" si="4"/>
        <v>925440560000</v>
      </c>
      <c r="H11" s="9">
        <f t="shared" si="4"/>
        <v>1030235580000</v>
      </c>
      <c r="I11" s="9">
        <f t="shared" si="4"/>
        <v>1081776730000</v>
      </c>
      <c r="J11" s="9">
        <f t="shared" si="4"/>
        <v>0</v>
      </c>
      <c r="K11" s="9">
        <f t="shared" si="4"/>
        <v>0</v>
      </c>
      <c r="L11" s="9">
        <f t="shared" si="4"/>
        <v>0</v>
      </c>
      <c r="M11" s="9">
        <f t="shared" si="4"/>
        <v>0</v>
      </c>
      <c r="N11" s="9">
        <f t="shared" si="4"/>
        <v>0</v>
      </c>
    </row>
    <row r="12" spans="2:14" ht="25.5">
      <c r="B12" s="10" t="s">
        <v>273</v>
      </c>
      <c r="C12" s="11">
        <f>+C84</f>
        <v>242664760000</v>
      </c>
      <c r="D12" s="11">
        <f t="shared" ref="D12:N12" si="5">+D84</f>
        <v>242682460000</v>
      </c>
      <c r="E12" s="11">
        <f t="shared" si="5"/>
        <v>269545310000</v>
      </c>
      <c r="F12" s="11">
        <f t="shared" si="5"/>
        <v>295586900000</v>
      </c>
      <c r="G12" s="11">
        <f t="shared" si="5"/>
        <v>420190150000</v>
      </c>
      <c r="H12" s="11">
        <f t="shared" si="5"/>
        <v>479492980000</v>
      </c>
      <c r="I12" s="11">
        <f>+I84</f>
        <v>501017700000</v>
      </c>
      <c r="J12" s="11">
        <f t="shared" si="5"/>
        <v>0</v>
      </c>
      <c r="K12" s="11">
        <f t="shared" si="5"/>
        <v>0</v>
      </c>
      <c r="L12" s="11">
        <f t="shared" si="5"/>
        <v>0</v>
      </c>
      <c r="M12" s="11">
        <f t="shared" si="5"/>
        <v>0</v>
      </c>
      <c r="N12" s="11">
        <f t="shared" si="5"/>
        <v>0</v>
      </c>
    </row>
    <row r="13" spans="2:14" ht="25.5">
      <c r="B13" s="10" t="s">
        <v>274</v>
      </c>
      <c r="C13" s="11">
        <f>+C94</f>
        <v>178155209999.99997</v>
      </c>
      <c r="D13" s="11">
        <f t="shared" ref="D13:N13" si="6">+D94</f>
        <v>260003300000.00003</v>
      </c>
      <c r="E13" s="11">
        <f t="shared" si="6"/>
        <v>307654050000</v>
      </c>
      <c r="F13" s="11">
        <f t="shared" si="6"/>
        <v>291380030000</v>
      </c>
      <c r="G13" s="11">
        <f t="shared" si="6"/>
        <v>281903140000</v>
      </c>
      <c r="H13" s="11">
        <f t="shared" si="6"/>
        <v>285814250000</v>
      </c>
      <c r="I13" s="11">
        <f t="shared" si="6"/>
        <v>285047230000.00006</v>
      </c>
      <c r="J13" s="11">
        <f t="shared" si="6"/>
        <v>0</v>
      </c>
      <c r="K13" s="11">
        <f t="shared" si="6"/>
        <v>0</v>
      </c>
      <c r="L13" s="11">
        <f t="shared" si="6"/>
        <v>0</v>
      </c>
      <c r="M13" s="11">
        <f t="shared" si="6"/>
        <v>0</v>
      </c>
      <c r="N13" s="11">
        <f t="shared" si="6"/>
        <v>0</v>
      </c>
    </row>
    <row r="14" spans="2:14" ht="25.5">
      <c r="B14" s="12" t="s">
        <v>275</v>
      </c>
      <c r="C14" s="13">
        <f>+C12+C13</f>
        <v>420819970000</v>
      </c>
      <c r="D14" s="13">
        <f t="shared" ref="D14:N14" si="7">+D12+D13</f>
        <v>502685760000</v>
      </c>
      <c r="E14" s="13">
        <f t="shared" si="7"/>
        <v>577199360000</v>
      </c>
      <c r="F14" s="13">
        <f t="shared" si="7"/>
        <v>586966930000</v>
      </c>
      <c r="G14" s="13">
        <f t="shared" si="7"/>
        <v>702093290000</v>
      </c>
      <c r="H14" s="13">
        <f t="shared" si="7"/>
        <v>765307230000</v>
      </c>
      <c r="I14" s="13">
        <f t="shared" si="7"/>
        <v>786064930000</v>
      </c>
      <c r="J14" s="13">
        <f t="shared" si="7"/>
        <v>0</v>
      </c>
      <c r="K14" s="13">
        <f t="shared" si="7"/>
        <v>0</v>
      </c>
      <c r="L14" s="13">
        <f t="shared" si="7"/>
        <v>0</v>
      </c>
      <c r="M14" s="13">
        <f t="shared" si="7"/>
        <v>0</v>
      </c>
      <c r="N14" s="13">
        <f t="shared" si="7"/>
        <v>0</v>
      </c>
    </row>
    <row r="15" spans="2:14" ht="25.5">
      <c r="B15" s="14" t="s">
        <v>276</v>
      </c>
      <c r="C15" s="15">
        <f>+C108</f>
        <v>187213480000</v>
      </c>
      <c r="D15" s="15">
        <f t="shared" ref="D15:N15" si="8">+D108</f>
        <v>184344530000</v>
      </c>
      <c r="E15" s="15">
        <f t="shared" si="8"/>
        <v>190822010000</v>
      </c>
      <c r="F15" s="15">
        <f t="shared" si="8"/>
        <v>193801140000</v>
      </c>
      <c r="G15" s="15">
        <f t="shared" si="8"/>
        <v>215813670000</v>
      </c>
      <c r="H15" s="15">
        <f t="shared" si="8"/>
        <v>253638630000</v>
      </c>
      <c r="I15" s="15">
        <f t="shared" si="8"/>
        <v>283002980000</v>
      </c>
      <c r="J15" s="15">
        <f t="shared" si="8"/>
        <v>0</v>
      </c>
      <c r="K15" s="15">
        <f t="shared" si="8"/>
        <v>0</v>
      </c>
      <c r="L15" s="15">
        <f t="shared" si="8"/>
        <v>0</v>
      </c>
      <c r="M15" s="15">
        <f t="shared" si="8"/>
        <v>0</v>
      </c>
      <c r="N15" s="15">
        <f t="shared" si="8"/>
        <v>0</v>
      </c>
    </row>
    <row r="16" spans="2:14" ht="25.5">
      <c r="B16" s="79" t="s">
        <v>278</v>
      </c>
      <c r="C16" s="180">
        <v>576172664</v>
      </c>
      <c r="D16" s="180">
        <v>576172664</v>
      </c>
      <c r="E16" s="180">
        <v>576172664</v>
      </c>
      <c r="F16" s="180">
        <v>576172664</v>
      </c>
      <c r="G16" s="180">
        <v>576172664</v>
      </c>
      <c r="H16" s="180">
        <v>576172664</v>
      </c>
      <c r="I16" s="180">
        <v>576172664</v>
      </c>
      <c r="J16" s="80"/>
      <c r="K16" s="80"/>
      <c r="L16" s="80"/>
      <c r="M16" s="80"/>
      <c r="N16" s="80"/>
    </row>
    <row r="18" spans="2:14" ht="25.5">
      <c r="B18" s="18" t="s">
        <v>279</v>
      </c>
      <c r="C18" s="19">
        <f t="shared" ref="C18:N18" si="9">(C15/C16)</f>
        <v>324.92600169590827</v>
      </c>
      <c r="D18" s="19">
        <f t="shared" si="9"/>
        <v>319.94667834501774</v>
      </c>
      <c r="E18" s="19">
        <f t="shared" si="9"/>
        <v>331.18893332294573</v>
      </c>
      <c r="F18" s="19">
        <f t="shared" si="9"/>
        <v>336.35948407298963</v>
      </c>
      <c r="G18" s="19">
        <f t="shared" si="9"/>
        <v>374.56422958656714</v>
      </c>
      <c r="H18" s="19">
        <f t="shared" si="9"/>
        <v>440.21288382400593</v>
      </c>
      <c r="I18" s="19">
        <f t="shared" si="9"/>
        <v>491.17738081374858</v>
      </c>
      <c r="J18" s="19" t="e">
        <f t="shared" si="9"/>
        <v>#DIV/0!</v>
      </c>
      <c r="K18" s="19" t="e">
        <f t="shared" si="9"/>
        <v>#DIV/0!</v>
      </c>
      <c r="L18" s="19" t="e">
        <f t="shared" si="9"/>
        <v>#DIV/0!</v>
      </c>
      <c r="M18" s="19" t="e">
        <f t="shared" si="9"/>
        <v>#DIV/0!</v>
      </c>
      <c r="N18" s="19" t="e">
        <f t="shared" si="9"/>
        <v>#DIV/0!</v>
      </c>
    </row>
    <row r="19" spans="2:14" ht="25.5">
      <c r="B19" s="76" t="s">
        <v>282</v>
      </c>
      <c r="C19" s="77">
        <v>728</v>
      </c>
      <c r="D19" s="77">
        <v>610</v>
      </c>
      <c r="E19" s="77">
        <v>408</v>
      </c>
      <c r="F19" s="77">
        <v>360</v>
      </c>
      <c r="G19" s="77">
        <v>239</v>
      </c>
      <c r="H19" s="101">
        <v>334</v>
      </c>
      <c r="I19" s="101">
        <v>445</v>
      </c>
      <c r="J19" s="78"/>
      <c r="K19" s="78"/>
      <c r="L19" s="78"/>
      <c r="M19" s="78"/>
      <c r="N19" s="78"/>
    </row>
    <row r="20" spans="2:14" ht="25.5">
      <c r="B20" s="18" t="s">
        <v>283</v>
      </c>
      <c r="C20" s="22">
        <f>+C19/C40</f>
        <v>42.773207990599296</v>
      </c>
      <c r="D20" s="22">
        <f t="shared" ref="D20:N20" si="10">+D19/D40</f>
        <v>24.380495603517186</v>
      </c>
      <c r="E20" s="22">
        <f t="shared" si="10"/>
        <v>16.646266829865361</v>
      </c>
      <c r="F20" s="22">
        <f t="shared" si="10"/>
        <v>14.735980352026198</v>
      </c>
      <c r="G20" s="22">
        <f t="shared" si="10"/>
        <v>7.4177529484792055</v>
      </c>
      <c r="H20" s="22">
        <f t="shared" si="10"/>
        <v>4.7497155858930604</v>
      </c>
      <c r="I20" s="22">
        <f t="shared" si="10"/>
        <v>5.8093994778067888</v>
      </c>
      <c r="J20" s="22" t="e">
        <f t="shared" si="10"/>
        <v>#DIV/0!</v>
      </c>
      <c r="K20" s="22" t="e">
        <f t="shared" si="10"/>
        <v>#DIV/0!</v>
      </c>
      <c r="L20" s="22" t="e">
        <f t="shared" si="10"/>
        <v>#DIV/0!</v>
      </c>
      <c r="M20" s="22" t="e">
        <f t="shared" si="10"/>
        <v>#DIV/0!</v>
      </c>
      <c r="N20" s="22" t="e">
        <f t="shared" si="10"/>
        <v>#DIV/0!</v>
      </c>
    </row>
    <row r="21" spans="2:14" ht="25.5">
      <c r="B21" s="18" t="s">
        <v>380</v>
      </c>
      <c r="C21" s="22">
        <f t="shared" ref="C21:N21" si="11">+C19/C18</f>
        <v>2.2405101352317152</v>
      </c>
      <c r="D21" s="22">
        <f t="shared" si="11"/>
        <v>1.906567691702054</v>
      </c>
      <c r="E21" s="22">
        <f t="shared" si="11"/>
        <v>1.231925221372524</v>
      </c>
      <c r="F21" s="22">
        <f t="shared" si="11"/>
        <v>1.0702834825429819</v>
      </c>
      <c r="G21" s="22">
        <f t="shared" si="11"/>
        <v>0.63807481099783903</v>
      </c>
      <c r="H21" s="22">
        <f t="shared" si="11"/>
        <v>0.75872381811871481</v>
      </c>
      <c r="I21" s="22">
        <f t="shared" si="11"/>
        <v>0.90598634502011244</v>
      </c>
      <c r="J21" s="22" t="e">
        <f t="shared" si="11"/>
        <v>#DIV/0!</v>
      </c>
      <c r="K21" s="22" t="e">
        <f t="shared" si="11"/>
        <v>#DIV/0!</v>
      </c>
      <c r="L21" s="22" t="e">
        <f t="shared" si="11"/>
        <v>#DIV/0!</v>
      </c>
      <c r="M21" s="22" t="e">
        <f t="shared" si="11"/>
        <v>#DIV/0!</v>
      </c>
      <c r="N21" s="22" t="e">
        <f t="shared" si="11"/>
        <v>#DIV/0!</v>
      </c>
    </row>
    <row r="22" spans="2:14" ht="25.5">
      <c r="B22" s="18" t="s">
        <v>285</v>
      </c>
      <c r="C22" s="22">
        <f>+C20*C21</f>
        <v>95.833806019311908</v>
      </c>
      <c r="D22" s="22">
        <f t="shared" ref="D22:N22" si="12">+D20*D21</f>
        <v>46.48306522534984</v>
      </c>
      <c r="E22" s="22">
        <f t="shared" si="12"/>
        <v>20.506955949407988</v>
      </c>
      <c r="F22" s="22">
        <f t="shared" si="12"/>
        <v>15.771676369851555</v>
      </c>
      <c r="G22" s="22">
        <f t="shared" si="12"/>
        <v>4.7330813106295322</v>
      </c>
      <c r="H22" s="22">
        <f t="shared" si="12"/>
        <v>3.6037223443067514</v>
      </c>
      <c r="I22" s="22">
        <f t="shared" si="12"/>
        <v>5.2632365996599226</v>
      </c>
      <c r="J22" s="22" t="e">
        <f t="shared" si="12"/>
        <v>#DIV/0!</v>
      </c>
      <c r="K22" s="22" t="e">
        <f t="shared" si="12"/>
        <v>#DIV/0!</v>
      </c>
      <c r="L22" s="22" t="e">
        <f t="shared" si="12"/>
        <v>#DIV/0!</v>
      </c>
      <c r="M22" s="22" t="e">
        <f t="shared" si="12"/>
        <v>#DIV/0!</v>
      </c>
      <c r="N22" s="22" t="e">
        <f t="shared" si="12"/>
        <v>#DIV/0!</v>
      </c>
    </row>
    <row r="23" spans="2:14" ht="25.5">
      <c r="B23" s="23" t="s">
        <v>286</v>
      </c>
      <c r="C23" s="24">
        <f>IF(C41&lt;10%,0,IF(15%&lt;C41,2,1))</f>
        <v>0</v>
      </c>
      <c r="D23" s="24">
        <f>IF(D41&lt;10%,0,IF(15%&lt;D41,2,1))</f>
        <v>0</v>
      </c>
      <c r="E23" s="24">
        <f t="shared" ref="E23:N23" si="13">IF(E41&lt;10%,0,IF(15%&lt;E41,2,1))</f>
        <v>0</v>
      </c>
      <c r="F23" s="24">
        <f t="shared" si="13"/>
        <v>0</v>
      </c>
      <c r="G23" s="24">
        <f t="shared" si="13"/>
        <v>0</v>
      </c>
      <c r="H23" s="24">
        <f t="shared" si="13"/>
        <v>2</v>
      </c>
      <c r="I23" s="24">
        <f t="shared" si="13"/>
        <v>2</v>
      </c>
      <c r="J23" s="24" t="e">
        <f t="shared" si="13"/>
        <v>#DIV/0!</v>
      </c>
      <c r="K23" s="24" t="e">
        <f t="shared" si="13"/>
        <v>#DIV/0!</v>
      </c>
      <c r="L23" s="24" t="e">
        <f t="shared" si="13"/>
        <v>#DIV/0!</v>
      </c>
      <c r="M23" s="24" t="e">
        <f t="shared" si="13"/>
        <v>#DIV/0!</v>
      </c>
      <c r="N23" s="24" t="e">
        <f t="shared" si="13"/>
        <v>#DIV/0!</v>
      </c>
    </row>
    <row r="24" spans="2:14" ht="25.5">
      <c r="B24" s="23" t="s">
        <v>287</v>
      </c>
      <c r="C24" s="24">
        <f>IF(C41&lt;10%,1,IF(15%&lt;C41,2.5,2))</f>
        <v>1</v>
      </c>
      <c r="D24" s="24">
        <f t="shared" ref="D24:N24" si="14">IF(D41&lt;10%,1,IF(15%&lt;D41,2.5,2))</f>
        <v>1</v>
      </c>
      <c r="E24" s="24">
        <f t="shared" si="14"/>
        <v>1</v>
      </c>
      <c r="F24" s="24">
        <f t="shared" si="14"/>
        <v>1</v>
      </c>
      <c r="G24" s="24">
        <f t="shared" si="14"/>
        <v>1</v>
      </c>
      <c r="H24" s="24">
        <f t="shared" si="14"/>
        <v>2.5</v>
      </c>
      <c r="I24" s="24">
        <f t="shared" si="14"/>
        <v>2.5</v>
      </c>
      <c r="J24" s="24" t="e">
        <f t="shared" si="14"/>
        <v>#DIV/0!</v>
      </c>
      <c r="K24" s="24" t="e">
        <f t="shared" si="14"/>
        <v>#DIV/0!</v>
      </c>
      <c r="L24" s="24" t="e">
        <f t="shared" si="14"/>
        <v>#DIV/0!</v>
      </c>
      <c r="M24" s="24" t="e">
        <f t="shared" si="14"/>
        <v>#DIV/0!</v>
      </c>
      <c r="N24" s="24" t="e">
        <f t="shared" si="14"/>
        <v>#DIV/0!</v>
      </c>
    </row>
    <row r="25" spans="2:14" ht="25.5">
      <c r="B25" s="25" t="s">
        <v>288</v>
      </c>
      <c r="C25" s="26">
        <f t="shared" ref="C25:N25" si="15">+C23*C18</f>
        <v>0</v>
      </c>
      <c r="D25" s="26">
        <f t="shared" si="15"/>
        <v>0</v>
      </c>
      <c r="E25" s="26">
        <f t="shared" si="15"/>
        <v>0</v>
      </c>
      <c r="F25" s="26">
        <f t="shared" si="15"/>
        <v>0</v>
      </c>
      <c r="G25" s="26">
        <f t="shared" si="15"/>
        <v>0</v>
      </c>
      <c r="H25" s="26">
        <f t="shared" si="15"/>
        <v>880.42576764801186</v>
      </c>
      <c r="I25" s="26">
        <f t="shared" si="15"/>
        <v>982.35476162749717</v>
      </c>
      <c r="J25" s="26" t="e">
        <f t="shared" si="15"/>
        <v>#DIV/0!</v>
      </c>
      <c r="K25" s="26" t="e">
        <f t="shared" si="15"/>
        <v>#DIV/0!</v>
      </c>
      <c r="L25" s="26" t="e">
        <f t="shared" si="15"/>
        <v>#DIV/0!</v>
      </c>
      <c r="M25" s="26" t="e">
        <f t="shared" si="15"/>
        <v>#DIV/0!</v>
      </c>
      <c r="N25" s="26" t="e">
        <f t="shared" si="15"/>
        <v>#DIV/0!</v>
      </c>
    </row>
    <row r="26" spans="2:14" ht="25.5">
      <c r="B26" s="25" t="s">
        <v>289</v>
      </c>
      <c r="C26" s="26">
        <f>AVERAGE(C25,C27)</f>
        <v>162.46300084795413</v>
      </c>
      <c r="D26" s="26">
        <f t="shared" ref="D26:N26" si="16">AVERAGE(D25,D27)</f>
        <v>159.97333917250887</v>
      </c>
      <c r="E26" s="26">
        <f t="shared" si="16"/>
        <v>165.59446666147286</v>
      </c>
      <c r="F26" s="26">
        <f t="shared" si="16"/>
        <v>168.17974203649482</v>
      </c>
      <c r="G26" s="26">
        <f t="shared" si="16"/>
        <v>187.28211479328357</v>
      </c>
      <c r="H26" s="26">
        <f t="shared" si="16"/>
        <v>990.47898860401324</v>
      </c>
      <c r="I26" s="26">
        <f t="shared" si="16"/>
        <v>1105.1491068309342</v>
      </c>
      <c r="J26" s="26" t="e">
        <f t="shared" si="16"/>
        <v>#DIV/0!</v>
      </c>
      <c r="K26" s="26" t="e">
        <f t="shared" si="16"/>
        <v>#DIV/0!</v>
      </c>
      <c r="L26" s="26" t="e">
        <f t="shared" si="16"/>
        <v>#DIV/0!</v>
      </c>
      <c r="M26" s="26" t="e">
        <f t="shared" si="16"/>
        <v>#DIV/0!</v>
      </c>
      <c r="N26" s="26" t="e">
        <f t="shared" si="16"/>
        <v>#DIV/0!</v>
      </c>
    </row>
    <row r="27" spans="2:14" ht="25.5">
      <c r="B27" s="25" t="s">
        <v>290</v>
      </c>
      <c r="C27" s="26">
        <f t="shared" ref="C27:N27" si="17">+C18*C24</f>
        <v>324.92600169590827</v>
      </c>
      <c r="D27" s="26">
        <f t="shared" si="17"/>
        <v>319.94667834501774</v>
      </c>
      <c r="E27" s="26">
        <f t="shared" si="17"/>
        <v>331.18893332294573</v>
      </c>
      <c r="F27" s="26">
        <f t="shared" si="17"/>
        <v>336.35948407298963</v>
      </c>
      <c r="G27" s="26">
        <f t="shared" si="17"/>
        <v>374.56422958656714</v>
      </c>
      <c r="H27" s="26">
        <f t="shared" si="17"/>
        <v>1100.5322095600147</v>
      </c>
      <c r="I27" s="26">
        <f t="shared" si="17"/>
        <v>1227.9434520343714</v>
      </c>
      <c r="J27" s="26" t="e">
        <f t="shared" si="17"/>
        <v>#DIV/0!</v>
      </c>
      <c r="K27" s="26" t="e">
        <f t="shared" si="17"/>
        <v>#DIV/0!</v>
      </c>
      <c r="L27" s="26" t="e">
        <f t="shared" si="17"/>
        <v>#DIV/0!</v>
      </c>
      <c r="M27" s="26" t="e">
        <f t="shared" si="17"/>
        <v>#DIV/0!</v>
      </c>
      <c r="N27" s="26" t="e">
        <f t="shared" si="17"/>
        <v>#DIV/0!</v>
      </c>
    </row>
    <row r="29" spans="2:14" ht="25.5">
      <c r="B29" s="243" t="s">
        <v>291</v>
      </c>
      <c r="C29" s="81">
        <f t="shared" ref="C29:N29" si="18">C7-C12</f>
        <v>75640400000</v>
      </c>
      <c r="D29" s="81">
        <f t="shared" si="18"/>
        <v>102044140000</v>
      </c>
      <c r="E29" s="81">
        <f t="shared" si="18"/>
        <v>118548400000</v>
      </c>
      <c r="F29" s="81">
        <f t="shared" si="18"/>
        <v>110799600000</v>
      </c>
      <c r="G29" s="81">
        <f t="shared" si="18"/>
        <v>87162000000</v>
      </c>
      <c r="H29" s="81">
        <f t="shared" si="18"/>
        <v>104721560000</v>
      </c>
      <c r="I29" s="81">
        <f t="shared" si="18"/>
        <v>125548010000</v>
      </c>
      <c r="J29" s="81">
        <f t="shared" si="18"/>
        <v>0</v>
      </c>
      <c r="K29" s="81">
        <f t="shared" si="18"/>
        <v>0</v>
      </c>
      <c r="L29" s="81">
        <f t="shared" si="18"/>
        <v>0</v>
      </c>
      <c r="M29" s="81">
        <f t="shared" si="18"/>
        <v>0</v>
      </c>
      <c r="N29" s="81">
        <f t="shared" si="18"/>
        <v>0</v>
      </c>
    </row>
    <row r="30" spans="2:14" ht="25.5">
      <c r="B30" s="30" t="s">
        <v>149</v>
      </c>
      <c r="C30" s="241">
        <f t="shared" ref="C30:N30" si="19">C7/C12</f>
        <v>1.3117073941844708</v>
      </c>
      <c r="D30" s="241">
        <f t="shared" si="19"/>
        <v>1.4204841998057873</v>
      </c>
      <c r="E30" s="241">
        <f t="shared" si="19"/>
        <v>1.439808802460707</v>
      </c>
      <c r="F30" s="241">
        <f t="shared" si="19"/>
        <v>1.3748461112451194</v>
      </c>
      <c r="G30" s="241">
        <f t="shared" si="19"/>
        <v>1.207434657856687</v>
      </c>
      <c r="H30" s="242">
        <f t="shared" si="19"/>
        <v>1.2184006114124966</v>
      </c>
      <c r="I30" s="242">
        <f t="shared" si="19"/>
        <v>1.2505859773018</v>
      </c>
      <c r="J30" s="242" t="e">
        <f t="shared" si="19"/>
        <v>#DIV/0!</v>
      </c>
      <c r="K30" s="242" t="e">
        <f t="shared" si="19"/>
        <v>#DIV/0!</v>
      </c>
      <c r="L30" s="242" t="e">
        <f t="shared" si="19"/>
        <v>#DIV/0!</v>
      </c>
      <c r="M30" s="242" t="e">
        <f t="shared" si="19"/>
        <v>#DIV/0!</v>
      </c>
      <c r="N30" s="242" t="e">
        <f t="shared" si="19"/>
        <v>#DIV/0!</v>
      </c>
    </row>
    <row r="31" spans="2:14" ht="25.5">
      <c r="B31" s="30" t="s">
        <v>292</v>
      </c>
      <c r="C31" s="241">
        <f t="shared" ref="C31:N31" si="20">+(C7-C9)/C12</f>
        <v>0.92995414744192773</v>
      </c>
      <c r="D31" s="241">
        <f t="shared" si="20"/>
        <v>0.94651446997858846</v>
      </c>
      <c r="E31" s="241">
        <f t="shared" si="20"/>
        <v>0.87248603954563331</v>
      </c>
      <c r="F31" s="241">
        <f t="shared" si="20"/>
        <v>0.85647520238549135</v>
      </c>
      <c r="G31" s="241">
        <f t="shared" si="20"/>
        <v>0.80026871167732039</v>
      </c>
      <c r="H31" s="241">
        <f t="shared" si="20"/>
        <v>0.87841311044845749</v>
      </c>
      <c r="I31" s="241">
        <f t="shared" si="20"/>
        <v>0.87279377554924709</v>
      </c>
      <c r="J31" s="241" t="e">
        <f t="shared" si="20"/>
        <v>#DIV/0!</v>
      </c>
      <c r="K31" s="241" t="e">
        <f t="shared" si="20"/>
        <v>#DIV/0!</v>
      </c>
      <c r="L31" s="241" t="e">
        <f t="shared" si="20"/>
        <v>#DIV/0!</v>
      </c>
      <c r="M31" s="241" t="e">
        <f t="shared" si="20"/>
        <v>#DIV/0!</v>
      </c>
      <c r="N31" s="241" t="e">
        <f t="shared" si="20"/>
        <v>#DIV/0!</v>
      </c>
    </row>
    <row r="32" spans="2:14" ht="25.5">
      <c r="B32" s="32" t="s">
        <v>153</v>
      </c>
      <c r="C32" s="33">
        <f t="shared" ref="C32:N32" si="21">C14/C11</f>
        <v>0.67856790009826029</v>
      </c>
      <c r="D32" s="33">
        <f t="shared" si="21"/>
        <v>0.71977899309530979</v>
      </c>
      <c r="E32" s="33">
        <f t="shared" si="21"/>
        <v>0.74321998044319781</v>
      </c>
      <c r="F32" s="33">
        <f t="shared" si="21"/>
        <v>0.74501350676431044</v>
      </c>
      <c r="G32" s="33">
        <f t="shared" si="21"/>
        <v>0.75865843831180257</v>
      </c>
      <c r="H32" s="33">
        <f t="shared" si="21"/>
        <v>0.74284682538337499</v>
      </c>
      <c r="I32" s="33">
        <f t="shared" si="21"/>
        <v>0.72664248379607865</v>
      </c>
      <c r="J32" s="33" t="e">
        <f t="shared" si="21"/>
        <v>#DIV/0!</v>
      </c>
      <c r="K32" s="33" t="e">
        <f t="shared" si="21"/>
        <v>#DIV/0!</v>
      </c>
      <c r="L32" s="33" t="e">
        <f t="shared" si="21"/>
        <v>#DIV/0!</v>
      </c>
      <c r="M32" s="33" t="e">
        <f t="shared" si="21"/>
        <v>#DIV/0!</v>
      </c>
      <c r="N32" s="33" t="e">
        <f t="shared" si="21"/>
        <v>#DIV/0!</v>
      </c>
    </row>
    <row r="35" spans="2:14" ht="25.5">
      <c r="B35" s="35" t="s">
        <v>293</v>
      </c>
      <c r="C35" s="36">
        <f>+C113</f>
        <v>419080390000</v>
      </c>
      <c r="D35" s="36">
        <f t="shared" ref="D35:N35" si="22">+D113</f>
        <v>451697470000</v>
      </c>
      <c r="E35" s="36">
        <f t="shared" si="22"/>
        <v>419479600000</v>
      </c>
      <c r="F35" s="36">
        <f t="shared" si="22"/>
        <v>404336050000</v>
      </c>
      <c r="G35" s="36">
        <f t="shared" si="22"/>
        <v>607241050000</v>
      </c>
      <c r="H35" s="36">
        <f t="shared" si="22"/>
        <v>784841430000</v>
      </c>
      <c r="I35" s="36">
        <f t="shared" si="22"/>
        <v>860743980000</v>
      </c>
      <c r="J35" s="36">
        <f t="shared" si="22"/>
        <v>0</v>
      </c>
      <c r="K35" s="36">
        <f t="shared" si="22"/>
        <v>0</v>
      </c>
      <c r="L35" s="36">
        <f t="shared" si="22"/>
        <v>0</v>
      </c>
      <c r="M35" s="36">
        <f t="shared" si="22"/>
        <v>0</v>
      </c>
      <c r="N35" s="36">
        <f t="shared" si="22"/>
        <v>0</v>
      </c>
    </row>
    <row r="36" spans="2:14" ht="25.5">
      <c r="B36" s="39" t="s">
        <v>156</v>
      </c>
      <c r="C36" s="40">
        <f>+C120</f>
        <v>22295490000</v>
      </c>
      <c r="D36" s="40">
        <f t="shared" ref="D36:N36" si="23">+D120</f>
        <v>29171960000</v>
      </c>
      <c r="E36" s="40">
        <f t="shared" si="23"/>
        <v>31807300000</v>
      </c>
      <c r="F36" s="40">
        <f t="shared" si="23"/>
        <v>36361970000</v>
      </c>
      <c r="G36" s="40">
        <f t="shared" si="23"/>
        <v>37736910000</v>
      </c>
      <c r="H36" s="40">
        <f t="shared" si="23"/>
        <v>90678320000</v>
      </c>
      <c r="I36" s="40">
        <f t="shared" si="23"/>
        <v>89354110000</v>
      </c>
      <c r="J36" s="40">
        <f t="shared" si="23"/>
        <v>0</v>
      </c>
      <c r="K36" s="40">
        <f t="shared" si="23"/>
        <v>0</v>
      </c>
      <c r="L36" s="40">
        <f t="shared" si="23"/>
        <v>0</v>
      </c>
      <c r="M36" s="40">
        <f t="shared" si="23"/>
        <v>0</v>
      </c>
      <c r="N36" s="40">
        <f t="shared" si="23"/>
        <v>0</v>
      </c>
    </row>
    <row r="37" spans="2:14" ht="25.5">
      <c r="B37" s="35" t="s">
        <v>381</v>
      </c>
      <c r="C37" s="41">
        <f>C36/C35</f>
        <v>5.3200986092429667E-2</v>
      </c>
      <c r="D37" s="41">
        <f t="shared" ref="D37:N37" si="24">D36/D35</f>
        <v>6.4582960803389045E-2</v>
      </c>
      <c r="E37" s="41">
        <f t="shared" si="24"/>
        <v>7.5825618218382962E-2</v>
      </c>
      <c r="F37" s="41">
        <f t="shared" si="24"/>
        <v>8.9930071780638901E-2</v>
      </c>
      <c r="G37" s="41">
        <f t="shared" si="24"/>
        <v>6.2144859936593549E-2</v>
      </c>
      <c r="H37" s="41">
        <f t="shared" si="24"/>
        <v>0.11553712193812195</v>
      </c>
      <c r="I37" s="41">
        <f t="shared" si="24"/>
        <v>0.10381032232139457</v>
      </c>
      <c r="J37" s="41" t="e">
        <f t="shared" si="24"/>
        <v>#DIV/0!</v>
      </c>
      <c r="K37" s="41" t="e">
        <f t="shared" si="24"/>
        <v>#DIV/0!</v>
      </c>
      <c r="L37" s="41" t="e">
        <f t="shared" si="24"/>
        <v>#DIV/0!</v>
      </c>
      <c r="M37" s="41" t="e">
        <f t="shared" si="24"/>
        <v>#DIV/0!</v>
      </c>
      <c r="N37" s="41" t="e">
        <f t="shared" si="24"/>
        <v>#DIV/0!</v>
      </c>
    </row>
    <row r="38" spans="2:14" ht="25.5">
      <c r="B38" s="43" t="s">
        <v>295</v>
      </c>
      <c r="C38" s="44">
        <f>+C130</f>
        <v>9808550000</v>
      </c>
      <c r="D38" s="44">
        <f t="shared" ref="D38:N38" si="25">+D130</f>
        <v>14413090000</v>
      </c>
      <c r="E38" s="44">
        <f t="shared" si="25"/>
        <v>14120200000</v>
      </c>
      <c r="F38" s="44">
        <f t="shared" si="25"/>
        <v>14073310000</v>
      </c>
      <c r="G38" s="44">
        <f t="shared" si="25"/>
        <v>18562170000</v>
      </c>
      <c r="H38" s="44">
        <f t="shared" si="25"/>
        <v>40514729999.999992</v>
      </c>
      <c r="I38" s="44">
        <f t="shared" si="25"/>
        <v>44137010000</v>
      </c>
      <c r="J38" s="44">
        <f t="shared" si="25"/>
        <v>0</v>
      </c>
      <c r="K38" s="44">
        <f t="shared" si="25"/>
        <v>0</v>
      </c>
      <c r="L38" s="44">
        <f t="shared" si="25"/>
        <v>0</v>
      </c>
      <c r="M38" s="44">
        <f t="shared" si="25"/>
        <v>0</v>
      </c>
      <c r="N38" s="44">
        <f t="shared" si="25"/>
        <v>0</v>
      </c>
    </row>
    <row r="39" spans="2:14" ht="25.5">
      <c r="B39" s="30" t="s">
        <v>296</v>
      </c>
      <c r="C39" s="45">
        <f>C38/C35</f>
        <v>2.3404936699615079E-2</v>
      </c>
      <c r="D39" s="45">
        <f t="shared" ref="D39:N39" si="26">D38/D35</f>
        <v>3.1908724217560927E-2</v>
      </c>
      <c r="E39" s="45">
        <f t="shared" si="26"/>
        <v>3.3661231678489251E-2</v>
      </c>
      <c r="F39" s="45">
        <f t="shared" si="26"/>
        <v>3.4805973892261151E-2</v>
      </c>
      <c r="G39" s="45">
        <f t="shared" si="26"/>
        <v>3.0568042130880314E-2</v>
      </c>
      <c r="H39" s="45">
        <f t="shared" si="26"/>
        <v>5.1621548571919799E-2</v>
      </c>
      <c r="I39" s="45">
        <f t="shared" si="26"/>
        <v>5.1277744632033329E-2</v>
      </c>
      <c r="J39" s="45" t="e">
        <f t="shared" si="26"/>
        <v>#DIV/0!</v>
      </c>
      <c r="K39" s="45" t="e">
        <f t="shared" si="26"/>
        <v>#DIV/0!</v>
      </c>
      <c r="L39" s="45" t="e">
        <f t="shared" si="26"/>
        <v>#DIV/0!</v>
      </c>
      <c r="M39" s="45" t="e">
        <f t="shared" si="26"/>
        <v>#DIV/0!</v>
      </c>
      <c r="N39" s="45" t="e">
        <f t="shared" si="26"/>
        <v>#DIV/0!</v>
      </c>
    </row>
    <row r="40" spans="2:14" ht="25.5">
      <c r="B40" s="46" t="s">
        <v>159</v>
      </c>
      <c r="C40" s="121">
        <f>+C131</f>
        <v>17.02</v>
      </c>
      <c r="D40" s="121">
        <f t="shared" ref="D40:N40" si="27">+D131</f>
        <v>25.02</v>
      </c>
      <c r="E40" s="121">
        <f t="shared" si="27"/>
        <v>24.51</v>
      </c>
      <c r="F40" s="121">
        <f t="shared" si="27"/>
        <v>24.43</v>
      </c>
      <c r="G40" s="121">
        <f t="shared" si="27"/>
        <v>32.22</v>
      </c>
      <c r="H40" s="121">
        <f t="shared" si="27"/>
        <v>70.319999999999993</v>
      </c>
      <c r="I40" s="121">
        <f t="shared" si="27"/>
        <v>76.599999999999994</v>
      </c>
      <c r="J40" s="121">
        <f t="shared" si="27"/>
        <v>0</v>
      </c>
      <c r="K40" s="121">
        <f t="shared" si="27"/>
        <v>0</v>
      </c>
      <c r="L40" s="121">
        <f t="shared" si="27"/>
        <v>0</v>
      </c>
      <c r="M40" s="121">
        <f t="shared" si="27"/>
        <v>0</v>
      </c>
      <c r="N40" s="121">
        <f t="shared" si="27"/>
        <v>0</v>
      </c>
    </row>
    <row r="41" spans="2:14" ht="25.5">
      <c r="B41" s="48" t="s">
        <v>160</v>
      </c>
      <c r="C41" s="49">
        <f t="shared" ref="C41:N41" si="28">C38/C15</f>
        <v>5.2392327731956054E-2</v>
      </c>
      <c r="D41" s="49">
        <f t="shared" si="28"/>
        <v>7.8185612559266066E-2</v>
      </c>
      <c r="E41" s="49">
        <f t="shared" si="28"/>
        <v>7.3996705097069251E-2</v>
      </c>
      <c r="F41" s="49">
        <f t="shared" si="28"/>
        <v>7.261727149799016E-2</v>
      </c>
      <c r="G41" s="49">
        <f t="shared" si="28"/>
        <v>8.6010167937925347E-2</v>
      </c>
      <c r="H41" s="49">
        <f t="shared" si="28"/>
        <v>0.15973406732247367</v>
      </c>
      <c r="I41" s="49">
        <f>I38/I15</f>
        <v>0.15595952381844178</v>
      </c>
      <c r="J41" s="49" t="e">
        <f t="shared" si="28"/>
        <v>#DIV/0!</v>
      </c>
      <c r="K41" s="49" t="e">
        <f t="shared" si="28"/>
        <v>#DIV/0!</v>
      </c>
      <c r="L41" s="49" t="e">
        <f t="shared" si="28"/>
        <v>#DIV/0!</v>
      </c>
      <c r="M41" s="49" t="e">
        <f t="shared" si="28"/>
        <v>#DIV/0!</v>
      </c>
      <c r="N41" s="49" t="e">
        <f t="shared" si="28"/>
        <v>#DIV/0!</v>
      </c>
    </row>
    <row r="42" spans="2:14" ht="25.5">
      <c r="B42" s="48" t="s">
        <v>382</v>
      </c>
      <c r="C42" s="49">
        <f>AVERAGE(C41:I41)</f>
        <v>9.698509656644605E-2</v>
      </c>
      <c r="D42" s="49"/>
      <c r="E42" s="49"/>
      <c r="F42" s="49"/>
      <c r="G42" s="49"/>
      <c r="H42" s="49"/>
      <c r="I42" s="49"/>
      <c r="J42" s="49"/>
      <c r="K42" s="49"/>
      <c r="L42" s="49"/>
      <c r="M42" s="49"/>
      <c r="N42" s="49"/>
    </row>
    <row r="43" spans="2:14" ht="25.5">
      <c r="B43" s="48" t="s">
        <v>298</v>
      </c>
      <c r="C43" s="50">
        <f t="shared" ref="C43:H43" si="29">+C144</f>
        <v>5093390000</v>
      </c>
      <c r="D43" s="50">
        <f t="shared" si="29"/>
        <v>-78175180000</v>
      </c>
      <c r="E43" s="50">
        <f t="shared" si="29"/>
        <v>-213350000</v>
      </c>
      <c r="F43" s="50">
        <f t="shared" si="29"/>
        <v>17501970000</v>
      </c>
      <c r="G43" s="50">
        <f t="shared" si="29"/>
        <v>43353630000</v>
      </c>
      <c r="H43" s="50">
        <f t="shared" si="29"/>
        <v>50977400000</v>
      </c>
      <c r="I43" s="50">
        <f>+I144</f>
        <v>25234500000</v>
      </c>
      <c r="J43" s="50">
        <f t="shared" ref="J43:N43" si="30">+J144</f>
        <v>0</v>
      </c>
      <c r="K43" s="50">
        <f t="shared" si="30"/>
        <v>0</v>
      </c>
      <c r="L43" s="50">
        <f t="shared" si="30"/>
        <v>0</v>
      </c>
      <c r="M43" s="50">
        <f t="shared" si="30"/>
        <v>0</v>
      </c>
      <c r="N43" s="50">
        <f t="shared" si="30"/>
        <v>0</v>
      </c>
    </row>
    <row r="44" spans="2:14" ht="25.5">
      <c r="B44" s="51" t="s">
        <v>119</v>
      </c>
      <c r="C44" s="51">
        <f>SUM(C46:C49)</f>
        <v>8</v>
      </c>
      <c r="D44" s="51">
        <f t="shared" ref="D44:F44" si="31">SUM(D46:D49)</f>
        <v>7</v>
      </c>
      <c r="E44" s="51">
        <f t="shared" si="31"/>
        <v>11</v>
      </c>
      <c r="F44" s="51">
        <f t="shared" si="31"/>
        <v>7</v>
      </c>
      <c r="G44" s="51">
        <f>SUM(G46:G49)</f>
        <v>17</v>
      </c>
      <c r="H44" s="51">
        <f>SUM(H46:H49)</f>
        <v>16</v>
      </c>
      <c r="I44" s="51">
        <f t="shared" ref="I44:N44" si="32">SUM(I46:I48)</f>
        <v>22.099999999999998</v>
      </c>
      <c r="J44" s="51">
        <f t="shared" si="32"/>
        <v>20</v>
      </c>
      <c r="K44" s="51">
        <f t="shared" si="32"/>
        <v>0</v>
      </c>
      <c r="L44" s="51">
        <f t="shared" si="32"/>
        <v>0</v>
      </c>
      <c r="M44" s="51">
        <f t="shared" si="32"/>
        <v>0</v>
      </c>
      <c r="N44" s="51">
        <f t="shared" si="32"/>
        <v>0</v>
      </c>
    </row>
    <row r="45" spans="2:14" ht="25.5">
      <c r="B45" s="51" t="s">
        <v>383</v>
      </c>
      <c r="C45" s="51">
        <f>+C46+C47</f>
        <v>5.923</v>
      </c>
      <c r="D45" s="51">
        <f t="shared" ref="D45:N45" si="33">+D46+D47</f>
        <v>5.1070000000000002</v>
      </c>
      <c r="E45" s="51">
        <f t="shared" si="33"/>
        <v>7.5049999999999999</v>
      </c>
      <c r="F45" s="51">
        <f t="shared" si="33"/>
        <v>3.3519999999999999</v>
      </c>
      <c r="G45" s="51">
        <f t="shared" si="33"/>
        <v>14.327999999999999</v>
      </c>
      <c r="H45" s="51">
        <f t="shared" si="33"/>
        <v>10.664999999999999</v>
      </c>
      <c r="I45" s="51">
        <f t="shared" si="33"/>
        <v>22.094999999999999</v>
      </c>
      <c r="J45" s="51">
        <f t="shared" si="33"/>
        <v>16.981000000000002</v>
      </c>
      <c r="K45" s="51">
        <f t="shared" si="33"/>
        <v>0</v>
      </c>
      <c r="L45" s="51">
        <f t="shared" si="33"/>
        <v>0</v>
      </c>
      <c r="M45" s="51">
        <f t="shared" si="33"/>
        <v>0</v>
      </c>
      <c r="N45" s="51">
        <f t="shared" si="33"/>
        <v>0</v>
      </c>
    </row>
    <row r="46" spans="2:14" ht="18">
      <c r="B46" s="135" t="s">
        <v>121</v>
      </c>
      <c r="C46" s="94">
        <v>1.923</v>
      </c>
      <c r="D46" s="94">
        <f>2+2+1.107</f>
        <v>5.1070000000000002</v>
      </c>
      <c r="E46" s="94">
        <v>3.5049999999999999</v>
      </c>
      <c r="F46" s="94">
        <v>3.3519999999999999</v>
      </c>
      <c r="G46" s="94">
        <f>3+7.328</f>
        <v>10.327999999999999</v>
      </c>
      <c r="H46" s="94">
        <v>2.665</v>
      </c>
      <c r="I46" s="155">
        <v>13.095000000000001</v>
      </c>
      <c r="J46" s="155">
        <v>13.981</v>
      </c>
      <c r="K46" s="155"/>
      <c r="L46" s="155"/>
      <c r="M46" s="155"/>
      <c r="N46" s="155"/>
    </row>
    <row r="47" spans="2:14" ht="18">
      <c r="B47" s="135" t="s">
        <v>122</v>
      </c>
      <c r="C47" s="94">
        <f>2+2</f>
        <v>4</v>
      </c>
      <c r="D47" s="94"/>
      <c r="E47" s="94">
        <f>2+2</f>
        <v>4</v>
      </c>
      <c r="F47" s="94"/>
      <c r="G47" s="94">
        <v>4</v>
      </c>
      <c r="H47" s="94">
        <f>4+4</f>
        <v>8</v>
      </c>
      <c r="I47" s="155">
        <f>6+3</f>
        <v>9</v>
      </c>
      <c r="J47" s="155">
        <v>3</v>
      </c>
      <c r="K47" s="155"/>
      <c r="L47" s="155"/>
      <c r="M47" s="155"/>
      <c r="N47" s="155"/>
    </row>
    <row r="48" spans="2:14" ht="18">
      <c r="B48" s="135" t="s">
        <v>123</v>
      </c>
      <c r="C48" s="94">
        <v>2.077</v>
      </c>
      <c r="D48" s="94">
        <v>1.893</v>
      </c>
      <c r="E48" s="94">
        <v>3.4950000000000001</v>
      </c>
      <c r="F48" s="94">
        <f>3+0.648</f>
        <v>3.6480000000000001</v>
      </c>
      <c r="G48" s="94">
        <v>2.6720000000000002</v>
      </c>
      <c r="H48" s="94">
        <v>5.335</v>
      </c>
      <c r="I48" s="155">
        <v>5.0000000000000001E-3</v>
      </c>
      <c r="J48" s="155">
        <v>3.0190000000000001</v>
      </c>
      <c r="K48" s="155"/>
      <c r="L48" s="155"/>
      <c r="M48" s="155"/>
      <c r="N48" s="155"/>
    </row>
    <row r="49" spans="2:16" ht="18">
      <c r="B49" s="135" t="s">
        <v>124</v>
      </c>
      <c r="C49" s="94"/>
      <c r="D49" s="94"/>
      <c r="E49" s="94"/>
      <c r="F49" s="94"/>
      <c r="G49" s="94"/>
      <c r="H49" s="94"/>
      <c r="I49" s="94"/>
      <c r="J49" s="94"/>
      <c r="K49" s="94"/>
      <c r="L49" s="94"/>
      <c r="M49" s="94"/>
      <c r="N49" s="94"/>
    </row>
    <row r="50" spans="2:16" ht="25.5">
      <c r="B50" s="541" t="s">
        <v>167</v>
      </c>
      <c r="C50" s="99">
        <f>(C47+C48+D46)/C40</f>
        <v>0.65710928319623985</v>
      </c>
      <c r="D50" s="99">
        <f t="shared" ref="D50:N50" si="34">(D47+D48+E46)/D40</f>
        <v>0.21574740207833731</v>
      </c>
      <c r="E50" s="99">
        <f t="shared" si="34"/>
        <v>0.44255405956752342</v>
      </c>
      <c r="F50" s="99">
        <f t="shared" si="34"/>
        <v>0.57208350388866147</v>
      </c>
      <c r="G50" s="99">
        <f t="shared" si="34"/>
        <v>0.28978895096213531</v>
      </c>
      <c r="H50" s="99">
        <f t="shared" si="34"/>
        <v>0.37585324232081913</v>
      </c>
      <c r="I50" s="99">
        <f t="shared" si="34"/>
        <v>0.30007832898172326</v>
      </c>
      <c r="J50" s="99" t="e">
        <f t="shared" si="34"/>
        <v>#DIV/0!</v>
      </c>
      <c r="K50" s="99" t="e">
        <f t="shared" si="34"/>
        <v>#DIV/0!</v>
      </c>
      <c r="L50" s="99" t="e">
        <f t="shared" si="34"/>
        <v>#DIV/0!</v>
      </c>
      <c r="M50" s="99" t="e">
        <f t="shared" si="34"/>
        <v>#DIV/0!</v>
      </c>
      <c r="N50" s="99" t="e">
        <f t="shared" si="34"/>
        <v>#DIV/0!</v>
      </c>
    </row>
    <row r="51" spans="2:16" ht="28.5">
      <c r="B51" s="540" t="s">
        <v>585</v>
      </c>
      <c r="C51" s="54">
        <f>AVERAGE(C50:I50)</f>
        <v>0.40760211014220571</v>
      </c>
      <c r="D51" s="54"/>
      <c r="E51" s="54"/>
      <c r="F51" s="54"/>
      <c r="G51" s="54"/>
      <c r="H51" s="54"/>
      <c r="I51" s="54"/>
      <c r="J51" s="54"/>
      <c r="K51" s="54"/>
      <c r="L51" s="54"/>
      <c r="M51" s="54"/>
      <c r="N51" s="54"/>
    </row>
    <row r="52" spans="2:16" ht="25.5">
      <c r="B52" s="541" t="s">
        <v>299</v>
      </c>
      <c r="C52" s="99">
        <f t="shared" ref="C52:N52" si="35">+C44/C19</f>
        <v>1.098901098901099E-2</v>
      </c>
      <c r="D52" s="99">
        <f t="shared" si="35"/>
        <v>1.1475409836065573E-2</v>
      </c>
      <c r="E52" s="99">
        <f t="shared" si="35"/>
        <v>2.6960784313725492E-2</v>
      </c>
      <c r="F52" s="99">
        <f t="shared" si="35"/>
        <v>1.9444444444444445E-2</v>
      </c>
      <c r="G52" s="99">
        <f t="shared" si="35"/>
        <v>7.1129707112970716E-2</v>
      </c>
      <c r="H52" s="99">
        <f t="shared" si="35"/>
        <v>4.790419161676647E-2</v>
      </c>
      <c r="I52" s="99">
        <f t="shared" si="35"/>
        <v>4.9662921348314605E-2</v>
      </c>
      <c r="J52" s="99" t="e">
        <f t="shared" si="35"/>
        <v>#DIV/0!</v>
      </c>
      <c r="K52" s="99" t="e">
        <f t="shared" si="35"/>
        <v>#DIV/0!</v>
      </c>
      <c r="L52" s="99" t="e">
        <f t="shared" si="35"/>
        <v>#DIV/0!</v>
      </c>
      <c r="M52" s="99" t="e">
        <f t="shared" si="35"/>
        <v>#DIV/0!</v>
      </c>
      <c r="N52" s="99" t="e">
        <f t="shared" si="35"/>
        <v>#DIV/0!</v>
      </c>
    </row>
    <row r="53" spans="2:16" ht="25.5">
      <c r="B53" s="542" t="s">
        <v>586</v>
      </c>
      <c r="C53" s="534">
        <f>AVERAGE(C52:I52)</f>
        <v>3.3938067094471183E-2</v>
      </c>
      <c r="D53" s="534"/>
      <c r="E53" s="534"/>
      <c r="F53" s="534"/>
      <c r="G53" s="534"/>
      <c r="H53" s="534"/>
      <c r="I53" s="534"/>
      <c r="J53" s="534"/>
      <c r="K53" s="534"/>
      <c r="L53" s="534"/>
      <c r="M53" s="534"/>
      <c r="N53" s="534"/>
      <c r="O53" s="534"/>
      <c r="P53" s="534"/>
    </row>
    <row r="54" spans="2:16" ht="25.5">
      <c r="B54" s="543" t="s">
        <v>176</v>
      </c>
      <c r="C54" s="355">
        <f>+C41*(100%-C50)</f>
        <v>1.7964842811027934E-2</v>
      </c>
      <c r="D54" s="355">
        <f t="shared" ref="D54:N54" si="36">+D41*(100%-D50)</f>
        <v>6.1317269769700991E-2</v>
      </c>
      <c r="E54" s="355">
        <f t="shared" si="36"/>
        <v>4.12491628617404E-2</v>
      </c>
      <c r="F54" s="549">
        <f t="shared" si="36"/>
        <v>3.107412837658572E-2</v>
      </c>
      <c r="G54" s="355">
        <f t="shared" si="36"/>
        <v>6.1085371599116874E-2</v>
      </c>
      <c r="H54" s="355">
        <f t="shared" si="36"/>
        <v>9.9697500210229925E-2</v>
      </c>
      <c r="I54" s="355">
        <f t="shared" si="36"/>
        <v>0.1091594505222185</v>
      </c>
      <c r="J54" s="355" t="e">
        <f t="shared" si="36"/>
        <v>#DIV/0!</v>
      </c>
      <c r="K54" s="355" t="e">
        <f t="shared" si="36"/>
        <v>#DIV/0!</v>
      </c>
      <c r="L54" s="355" t="e">
        <f t="shared" si="36"/>
        <v>#DIV/0!</v>
      </c>
      <c r="M54" s="355" t="e">
        <f t="shared" si="36"/>
        <v>#DIV/0!</v>
      </c>
      <c r="N54" s="355" t="e">
        <f t="shared" si="36"/>
        <v>#DIV/0!</v>
      </c>
    </row>
    <row r="55" spans="2:16" ht="25.5">
      <c r="B55" s="542" t="s">
        <v>587</v>
      </c>
      <c r="C55" s="534">
        <f>AVERAGE(C54:I54)</f>
        <v>6.0221103735802903E-2</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v>318305160000</v>
      </c>
      <c r="D61" s="64">
        <v>344726600000</v>
      </c>
      <c r="E61" s="64">
        <v>388093710000</v>
      </c>
      <c r="F61" s="64">
        <v>406386500000</v>
      </c>
      <c r="G61" s="64">
        <v>507352150000</v>
      </c>
      <c r="H61" s="64">
        <v>584214540000</v>
      </c>
      <c r="I61" s="64">
        <v>626565710000</v>
      </c>
      <c r="J61" s="64"/>
      <c r="K61" s="64"/>
      <c r="L61" s="64"/>
      <c r="M61" s="64"/>
      <c r="N61" s="64"/>
    </row>
    <row r="62" spans="2:16">
      <c r="B62" s="59" t="s">
        <v>386</v>
      </c>
      <c r="C62" s="66">
        <v>38582590000</v>
      </c>
      <c r="D62" s="66">
        <v>41389160000</v>
      </c>
      <c r="E62" s="66">
        <v>69884600000</v>
      </c>
      <c r="F62" s="66">
        <v>73096060000</v>
      </c>
      <c r="G62" s="66">
        <v>69994490000</v>
      </c>
      <c r="H62" s="66">
        <v>98460640000</v>
      </c>
      <c r="I62" s="66">
        <v>85543280000</v>
      </c>
      <c r="J62" s="66"/>
      <c r="K62" s="66"/>
      <c r="L62" s="66"/>
      <c r="M62" s="66"/>
      <c r="N62" s="66"/>
    </row>
    <row r="63" spans="2:16">
      <c r="B63" s="59"/>
      <c r="C63" s="66"/>
      <c r="D63" s="66"/>
      <c r="E63" s="66"/>
      <c r="F63" s="66"/>
      <c r="G63" s="66"/>
      <c r="H63" s="160"/>
      <c r="I63" s="66"/>
      <c r="J63" s="66"/>
      <c r="K63" s="66"/>
      <c r="L63" s="66"/>
      <c r="M63" s="66"/>
      <c r="N63" s="66"/>
    </row>
    <row r="64" spans="2:16">
      <c r="B64" s="59"/>
      <c r="C64" s="66"/>
      <c r="D64" s="66"/>
      <c r="E64" s="66"/>
      <c r="F64" s="66"/>
      <c r="G64" s="66"/>
      <c r="H64" s="160"/>
      <c r="I64" s="66"/>
      <c r="J64" s="66"/>
      <c r="K64" s="66"/>
      <c r="L64" s="66"/>
      <c r="M64" s="66"/>
      <c r="N64" s="66"/>
    </row>
    <row r="65" spans="2:14">
      <c r="B65" s="59" t="s">
        <v>588</v>
      </c>
      <c r="C65" s="66">
        <v>153751740000</v>
      </c>
      <c r="D65" s="66">
        <v>149901950000</v>
      </c>
      <c r="E65" s="66">
        <v>116486400000</v>
      </c>
      <c r="F65" s="66">
        <v>137245390000.00002</v>
      </c>
      <c r="G65" s="66">
        <v>212202870000</v>
      </c>
      <c r="H65" s="66">
        <v>271784479999.99997</v>
      </c>
      <c r="I65" s="66">
        <v>294080550000</v>
      </c>
      <c r="J65" s="66"/>
      <c r="K65" s="66"/>
      <c r="L65" s="66"/>
      <c r="M65" s="66"/>
      <c r="N65" s="66"/>
    </row>
    <row r="66" spans="2:14">
      <c r="B66" s="59" t="s">
        <v>589</v>
      </c>
      <c r="C66" s="66">
        <v>25669750000</v>
      </c>
      <c r="D66" s="66">
        <v>24578610000</v>
      </c>
      <c r="E66" s="66">
        <v>38844730000</v>
      </c>
      <c r="F66" s="66">
        <v>34016210000</v>
      </c>
      <c r="G66" s="66">
        <v>39612510000</v>
      </c>
      <c r="H66" s="66">
        <v>37291520000</v>
      </c>
      <c r="I66" s="66">
        <v>48032910000</v>
      </c>
      <c r="J66" s="66"/>
      <c r="K66" s="66"/>
      <c r="L66" s="66"/>
      <c r="M66" s="66"/>
      <c r="N66" s="66"/>
    </row>
    <row r="67" spans="2:14">
      <c r="B67" s="59" t="s">
        <v>391</v>
      </c>
      <c r="C67" s="66">
        <v>92638060000</v>
      </c>
      <c r="D67" s="66">
        <v>115024140000</v>
      </c>
      <c r="E67" s="66">
        <v>152919190000</v>
      </c>
      <c r="F67" s="66">
        <v>153223650000</v>
      </c>
      <c r="G67" s="66">
        <v>171087120000</v>
      </c>
      <c r="H67" s="66">
        <v>163021620000</v>
      </c>
      <c r="I67" s="66">
        <v>189280580000</v>
      </c>
      <c r="J67" s="66"/>
      <c r="K67" s="66"/>
      <c r="L67" s="66"/>
      <c r="M67" s="66"/>
      <c r="N67" s="66"/>
    </row>
    <row r="68" spans="2:14">
      <c r="B68" s="59"/>
      <c r="C68" s="66"/>
      <c r="D68" s="66"/>
      <c r="E68" s="66"/>
      <c r="F68" s="66"/>
      <c r="G68" s="66"/>
      <c r="H68" s="160"/>
      <c r="I68" s="66"/>
      <c r="J68" s="66"/>
      <c r="K68" s="66"/>
      <c r="L68" s="66"/>
      <c r="M68" s="66"/>
      <c r="N68" s="66"/>
    </row>
    <row r="69" spans="2:14">
      <c r="B69" s="59" t="s">
        <v>318</v>
      </c>
      <c r="C69" s="66">
        <v>7663020000</v>
      </c>
      <c r="D69" s="66">
        <v>13832740000</v>
      </c>
      <c r="E69" s="66">
        <v>9958790000</v>
      </c>
      <c r="F69" s="66">
        <v>8805189999.9999847</v>
      </c>
      <c r="G69" s="66">
        <v>14455160000</v>
      </c>
      <c r="H69" s="66">
        <v>13656280000.000031</v>
      </c>
      <c r="I69" s="66">
        <v>9628390000</v>
      </c>
      <c r="J69" s="66"/>
      <c r="K69" s="66"/>
      <c r="L69" s="66"/>
      <c r="M69" s="66"/>
      <c r="N69" s="66"/>
    </row>
    <row r="70" spans="2:14">
      <c r="B70" s="58" t="s">
        <v>319</v>
      </c>
      <c r="C70" s="64">
        <v>301853810000</v>
      </c>
      <c r="D70" s="64">
        <v>353662440000.00006</v>
      </c>
      <c r="E70" s="64">
        <v>388526100000.00006</v>
      </c>
      <c r="F70" s="64">
        <v>381474290000.00006</v>
      </c>
      <c r="G70" s="64">
        <v>418088410000.00006</v>
      </c>
      <c r="H70" s="64">
        <v>446021039999.99994</v>
      </c>
      <c r="I70" s="64">
        <v>455211020000</v>
      </c>
      <c r="J70" s="64"/>
      <c r="K70" s="64"/>
      <c r="L70" s="64"/>
      <c r="M70" s="64"/>
      <c r="N70" s="64"/>
    </row>
    <row r="71" spans="2:14">
      <c r="B71" s="59" t="s">
        <v>393</v>
      </c>
      <c r="C71" s="66"/>
      <c r="D71" s="66"/>
      <c r="E71" s="66"/>
      <c r="F71" s="66"/>
      <c r="G71" s="66"/>
      <c r="H71" s="160"/>
      <c r="I71" s="66"/>
      <c r="J71" s="66"/>
      <c r="K71" s="66"/>
      <c r="L71" s="66"/>
      <c r="M71" s="66"/>
      <c r="N71" s="66"/>
    </row>
    <row r="72" spans="2:14">
      <c r="B72" s="59" t="s">
        <v>394</v>
      </c>
      <c r="C72" s="66"/>
      <c r="D72" s="66"/>
      <c r="E72" s="66"/>
      <c r="F72" s="66"/>
      <c r="G72" s="66"/>
      <c r="H72" s="160"/>
      <c r="I72" s="66"/>
      <c r="J72" s="66"/>
      <c r="K72" s="66"/>
      <c r="L72" s="66"/>
      <c r="M72" s="66"/>
      <c r="N72" s="66"/>
    </row>
    <row r="73" spans="2:14">
      <c r="B73" s="59" t="s">
        <v>590</v>
      </c>
      <c r="C73" s="66"/>
      <c r="D73" s="66"/>
      <c r="E73" s="66"/>
      <c r="F73" s="66"/>
      <c r="G73" s="66"/>
      <c r="H73" s="160"/>
      <c r="I73" s="66"/>
      <c r="J73" s="66"/>
      <c r="K73" s="66"/>
      <c r="L73" s="66"/>
      <c r="M73" s="66"/>
      <c r="N73" s="66"/>
    </row>
    <row r="74" spans="2:14">
      <c r="B74" s="59" t="s">
        <v>396</v>
      </c>
      <c r="C74" s="66"/>
      <c r="D74" s="66"/>
      <c r="E74" s="66"/>
      <c r="F74" s="66"/>
      <c r="G74" s="66"/>
      <c r="H74" s="160"/>
      <c r="I74" s="66"/>
      <c r="J74" s="66"/>
      <c r="K74" s="66"/>
      <c r="L74" s="66"/>
      <c r="M74" s="66"/>
      <c r="N74" s="66"/>
    </row>
    <row r="75" spans="2:14">
      <c r="B75" s="59" t="s">
        <v>397</v>
      </c>
      <c r="C75" s="66"/>
      <c r="D75" s="66"/>
      <c r="E75" s="66"/>
      <c r="F75" s="66"/>
      <c r="G75" s="66"/>
      <c r="H75" s="160"/>
      <c r="I75" s="66"/>
      <c r="J75" s="66"/>
      <c r="K75" s="66"/>
      <c r="L75" s="66"/>
      <c r="M75" s="66"/>
      <c r="N75" s="66"/>
    </row>
    <row r="76" spans="2:14">
      <c r="B76" s="59" t="s">
        <v>398</v>
      </c>
      <c r="C76" s="66"/>
      <c r="D76" s="66"/>
      <c r="E76" s="66"/>
      <c r="F76" s="66"/>
      <c r="G76" s="66"/>
      <c r="H76" s="160"/>
      <c r="I76" s="66"/>
      <c r="J76" s="66"/>
      <c r="K76" s="66"/>
      <c r="L76" s="66"/>
      <c r="M76" s="66"/>
      <c r="N76" s="66"/>
    </row>
    <row r="77" spans="2:14">
      <c r="B77" s="59" t="s">
        <v>399</v>
      </c>
      <c r="C77" s="66"/>
      <c r="D77" s="66"/>
      <c r="E77" s="66"/>
      <c r="F77" s="66"/>
      <c r="G77" s="66"/>
      <c r="H77" s="160"/>
      <c r="I77" s="66"/>
      <c r="J77" s="66"/>
      <c r="K77" s="66"/>
      <c r="L77" s="66"/>
      <c r="M77" s="66"/>
      <c r="N77" s="66"/>
    </row>
    <row r="78" spans="2:14">
      <c r="B78" s="59" t="s">
        <v>400</v>
      </c>
      <c r="C78" s="66"/>
      <c r="D78" s="66"/>
      <c r="E78" s="66"/>
      <c r="F78" s="161"/>
      <c r="G78" s="66"/>
      <c r="H78" s="160"/>
      <c r="I78" s="66"/>
      <c r="J78" s="66"/>
      <c r="K78" s="66"/>
      <c r="L78" s="66"/>
      <c r="M78" s="66"/>
      <c r="N78" s="66"/>
    </row>
    <row r="79" spans="2:14">
      <c r="B79" s="59" t="s">
        <v>401</v>
      </c>
      <c r="C79" s="66"/>
      <c r="D79" s="66"/>
      <c r="E79" s="66"/>
      <c r="F79" s="66"/>
      <c r="G79" s="66"/>
      <c r="H79" s="160"/>
      <c r="I79" s="66"/>
      <c r="J79" s="66"/>
      <c r="K79" s="66"/>
      <c r="L79" s="66"/>
      <c r="M79" s="66"/>
      <c r="N79" s="66"/>
    </row>
    <row r="80" spans="2:14">
      <c r="B80" s="59" t="s">
        <v>328</v>
      </c>
      <c r="C80" s="66">
        <v>301853810000</v>
      </c>
      <c r="D80" s="66">
        <v>353662440000.00006</v>
      </c>
      <c r="E80" s="66">
        <v>388526100000.00006</v>
      </c>
      <c r="F80" s="66">
        <v>381474290000.00006</v>
      </c>
      <c r="G80" s="66">
        <v>418088410000.00006</v>
      </c>
      <c r="H80" s="66">
        <v>446021039999.99994</v>
      </c>
      <c r="I80" s="66">
        <v>455211020000</v>
      </c>
      <c r="J80" s="66">
        <f t="shared" ref="J80:N80" si="37">+J70-J77-J78-J76-J71-J79-J75-J74-J73-J72</f>
        <v>0</v>
      </c>
      <c r="K80" s="66">
        <f t="shared" si="37"/>
        <v>0</v>
      </c>
      <c r="L80" s="66">
        <f t="shared" si="37"/>
        <v>0</v>
      </c>
      <c r="M80" s="66">
        <f t="shared" si="37"/>
        <v>0</v>
      </c>
      <c r="N80" s="66">
        <f t="shared" si="37"/>
        <v>0</v>
      </c>
    </row>
    <row r="81" spans="2:14" ht="14.65" thickBot="1">
      <c r="B81" s="60" t="s">
        <v>329</v>
      </c>
      <c r="C81" s="70">
        <v>620158970000</v>
      </c>
      <c r="D81" s="70">
        <v>698389040000</v>
      </c>
      <c r="E81" s="70">
        <v>776619810000</v>
      </c>
      <c r="F81" s="70">
        <v>787860790000</v>
      </c>
      <c r="G81" s="70">
        <v>925440560000</v>
      </c>
      <c r="H81" s="162">
        <v>1030235580000</v>
      </c>
      <c r="I81" s="162">
        <v>1081776730000</v>
      </c>
      <c r="J81" s="162">
        <f t="shared" ref="J81:N81" si="38">+J70+J61</f>
        <v>0</v>
      </c>
      <c r="K81" s="162">
        <f t="shared" si="38"/>
        <v>0</v>
      </c>
      <c r="L81" s="162">
        <f t="shared" si="38"/>
        <v>0</v>
      </c>
      <c r="M81" s="162">
        <f t="shared" si="38"/>
        <v>0</v>
      </c>
      <c r="N81" s="162">
        <f t="shared" si="38"/>
        <v>0</v>
      </c>
    </row>
    <row r="82" spans="2:14" ht="14.65" thickBot="1">
      <c r="B82" s="61"/>
      <c r="C82" s="72"/>
      <c r="D82" s="72"/>
      <c r="E82" s="72"/>
      <c r="F82" s="72"/>
      <c r="G82" s="72"/>
      <c r="H82" s="163"/>
      <c r="I82" s="72"/>
      <c r="J82" s="72"/>
      <c r="K82" s="72"/>
      <c r="L82" s="72"/>
      <c r="M82" s="72"/>
      <c r="N82" s="72"/>
    </row>
    <row r="83" spans="2:14">
      <c r="B83" s="57" t="s">
        <v>330</v>
      </c>
      <c r="C83" s="62"/>
      <c r="D83" s="62"/>
      <c r="E83" s="62"/>
      <c r="F83" s="62"/>
      <c r="G83" s="62"/>
      <c r="H83" s="164"/>
      <c r="I83" s="62"/>
      <c r="J83" s="62"/>
      <c r="K83" s="62"/>
      <c r="L83" s="62"/>
      <c r="M83" s="62"/>
      <c r="N83" s="62"/>
    </row>
    <row r="84" spans="2:14">
      <c r="B84" s="58" t="s">
        <v>310</v>
      </c>
      <c r="C84" s="64">
        <v>242664760000</v>
      </c>
      <c r="D84" s="64">
        <v>242682460000</v>
      </c>
      <c r="E84" s="64">
        <v>269545310000</v>
      </c>
      <c r="F84" s="64">
        <v>295586900000</v>
      </c>
      <c r="G84" s="64">
        <v>420190150000</v>
      </c>
      <c r="H84" s="64">
        <v>479492980000</v>
      </c>
      <c r="I84" s="64">
        <v>501017700000</v>
      </c>
      <c r="J84" s="64"/>
      <c r="K84" s="64"/>
      <c r="L84" s="64"/>
      <c r="M84" s="64"/>
      <c r="N84" s="64"/>
    </row>
    <row r="85" spans="2:14">
      <c r="B85" s="59" t="s">
        <v>402</v>
      </c>
      <c r="C85" s="66"/>
      <c r="D85" s="66"/>
      <c r="E85" s="66"/>
      <c r="F85" s="66"/>
      <c r="G85" s="66"/>
      <c r="H85" s="160"/>
      <c r="I85" s="66"/>
      <c r="J85" s="66"/>
      <c r="K85" s="66"/>
      <c r="L85" s="66"/>
      <c r="M85" s="66"/>
      <c r="N85" s="66"/>
    </row>
    <row r="86" spans="2:14">
      <c r="B86" s="59" t="s">
        <v>403</v>
      </c>
      <c r="C86" s="66"/>
      <c r="D86" s="66"/>
      <c r="E86" s="66"/>
      <c r="F86" s="66"/>
      <c r="G86" s="66"/>
      <c r="H86" s="160"/>
      <c r="I86" s="66"/>
      <c r="J86" s="66"/>
      <c r="K86" s="66"/>
      <c r="L86" s="66"/>
      <c r="M86" s="66"/>
      <c r="N86" s="66"/>
    </row>
    <row r="87" spans="2:14">
      <c r="B87" s="59" t="s">
        <v>404</v>
      </c>
      <c r="C87" s="66"/>
      <c r="D87" s="66"/>
      <c r="E87" s="66"/>
      <c r="F87" s="66"/>
      <c r="G87" s="66"/>
      <c r="H87" s="160"/>
      <c r="I87" s="66"/>
      <c r="J87" s="66"/>
      <c r="K87" s="66"/>
      <c r="L87" s="66"/>
      <c r="M87" s="66"/>
      <c r="N87" s="66"/>
    </row>
    <row r="88" spans="2:14">
      <c r="B88" s="59" t="s">
        <v>405</v>
      </c>
      <c r="C88" s="66"/>
      <c r="D88" s="66"/>
      <c r="E88" s="66"/>
      <c r="F88" s="66"/>
      <c r="G88" s="66"/>
      <c r="H88" s="160"/>
      <c r="I88" s="66"/>
      <c r="J88" s="66"/>
      <c r="K88" s="66"/>
      <c r="L88" s="66"/>
      <c r="M88" s="66"/>
      <c r="N88" s="66"/>
    </row>
    <row r="89" spans="2:14">
      <c r="B89" s="59" t="s">
        <v>406</v>
      </c>
      <c r="C89" s="66"/>
      <c r="D89" s="66"/>
      <c r="E89" s="66"/>
      <c r="F89" s="66"/>
      <c r="G89" s="66"/>
      <c r="H89" s="160"/>
      <c r="I89" s="66"/>
      <c r="J89" s="66"/>
      <c r="K89" s="66"/>
      <c r="L89" s="66"/>
      <c r="M89" s="66"/>
      <c r="N89" s="66"/>
    </row>
    <row r="90" spans="2:14">
      <c r="B90" s="59" t="s">
        <v>407</v>
      </c>
      <c r="C90" s="66"/>
      <c r="D90" s="66"/>
      <c r="E90" s="66"/>
      <c r="F90" s="66"/>
      <c r="G90" s="66"/>
      <c r="H90" s="160"/>
      <c r="I90" s="66"/>
      <c r="J90" s="66"/>
      <c r="K90" s="66"/>
      <c r="L90" s="66"/>
      <c r="M90" s="66"/>
      <c r="N90" s="66"/>
    </row>
    <row r="91" spans="2:14">
      <c r="B91" s="59" t="s">
        <v>408</v>
      </c>
      <c r="C91" s="66"/>
      <c r="D91" s="66"/>
      <c r="E91" s="66"/>
      <c r="F91" s="66"/>
      <c r="G91" s="66"/>
      <c r="H91" s="160"/>
      <c r="I91" s="66"/>
      <c r="J91" s="66"/>
      <c r="K91" s="66"/>
      <c r="L91" s="66"/>
      <c r="M91" s="66"/>
      <c r="N91" s="66"/>
    </row>
    <row r="92" spans="2:14">
      <c r="B92" s="59" t="s">
        <v>409</v>
      </c>
      <c r="C92" s="66"/>
      <c r="D92" s="66"/>
      <c r="E92" s="66"/>
      <c r="F92" s="66"/>
      <c r="G92" s="66"/>
      <c r="H92" s="160"/>
      <c r="I92" s="66"/>
      <c r="J92" s="66"/>
      <c r="K92" s="66"/>
      <c r="L92" s="66"/>
      <c r="M92" s="66"/>
      <c r="N92" s="66"/>
    </row>
    <row r="93" spans="2:14">
      <c r="B93" s="59" t="s">
        <v>410</v>
      </c>
      <c r="C93" s="66">
        <v>242664760000</v>
      </c>
      <c r="D93" s="66">
        <v>242682460000</v>
      </c>
      <c r="E93" s="66">
        <v>269545310000</v>
      </c>
      <c r="F93" s="66">
        <v>295586900000</v>
      </c>
      <c r="G93" s="66">
        <v>420190150000</v>
      </c>
      <c r="H93" s="66">
        <v>479492980000</v>
      </c>
      <c r="I93" s="66">
        <v>501017700000</v>
      </c>
      <c r="J93" s="66">
        <f t="shared" ref="J93:N93" si="39">+J84-J85-J91-J92-J90-J89-J88-J87-J86</f>
        <v>0</v>
      </c>
      <c r="K93" s="66">
        <f t="shared" si="39"/>
        <v>0</v>
      </c>
      <c r="L93" s="66">
        <f t="shared" si="39"/>
        <v>0</v>
      </c>
      <c r="M93" s="66">
        <f t="shared" si="39"/>
        <v>0</v>
      </c>
      <c r="N93" s="66">
        <f t="shared" si="39"/>
        <v>0</v>
      </c>
    </row>
    <row r="94" spans="2:14">
      <c r="B94" s="58" t="s">
        <v>319</v>
      </c>
      <c r="C94" s="141">
        <v>178155209999.99997</v>
      </c>
      <c r="D94" s="141">
        <v>260003300000.00003</v>
      </c>
      <c r="E94" s="141">
        <v>307654050000</v>
      </c>
      <c r="F94" s="141">
        <v>291380030000</v>
      </c>
      <c r="G94" s="141">
        <v>281903140000</v>
      </c>
      <c r="H94" s="141">
        <v>285814250000</v>
      </c>
      <c r="I94" s="141">
        <v>285047230000.00006</v>
      </c>
      <c r="J94" s="141"/>
      <c r="K94" s="141"/>
      <c r="L94" s="141"/>
      <c r="M94" s="141"/>
      <c r="N94" s="141"/>
    </row>
    <row r="95" spans="2:14">
      <c r="B95" s="59" t="s">
        <v>411</v>
      </c>
      <c r="C95" s="66"/>
      <c r="D95" s="66"/>
      <c r="E95" s="66"/>
      <c r="F95" s="66"/>
      <c r="G95" s="66"/>
      <c r="H95" s="160"/>
      <c r="I95" s="160"/>
      <c r="J95" s="160"/>
      <c r="K95" s="160"/>
      <c r="L95" s="160"/>
      <c r="M95" s="160"/>
      <c r="N95" s="160"/>
    </row>
    <row r="96" spans="2:14">
      <c r="B96" s="59" t="s">
        <v>412</v>
      </c>
      <c r="C96" s="66"/>
      <c r="D96" s="66"/>
      <c r="E96" s="66"/>
      <c r="F96" s="66"/>
      <c r="G96" s="66"/>
      <c r="H96" s="160"/>
      <c r="I96" s="160"/>
      <c r="J96" s="160"/>
      <c r="K96" s="160"/>
      <c r="L96" s="160"/>
      <c r="M96" s="160"/>
      <c r="N96" s="160"/>
    </row>
    <row r="97" spans="2:14">
      <c r="B97" s="59" t="s">
        <v>413</v>
      </c>
      <c r="C97" s="66"/>
      <c r="D97" s="66"/>
      <c r="E97" s="66"/>
      <c r="F97" s="66"/>
      <c r="G97" s="66"/>
      <c r="H97" s="160"/>
      <c r="I97" s="160"/>
      <c r="J97" s="160"/>
      <c r="K97" s="160"/>
      <c r="L97" s="160"/>
      <c r="M97" s="160"/>
      <c r="N97" s="160"/>
    </row>
    <row r="98" spans="2:14">
      <c r="B98" s="59" t="s">
        <v>414</v>
      </c>
      <c r="C98" s="66"/>
      <c r="D98" s="66"/>
      <c r="E98" s="66"/>
      <c r="F98" s="66"/>
      <c r="G98" s="66"/>
      <c r="H98" s="160"/>
      <c r="I98" s="160"/>
      <c r="J98" s="160"/>
      <c r="K98" s="160"/>
      <c r="L98" s="160"/>
      <c r="M98" s="160"/>
      <c r="N98" s="160"/>
    </row>
    <row r="99" spans="2:14">
      <c r="B99" s="59" t="s">
        <v>341</v>
      </c>
      <c r="C99" s="66">
        <v>178155209999.99997</v>
      </c>
      <c r="D99" s="66">
        <v>260003300000.00003</v>
      </c>
      <c r="E99" s="66">
        <v>307654050000</v>
      </c>
      <c r="F99" s="66">
        <v>291380030000</v>
      </c>
      <c r="G99" s="66">
        <v>281903140000</v>
      </c>
      <c r="H99" s="66">
        <v>285814250000</v>
      </c>
      <c r="I99" s="66">
        <v>285047230000.00006</v>
      </c>
      <c r="J99" s="66">
        <f t="shared" ref="J99:N99" si="40">+J94-J95-J97-J98-J96</f>
        <v>0</v>
      </c>
      <c r="K99" s="66">
        <f t="shared" si="40"/>
        <v>0</v>
      </c>
      <c r="L99" s="66">
        <f t="shared" si="40"/>
        <v>0</v>
      </c>
      <c r="M99" s="66">
        <f t="shared" si="40"/>
        <v>0</v>
      </c>
      <c r="N99" s="66">
        <f t="shared" si="40"/>
        <v>0</v>
      </c>
    </row>
    <row r="100" spans="2:14" ht="14.65" thickBot="1">
      <c r="B100" s="60" t="s">
        <v>342</v>
      </c>
      <c r="C100" s="70">
        <v>420819970000</v>
      </c>
      <c r="D100" s="70">
        <v>502685760000</v>
      </c>
      <c r="E100" s="70">
        <v>577199360000</v>
      </c>
      <c r="F100" s="70">
        <v>586966930000</v>
      </c>
      <c r="G100" s="70">
        <v>702093290000</v>
      </c>
      <c r="H100" s="162">
        <v>765307230000</v>
      </c>
      <c r="I100" s="162">
        <v>786064930000</v>
      </c>
      <c r="J100" s="162">
        <f t="shared" ref="J100:N100" si="41">+J94+J84</f>
        <v>0</v>
      </c>
      <c r="K100" s="162">
        <f t="shared" si="41"/>
        <v>0</v>
      </c>
      <c r="L100" s="162">
        <f t="shared" si="41"/>
        <v>0</v>
      </c>
      <c r="M100" s="162">
        <f t="shared" si="41"/>
        <v>0</v>
      </c>
      <c r="N100" s="162">
        <f t="shared" si="41"/>
        <v>0</v>
      </c>
    </row>
    <row r="101" spans="2:14" ht="14.65" thickBot="1">
      <c r="B101" s="61"/>
      <c r="C101" s="61"/>
      <c r="D101" s="61"/>
      <c r="E101" s="61"/>
      <c r="F101" s="61"/>
      <c r="G101" s="61"/>
      <c r="H101" s="61"/>
      <c r="I101" s="61"/>
      <c r="J101" s="61"/>
      <c r="K101" s="61"/>
      <c r="L101" s="61"/>
      <c r="M101" s="61"/>
      <c r="N101" s="61"/>
    </row>
    <row r="102" spans="2:14">
      <c r="B102" s="57" t="s">
        <v>343</v>
      </c>
      <c r="C102" s="62"/>
      <c r="D102" s="62"/>
      <c r="E102" s="62"/>
      <c r="F102" s="62"/>
      <c r="G102" s="62"/>
      <c r="H102" s="164"/>
      <c r="I102" s="62"/>
      <c r="J102" s="62"/>
      <c r="K102" s="62"/>
      <c r="L102" s="62"/>
      <c r="M102" s="62"/>
      <c r="N102" s="62"/>
    </row>
    <row r="103" spans="2:14">
      <c r="B103" s="59" t="s">
        <v>415</v>
      </c>
      <c r="C103" s="160">
        <v>59047770000</v>
      </c>
      <c r="D103" s="160">
        <v>59047770000</v>
      </c>
      <c r="E103" s="160">
        <v>59047770000</v>
      </c>
      <c r="F103" s="160">
        <v>59047770000</v>
      </c>
      <c r="G103" s="160">
        <v>59047770000</v>
      </c>
      <c r="H103" s="160">
        <v>59047770000</v>
      </c>
      <c r="I103" s="160">
        <v>59047770000</v>
      </c>
      <c r="J103" s="160"/>
      <c r="K103" s="160"/>
      <c r="L103" s="160"/>
      <c r="M103" s="160"/>
      <c r="N103" s="160"/>
    </row>
    <row r="104" spans="2:14">
      <c r="B104" s="59" t="s">
        <v>591</v>
      </c>
      <c r="C104" s="160">
        <v>9867230000</v>
      </c>
      <c r="D104" s="160">
        <v>9867230000</v>
      </c>
      <c r="E104" s="160">
        <v>9867230000</v>
      </c>
      <c r="F104" s="160">
        <v>9867230000</v>
      </c>
      <c r="G104" s="160">
        <v>9867230000</v>
      </c>
      <c r="H104" s="160">
        <v>9867230000</v>
      </c>
      <c r="I104" s="160">
        <v>9867230000</v>
      </c>
      <c r="J104" s="160"/>
      <c r="K104" s="160"/>
      <c r="L104" s="160"/>
      <c r="M104" s="160"/>
      <c r="N104" s="160"/>
    </row>
    <row r="105" spans="2:14">
      <c r="B105" s="59" t="s">
        <v>416</v>
      </c>
      <c r="C105" s="66">
        <v>117419040000</v>
      </c>
      <c r="D105" s="66">
        <v>111252110000</v>
      </c>
      <c r="E105" s="66">
        <v>119158250000</v>
      </c>
      <c r="F105" s="66">
        <v>126907730000</v>
      </c>
      <c r="G105" s="66">
        <v>137829340000</v>
      </c>
      <c r="H105" s="66">
        <v>163115710000</v>
      </c>
      <c r="I105" s="66">
        <v>194008800000</v>
      </c>
      <c r="J105" s="66"/>
      <c r="K105" s="66"/>
      <c r="L105" s="66"/>
      <c r="M105" s="66"/>
      <c r="N105" s="66"/>
    </row>
    <row r="106" spans="2:14">
      <c r="B106" s="59" t="s">
        <v>345</v>
      </c>
      <c r="C106" s="66">
        <v>879440000</v>
      </c>
      <c r="D106" s="66">
        <v>4177420000</v>
      </c>
      <c r="E106" s="66">
        <v>2748760000</v>
      </c>
      <c r="F106" s="66">
        <v>-2021590000</v>
      </c>
      <c r="G106" s="66">
        <v>9069330000</v>
      </c>
      <c r="H106" s="66">
        <v>21607920000</v>
      </c>
      <c r="I106" s="66">
        <v>20079180000</v>
      </c>
      <c r="J106" s="66"/>
      <c r="K106" s="66"/>
      <c r="L106" s="66"/>
      <c r="M106" s="66"/>
      <c r="N106" s="66"/>
    </row>
    <row r="107" spans="2:14">
      <c r="B107" s="59" t="s">
        <v>419</v>
      </c>
      <c r="C107" s="66">
        <v>12125520000</v>
      </c>
      <c r="D107" s="66">
        <v>11358750000</v>
      </c>
      <c r="E107" s="66">
        <v>8598440000</v>
      </c>
      <c r="F107" s="66">
        <v>7092720000</v>
      </c>
      <c r="G107" s="66">
        <v>7533590000</v>
      </c>
      <c r="H107" s="66">
        <v>11289710000</v>
      </c>
      <c r="I107" s="66">
        <v>12708830000</v>
      </c>
      <c r="J107" s="66"/>
      <c r="K107" s="66"/>
      <c r="L107" s="66"/>
      <c r="M107" s="66"/>
      <c r="N107" s="66"/>
    </row>
    <row r="108" spans="2:14" ht="14.65" thickBot="1">
      <c r="B108" s="60" t="s">
        <v>420</v>
      </c>
      <c r="C108" s="70">
        <v>187213480000</v>
      </c>
      <c r="D108" s="70">
        <v>184344530000</v>
      </c>
      <c r="E108" s="70">
        <v>190822010000</v>
      </c>
      <c r="F108" s="70">
        <v>193801140000</v>
      </c>
      <c r="G108" s="70">
        <v>215813670000</v>
      </c>
      <c r="H108" s="70">
        <v>253638630000</v>
      </c>
      <c r="I108" s="70">
        <v>283002980000</v>
      </c>
      <c r="J108" s="70">
        <f t="shared" ref="J108:N108" si="42">+J103+J106+J105+J104</f>
        <v>0</v>
      </c>
      <c r="K108" s="70">
        <f t="shared" si="42"/>
        <v>0</v>
      </c>
      <c r="L108" s="70">
        <f t="shared" si="42"/>
        <v>0</v>
      </c>
      <c r="M108" s="70">
        <f t="shared" si="42"/>
        <v>0</v>
      </c>
      <c r="N108" s="70">
        <f t="shared" si="42"/>
        <v>0</v>
      </c>
    </row>
    <row r="109" spans="2:14" ht="14.65" thickBot="1">
      <c r="B109" s="60" t="s">
        <v>347</v>
      </c>
      <c r="C109" s="70">
        <v>199339000000</v>
      </c>
      <c r="D109" s="70">
        <v>195703280000</v>
      </c>
      <c r="E109" s="70">
        <v>199420450000</v>
      </c>
      <c r="F109" s="70">
        <v>200893860000</v>
      </c>
      <c r="G109" s="70">
        <v>223347260000</v>
      </c>
      <c r="H109" s="70">
        <v>264928340000</v>
      </c>
      <c r="I109" s="70">
        <v>295711810000</v>
      </c>
      <c r="J109" s="70">
        <f t="shared" ref="J109:N109" si="43">+J108+J107</f>
        <v>0</v>
      </c>
      <c r="K109" s="70">
        <f t="shared" si="43"/>
        <v>0</v>
      </c>
      <c r="L109" s="70">
        <f t="shared" si="43"/>
        <v>0</v>
      </c>
      <c r="M109" s="70">
        <f t="shared" si="43"/>
        <v>0</v>
      </c>
      <c r="N109" s="70">
        <f t="shared" si="43"/>
        <v>0</v>
      </c>
    </row>
    <row r="111" spans="2:14" ht="14.65" thickBot="1">
      <c r="B111" s="75" t="s">
        <v>348</v>
      </c>
    </row>
    <row r="112" spans="2:14" ht="14.65" thickBot="1">
      <c r="B112" s="82" t="s">
        <v>308</v>
      </c>
      <c r="C112" s="88">
        <v>2017</v>
      </c>
      <c r="D112" s="88">
        <v>2018</v>
      </c>
      <c r="E112" s="88">
        <v>2019</v>
      </c>
      <c r="F112" s="88">
        <v>2020</v>
      </c>
      <c r="G112" s="88">
        <v>2021</v>
      </c>
      <c r="H112" s="88">
        <v>2022</v>
      </c>
      <c r="I112" s="88">
        <v>2023</v>
      </c>
      <c r="J112" s="88">
        <v>2024</v>
      </c>
      <c r="K112" s="88">
        <v>2025</v>
      </c>
      <c r="L112" s="88">
        <v>2026</v>
      </c>
      <c r="M112" s="88">
        <v>2027</v>
      </c>
      <c r="N112" s="88">
        <v>2028</v>
      </c>
    </row>
    <row r="113" spans="2:14">
      <c r="B113" s="525" t="s">
        <v>349</v>
      </c>
      <c r="C113" s="90">
        <v>419080390000</v>
      </c>
      <c r="D113" s="90">
        <v>451697470000</v>
      </c>
      <c r="E113" s="90">
        <v>419479600000</v>
      </c>
      <c r="F113" s="90">
        <v>404336050000</v>
      </c>
      <c r="G113" s="90">
        <v>607241050000</v>
      </c>
      <c r="H113" s="90">
        <v>784841430000</v>
      </c>
      <c r="I113" s="90">
        <v>860743980000</v>
      </c>
      <c r="J113" s="90"/>
      <c r="K113" s="90"/>
      <c r="L113" s="90"/>
      <c r="M113" s="90"/>
      <c r="N113" s="90"/>
    </row>
    <row r="114" spans="2:14">
      <c r="B114" s="85" t="s">
        <v>534</v>
      </c>
      <c r="C114" s="66"/>
      <c r="D114" s="66"/>
      <c r="E114" s="66"/>
      <c r="F114" s="66"/>
      <c r="G114" s="66"/>
      <c r="H114" s="66"/>
      <c r="I114" s="66"/>
      <c r="J114" s="66"/>
      <c r="K114" s="66"/>
      <c r="L114" s="66"/>
      <c r="M114" s="66"/>
      <c r="N114" s="66"/>
    </row>
    <row r="115" spans="2:14">
      <c r="B115" s="86" t="s">
        <v>422</v>
      </c>
      <c r="C115" s="64"/>
      <c r="D115" s="64"/>
      <c r="E115" s="64"/>
      <c r="F115" s="64"/>
      <c r="G115" s="64"/>
      <c r="H115" s="64"/>
      <c r="I115" s="64"/>
      <c r="J115" s="64">
        <f t="shared" ref="J115:N115" si="44">+J113+J114</f>
        <v>0</v>
      </c>
      <c r="K115" s="64">
        <f t="shared" si="44"/>
        <v>0</v>
      </c>
      <c r="L115" s="64">
        <f t="shared" si="44"/>
        <v>0</v>
      </c>
      <c r="M115" s="64">
        <f t="shared" si="44"/>
        <v>0</v>
      </c>
      <c r="N115" s="64">
        <f t="shared" si="44"/>
        <v>0</v>
      </c>
    </row>
    <row r="116" spans="2:14">
      <c r="B116" s="85" t="s">
        <v>592</v>
      </c>
      <c r="C116" s="64"/>
      <c r="D116" s="64"/>
      <c r="E116" s="64"/>
      <c r="F116" s="117"/>
      <c r="G116" s="117"/>
      <c r="H116" s="117"/>
      <c r="I116" s="117"/>
      <c r="J116" s="117"/>
      <c r="K116" s="117"/>
      <c r="L116" s="117"/>
      <c r="M116" s="117"/>
      <c r="N116" s="117"/>
    </row>
    <row r="117" spans="2:14">
      <c r="B117" s="85" t="s">
        <v>536</v>
      </c>
      <c r="C117" s="64"/>
      <c r="D117" s="64"/>
      <c r="E117" s="64"/>
      <c r="F117" s="117"/>
      <c r="G117" s="117"/>
      <c r="H117" s="117"/>
      <c r="I117" s="117"/>
      <c r="J117" s="117"/>
      <c r="K117" s="117"/>
      <c r="L117" s="117"/>
      <c r="M117" s="117"/>
      <c r="N117" s="117"/>
    </row>
    <row r="118" spans="2:14">
      <c r="B118" s="85" t="s">
        <v>537</v>
      </c>
      <c r="C118" s="64"/>
      <c r="D118" s="64"/>
      <c r="E118" s="64"/>
      <c r="F118" s="117"/>
      <c r="G118" s="117"/>
      <c r="H118" s="117"/>
      <c r="I118" s="117"/>
      <c r="J118" s="117"/>
      <c r="K118" s="117"/>
      <c r="L118" s="117"/>
      <c r="M118" s="117"/>
      <c r="N118" s="117"/>
    </row>
    <row r="119" spans="2:14">
      <c r="B119" s="85" t="s">
        <v>593</v>
      </c>
      <c r="C119" s="66"/>
      <c r="D119" s="66"/>
      <c r="E119" s="66"/>
      <c r="F119" s="117"/>
      <c r="G119" s="117"/>
      <c r="H119" s="117"/>
      <c r="I119" s="117"/>
      <c r="J119" s="117"/>
      <c r="K119" s="117"/>
      <c r="L119" s="117"/>
      <c r="M119" s="117"/>
      <c r="N119" s="117"/>
    </row>
    <row r="120" spans="2:14">
      <c r="B120" s="526" t="s">
        <v>594</v>
      </c>
      <c r="C120" s="64">
        <v>22295490000</v>
      </c>
      <c r="D120" s="64">
        <v>29171960000</v>
      </c>
      <c r="E120" s="64">
        <v>31807300000</v>
      </c>
      <c r="F120" s="64">
        <v>36361970000</v>
      </c>
      <c r="G120" s="64">
        <v>37736910000</v>
      </c>
      <c r="H120" s="64">
        <v>90678320000</v>
      </c>
      <c r="I120" s="64">
        <v>89354110000</v>
      </c>
      <c r="J120" s="64">
        <f t="shared" ref="J120:N120" si="45">+J115+J119+J116+J117+J118</f>
        <v>0</v>
      </c>
      <c r="K120" s="64">
        <f t="shared" si="45"/>
        <v>0</v>
      </c>
      <c r="L120" s="64">
        <f t="shared" si="45"/>
        <v>0</v>
      </c>
      <c r="M120" s="64">
        <f t="shared" si="45"/>
        <v>0</v>
      </c>
      <c r="N120" s="64">
        <f t="shared" si="45"/>
        <v>0</v>
      </c>
    </row>
    <row r="121" spans="2:14">
      <c r="B121" s="85" t="s">
        <v>429</v>
      </c>
      <c r="C121" s="66"/>
      <c r="D121" s="66"/>
      <c r="E121" s="66"/>
      <c r="F121" s="66"/>
      <c r="G121" s="131"/>
      <c r="H121" s="131"/>
      <c r="I121" s="131"/>
      <c r="J121" s="131"/>
      <c r="K121" s="131"/>
      <c r="L121" s="131"/>
      <c r="M121" s="131"/>
      <c r="N121" s="131"/>
    </row>
    <row r="122" spans="2:14">
      <c r="B122" s="85" t="s">
        <v>430</v>
      </c>
      <c r="C122" s="66"/>
      <c r="D122" s="66"/>
      <c r="E122" s="66"/>
      <c r="F122" s="66"/>
      <c r="G122" s="131"/>
      <c r="H122" s="131"/>
      <c r="I122" s="131"/>
      <c r="J122" s="131"/>
      <c r="K122" s="131"/>
      <c r="L122" s="131"/>
      <c r="M122" s="131"/>
      <c r="N122" s="131"/>
    </row>
    <row r="123" spans="2:14">
      <c r="B123" s="85" t="s">
        <v>431</v>
      </c>
      <c r="C123" s="66"/>
      <c r="D123" s="66"/>
      <c r="E123" s="66"/>
      <c r="F123" s="66"/>
      <c r="G123" s="131"/>
      <c r="H123" s="131"/>
      <c r="I123" s="131"/>
      <c r="J123" s="131"/>
      <c r="K123" s="131"/>
      <c r="L123" s="131"/>
      <c r="M123" s="131"/>
      <c r="N123" s="131"/>
    </row>
    <row r="124" spans="2:14">
      <c r="B124" s="85" t="s">
        <v>432</v>
      </c>
      <c r="C124" s="66"/>
      <c r="D124" s="66"/>
      <c r="E124" s="66"/>
      <c r="F124" s="66"/>
      <c r="G124" s="131"/>
      <c r="H124" s="131"/>
      <c r="I124" s="131"/>
      <c r="J124" s="131"/>
      <c r="K124" s="131"/>
      <c r="L124" s="131"/>
      <c r="M124" s="131"/>
      <c r="N124" s="131"/>
    </row>
    <row r="125" spans="2:14">
      <c r="B125" s="85" t="s">
        <v>433</v>
      </c>
      <c r="C125" s="66"/>
      <c r="D125" s="66"/>
      <c r="E125" s="66"/>
      <c r="F125" s="66"/>
      <c r="G125" s="131"/>
      <c r="H125" s="131"/>
      <c r="I125" s="131"/>
      <c r="J125" s="131"/>
      <c r="K125" s="131"/>
      <c r="L125" s="131"/>
      <c r="M125" s="131"/>
      <c r="N125" s="131"/>
    </row>
    <row r="126" spans="2:14">
      <c r="B126" s="86" t="s">
        <v>362</v>
      </c>
      <c r="C126" s="64">
        <v>20776850000</v>
      </c>
      <c r="D126" s="64">
        <v>26850640000</v>
      </c>
      <c r="E126" s="64">
        <v>22318690000</v>
      </c>
      <c r="F126" s="64">
        <v>21986050000</v>
      </c>
      <c r="G126" s="64">
        <v>28553610000</v>
      </c>
      <c r="H126" s="64">
        <v>67156509999.999992</v>
      </c>
      <c r="I126" s="64">
        <v>75314610000</v>
      </c>
      <c r="J126" s="64">
        <f t="shared" ref="J126:N126" si="46">+J120+J121+J122+J123+J124+J125</f>
        <v>0</v>
      </c>
      <c r="K126" s="64">
        <f t="shared" si="46"/>
        <v>0</v>
      </c>
      <c r="L126" s="64">
        <f t="shared" si="46"/>
        <v>0</v>
      </c>
      <c r="M126" s="64">
        <f t="shared" si="46"/>
        <v>0</v>
      </c>
      <c r="N126" s="64">
        <f t="shared" si="46"/>
        <v>0</v>
      </c>
    </row>
    <row r="127" spans="2:14">
      <c r="B127" s="85" t="s">
        <v>363</v>
      </c>
      <c r="C127" s="91">
        <v>-5858050000</v>
      </c>
      <c r="D127" s="91">
        <v>-8857650000</v>
      </c>
      <c r="E127" s="91">
        <v>-8105380000</v>
      </c>
      <c r="F127" s="91">
        <v>-9394990000</v>
      </c>
      <c r="G127" s="91">
        <v>-8888410000</v>
      </c>
      <c r="H127" s="91">
        <v>-20982390000</v>
      </c>
      <c r="I127" s="91">
        <v>-25944880000</v>
      </c>
      <c r="J127" s="91"/>
      <c r="K127" s="91"/>
      <c r="L127" s="91"/>
      <c r="M127" s="91"/>
      <c r="N127" s="91"/>
    </row>
    <row r="128" spans="2:14">
      <c r="B128" s="84" t="s">
        <v>365</v>
      </c>
      <c r="C128" s="130">
        <v>14918800000</v>
      </c>
      <c r="D128" s="130">
        <v>17992990000</v>
      </c>
      <c r="E128" s="130">
        <v>14213310000</v>
      </c>
      <c r="F128" s="130">
        <v>12591060000</v>
      </c>
      <c r="G128" s="130">
        <v>19665200000</v>
      </c>
      <c r="H128" s="130">
        <v>46174119999.999992</v>
      </c>
      <c r="I128" s="130">
        <v>49369730000</v>
      </c>
      <c r="J128" s="130">
        <f t="shared" ref="J128:N128" si="47">+J126+J127</f>
        <v>0</v>
      </c>
      <c r="K128" s="130">
        <f t="shared" si="47"/>
        <v>0</v>
      </c>
      <c r="L128" s="130">
        <f t="shared" si="47"/>
        <v>0</v>
      </c>
      <c r="M128" s="130">
        <f t="shared" si="47"/>
        <v>0</v>
      </c>
      <c r="N128" s="130">
        <f t="shared" si="47"/>
        <v>0</v>
      </c>
    </row>
    <row r="129" spans="2:14" ht="28.5">
      <c r="B129" s="87" t="s">
        <v>435</v>
      </c>
      <c r="C129" s="91">
        <v>-5110250000</v>
      </c>
      <c r="D129" s="91">
        <v>-3579900000</v>
      </c>
      <c r="E129" s="91">
        <v>-93110000</v>
      </c>
      <c r="F129" s="91">
        <v>1482250000</v>
      </c>
      <c r="G129" s="91">
        <v>-1103030000</v>
      </c>
      <c r="H129" s="91">
        <v>-5659390000</v>
      </c>
      <c r="I129" s="91">
        <v>-5232720000</v>
      </c>
      <c r="J129" s="91"/>
      <c r="K129" s="91"/>
      <c r="L129" s="91"/>
      <c r="M129" s="91"/>
      <c r="N129" s="91"/>
    </row>
    <row r="130" spans="2:14">
      <c r="B130" s="84" t="s">
        <v>436</v>
      </c>
      <c r="C130" s="66">
        <v>9808550000</v>
      </c>
      <c r="D130" s="66">
        <v>14413090000</v>
      </c>
      <c r="E130" s="66">
        <v>14120200000</v>
      </c>
      <c r="F130" s="66">
        <v>14073310000</v>
      </c>
      <c r="G130" s="66">
        <v>18562170000</v>
      </c>
      <c r="H130" s="66">
        <v>40514729999.999992</v>
      </c>
      <c r="I130" s="66">
        <v>44137010000</v>
      </c>
      <c r="J130" s="66">
        <f t="shared" ref="J130:N130" si="48">+J128-J129</f>
        <v>0</v>
      </c>
      <c r="K130" s="66">
        <f t="shared" si="48"/>
        <v>0</v>
      </c>
      <c r="L130" s="66">
        <f t="shared" si="48"/>
        <v>0</v>
      </c>
      <c r="M130" s="66">
        <f t="shared" si="48"/>
        <v>0</v>
      </c>
      <c r="N130" s="66">
        <f t="shared" si="48"/>
        <v>0</v>
      </c>
    </row>
    <row r="131" spans="2:14">
      <c r="B131" s="84" t="s">
        <v>366</v>
      </c>
      <c r="C131" s="134">
        <v>17.02</v>
      </c>
      <c r="D131" s="134">
        <v>25.02</v>
      </c>
      <c r="E131" s="134">
        <v>24.51</v>
      </c>
      <c r="F131" s="134">
        <v>24.43</v>
      </c>
      <c r="G131" s="134">
        <v>32.22</v>
      </c>
      <c r="H131" s="134">
        <v>70.319999999999993</v>
      </c>
      <c r="I131" s="134">
        <v>76.599999999999994</v>
      </c>
      <c r="J131" s="134"/>
      <c r="K131" s="134"/>
      <c r="L131" s="134"/>
      <c r="M131" s="134"/>
      <c r="N131" s="134"/>
    </row>
    <row r="133" spans="2:14" ht="14.65" thickBot="1">
      <c r="B133" s="75" t="s">
        <v>367</v>
      </c>
    </row>
    <row r="134" spans="2:14" ht="14.65" thickBot="1">
      <c r="B134" s="82" t="s">
        <v>308</v>
      </c>
      <c r="C134" s="88">
        <v>2017</v>
      </c>
      <c r="D134" s="88">
        <v>2018</v>
      </c>
      <c r="E134" s="88">
        <v>2019</v>
      </c>
      <c r="F134" s="88">
        <v>2020</v>
      </c>
      <c r="G134" s="88">
        <v>2021</v>
      </c>
      <c r="H134" s="88">
        <v>2022</v>
      </c>
      <c r="I134" s="88">
        <v>2023</v>
      </c>
      <c r="J134" s="88">
        <v>2024</v>
      </c>
      <c r="K134" s="88">
        <v>2025</v>
      </c>
      <c r="L134" s="88">
        <v>2026</v>
      </c>
      <c r="M134" s="88">
        <v>2027</v>
      </c>
      <c r="N134" s="88">
        <v>2028</v>
      </c>
    </row>
    <row r="135" spans="2:14">
      <c r="B135" s="83" t="s">
        <v>368</v>
      </c>
      <c r="C135" s="90">
        <v>13697940000</v>
      </c>
      <c r="D135" s="90">
        <v>-62068010000</v>
      </c>
      <c r="E135" s="90">
        <v>16490610000</v>
      </c>
      <c r="F135" s="90">
        <v>37476900000</v>
      </c>
      <c r="G135" s="90">
        <v>57325370000</v>
      </c>
      <c r="H135" s="90">
        <v>86963100000</v>
      </c>
      <c r="I135" s="90">
        <v>76928710000</v>
      </c>
      <c r="J135" s="90"/>
      <c r="K135" s="90"/>
      <c r="L135" s="90"/>
      <c r="M135" s="90"/>
      <c r="N135" s="90"/>
    </row>
    <row r="136" spans="2:14">
      <c r="B136" s="86" t="s">
        <v>369</v>
      </c>
      <c r="C136" s="66">
        <v>10371930000</v>
      </c>
      <c r="D136" s="66">
        <v>-15927000000</v>
      </c>
      <c r="E136" s="66">
        <v>-11366320000</v>
      </c>
      <c r="F136" s="66">
        <v>-9794170000</v>
      </c>
      <c r="G136" s="66">
        <v>1351440000</v>
      </c>
      <c r="H136" s="66">
        <v>14339150000</v>
      </c>
      <c r="I136" s="66">
        <v>5727150000</v>
      </c>
      <c r="J136" s="66"/>
      <c r="K136" s="66"/>
      <c r="L136" s="66"/>
      <c r="M136" s="66"/>
      <c r="N136" s="66"/>
    </row>
    <row r="137" spans="2:14">
      <c r="B137" s="85" t="s">
        <v>370</v>
      </c>
      <c r="C137" s="93">
        <v>-8604550000</v>
      </c>
      <c r="D137" s="93">
        <v>-16107170000</v>
      </c>
      <c r="E137" s="93">
        <v>-16703970000.000002</v>
      </c>
      <c r="F137" s="93">
        <v>-19974930000</v>
      </c>
      <c r="G137" s="93">
        <v>-13971740000</v>
      </c>
      <c r="H137" s="93">
        <v>-35985700000</v>
      </c>
      <c r="I137" s="93">
        <v>-51694210000</v>
      </c>
      <c r="J137" s="93"/>
      <c r="K137" s="93"/>
      <c r="L137" s="93"/>
      <c r="M137" s="93"/>
      <c r="N137" s="93"/>
    </row>
    <row r="138" spans="2:14">
      <c r="B138" s="86" t="s">
        <v>372</v>
      </c>
      <c r="C138" s="120">
        <v>-3531620000</v>
      </c>
      <c r="D138" s="120">
        <v>80801590000</v>
      </c>
      <c r="E138" s="120">
        <v>23371150000</v>
      </c>
      <c r="F138" s="120">
        <v>-24471270000</v>
      </c>
      <c r="G138" s="120">
        <v>-61778390000</v>
      </c>
      <c r="H138" s="120">
        <v>-72836100000</v>
      </c>
      <c r="I138" s="120">
        <v>-95573220000</v>
      </c>
      <c r="J138" s="120"/>
      <c r="K138" s="120"/>
      <c r="L138" s="120"/>
      <c r="M138" s="120"/>
      <c r="N138" s="120"/>
    </row>
    <row r="139" spans="2:14">
      <c r="B139" s="85" t="s">
        <v>373</v>
      </c>
      <c r="C139" s="93">
        <v>-6394850000</v>
      </c>
      <c r="D139" s="93">
        <v>-8285590000</v>
      </c>
      <c r="E139" s="93">
        <v>-11362210000</v>
      </c>
      <c r="F139" s="93">
        <v>-4679700000</v>
      </c>
      <c r="G139" s="93">
        <v>-10000610000</v>
      </c>
      <c r="H139" s="93">
        <v>-10811030000</v>
      </c>
      <c r="I139" s="93">
        <v>-17674780000</v>
      </c>
      <c r="J139" s="93"/>
      <c r="K139" s="93"/>
      <c r="L139" s="93"/>
      <c r="M139" s="93"/>
      <c r="N139" s="93"/>
    </row>
    <row r="140" spans="2:14">
      <c r="B140" s="85" t="s">
        <v>437</v>
      </c>
      <c r="C140" s="93">
        <v>-6754320000</v>
      </c>
      <c r="D140" s="93">
        <v>-5406170000</v>
      </c>
      <c r="E140" s="93">
        <v>-5509520000</v>
      </c>
      <c r="F140" s="93">
        <v>-6119170000</v>
      </c>
      <c r="G140" s="93">
        <v>-7960240000</v>
      </c>
      <c r="H140" s="93">
        <v>-10271020000</v>
      </c>
      <c r="I140" s="93">
        <v>-22342560000</v>
      </c>
      <c r="J140" s="93"/>
      <c r="K140" s="93"/>
      <c r="L140" s="93"/>
      <c r="M140" s="93"/>
      <c r="N140" s="93"/>
    </row>
    <row r="141" spans="2:14">
      <c r="B141" s="86" t="s">
        <v>375</v>
      </c>
      <c r="C141" s="64"/>
      <c r="D141" s="64"/>
      <c r="E141" s="64"/>
      <c r="F141" s="64"/>
      <c r="G141" s="64"/>
      <c r="H141" s="64"/>
      <c r="I141" s="64"/>
      <c r="J141" s="64"/>
      <c r="K141" s="64"/>
      <c r="L141" s="64"/>
      <c r="M141" s="64"/>
      <c r="N141" s="64"/>
    </row>
    <row r="142" spans="2:14">
      <c r="B142" s="85"/>
      <c r="C142" s="66"/>
      <c r="D142" s="66"/>
      <c r="E142" s="66"/>
      <c r="F142" s="66"/>
      <c r="G142" s="66"/>
      <c r="H142" s="66"/>
      <c r="I142" s="66"/>
      <c r="J142" s="66"/>
      <c r="K142" s="66"/>
      <c r="L142" s="66"/>
      <c r="M142" s="66"/>
      <c r="N142" s="66"/>
    </row>
    <row r="143" spans="2:14">
      <c r="B143" s="84" t="s">
        <v>595</v>
      </c>
      <c r="C143" s="131">
        <v>-1660930000</v>
      </c>
      <c r="D143" s="131">
        <v>-83581350000</v>
      </c>
      <c r="E143" s="131">
        <v>-5722880000.0000019</v>
      </c>
      <c r="F143" s="131">
        <v>11382800000</v>
      </c>
      <c r="G143" s="131">
        <v>35393390000</v>
      </c>
      <c r="H143" s="131">
        <v>40706380000</v>
      </c>
      <c r="I143" s="131">
        <v>2891940000</v>
      </c>
      <c r="J143" s="131">
        <f t="shared" ref="J143:N143" si="49">+J135+J137+J140</f>
        <v>0</v>
      </c>
      <c r="K143" s="131">
        <f t="shared" si="49"/>
        <v>0</v>
      </c>
      <c r="L143" s="131">
        <f t="shared" si="49"/>
        <v>0</v>
      </c>
      <c r="M143" s="131">
        <f t="shared" si="49"/>
        <v>0</v>
      </c>
      <c r="N143" s="131">
        <f t="shared" si="49"/>
        <v>0</v>
      </c>
    </row>
    <row r="144" spans="2:14">
      <c r="B144" s="219" t="s">
        <v>596</v>
      </c>
      <c r="C144" s="131">
        <v>5093390000</v>
      </c>
      <c r="D144" s="131">
        <v>-78175180000</v>
      </c>
      <c r="E144" s="131">
        <v>-213350000</v>
      </c>
      <c r="F144" s="131">
        <v>17501970000</v>
      </c>
      <c r="G144" s="131">
        <v>43353630000</v>
      </c>
      <c r="H144" s="131">
        <v>50977400000</v>
      </c>
      <c r="I144" s="131">
        <v>25234500000</v>
      </c>
    </row>
  </sheetData>
  <conditionalFormatting sqref="C144:I144">
    <cfRule type="cellIs" dxfId="243" priority="1" operator="lessThan">
      <formula>0</formula>
    </cfRule>
  </conditionalFormatting>
  <conditionalFormatting sqref="C60:N100 C102:N109">
    <cfRule type="cellIs" dxfId="242" priority="4" operator="lessThan">
      <formula>0</formula>
    </cfRule>
  </conditionalFormatting>
  <conditionalFormatting sqref="C113:N131">
    <cfRule type="cellIs" dxfId="241" priority="3" operator="lessThan">
      <formula>0</formula>
    </cfRule>
  </conditionalFormatting>
  <conditionalFormatting sqref="C135:N143">
    <cfRule type="cellIs" dxfId="240" priority="2" operator="lessThan">
      <formula>0</formula>
    </cfRule>
  </conditionalFormatting>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6A90A-7DFD-46C7-B0F0-846492F128F1}">
  <sheetPr codeName="Hoja9"/>
  <dimension ref="B2:U159"/>
  <sheetViews>
    <sheetView zoomScale="85" zoomScaleNormal="85" workbookViewId="0">
      <pane xSplit="2" ySplit="6" topLeftCell="G23" activePane="bottomRight" state="frozen"/>
      <selection pane="bottomRight" activeCell="M143" sqref="M143"/>
      <selection pane="bottomLeft" activeCell="A7" sqref="A7"/>
      <selection pane="topRight" activeCell="C1" sqref="C1"/>
    </sheetView>
  </sheetViews>
  <sheetFormatPr defaultColWidth="10.7109375" defaultRowHeight="14.25"/>
  <cols>
    <col min="1" max="1" width="5.28515625" customWidth="1"/>
    <col min="2" max="2" width="42.28515625" bestFit="1" customWidth="1"/>
    <col min="3" max="3" width="33.7109375" bestFit="1" customWidth="1"/>
    <col min="4" max="4" width="33.28515625" bestFit="1" customWidth="1"/>
    <col min="5" max="5" width="42.140625" customWidth="1"/>
    <col min="6" max="7" width="33.28515625" bestFit="1" customWidth="1"/>
    <col min="8" max="9" width="32.7109375" bestFit="1" customWidth="1"/>
    <col min="10" max="10" width="32.7109375" style="414" bestFit="1" customWidth="1"/>
    <col min="11" max="11" width="34.7109375" bestFit="1" customWidth="1"/>
    <col min="12" max="14" width="32.7109375" bestFit="1" customWidth="1"/>
    <col min="20" max="20" width="9" bestFit="1" customWidth="1"/>
    <col min="21" max="21" width="13.5703125" bestFit="1" customWidth="1"/>
  </cols>
  <sheetData>
    <row r="2" spans="2:14" ht="21">
      <c r="B2" s="313">
        <f ca="1">TODAY()-1</f>
        <v>46105</v>
      </c>
      <c r="C2" s="314"/>
      <c r="D2" s="344" t="s">
        <v>518</v>
      </c>
      <c r="E2" s="345" t="s">
        <v>266</v>
      </c>
    </row>
    <row r="3" spans="2:14" ht="25.5">
      <c r="B3" s="376" cm="1">
        <f t="array" aca="1" ref="B3" ca="1">_FV(B6,"Precio")</f>
        <v>127.23</v>
      </c>
      <c r="C3" s="316"/>
      <c r="D3" s="346">
        <f>AVERAGE(H47:J47)</f>
        <v>9.7919999999999998</v>
      </c>
      <c r="E3" s="346">
        <f>AVERAGE(H46:J46)</f>
        <v>9.7919999999999998</v>
      </c>
    </row>
    <row r="4" spans="2:14" ht="28.5">
      <c r="B4" s="319"/>
      <c r="C4" s="320"/>
      <c r="D4" s="328"/>
      <c r="E4" s="328"/>
    </row>
    <row r="6" spans="2:14" ht="25.5">
      <c r="B6" s="136" t="e" vm="13">
        <v>#VALUE!</v>
      </c>
      <c r="C6" s="136">
        <v>2017</v>
      </c>
      <c r="D6" s="136">
        <v>2018</v>
      </c>
      <c r="E6" s="136">
        <v>2019</v>
      </c>
      <c r="F6" s="136">
        <v>2020</v>
      </c>
      <c r="G6" s="136">
        <v>2021</v>
      </c>
      <c r="H6" s="136">
        <v>2022</v>
      </c>
      <c r="I6" s="136">
        <v>2023</v>
      </c>
      <c r="J6" s="505">
        <v>2024</v>
      </c>
      <c r="K6" s="136">
        <v>2025</v>
      </c>
      <c r="L6" s="136">
        <v>2026</v>
      </c>
      <c r="M6" s="136">
        <v>2027</v>
      </c>
      <c r="N6" s="136">
        <v>2028</v>
      </c>
    </row>
    <row r="7" spans="2:14" ht="25.5">
      <c r="B7" s="4" t="s">
        <v>267</v>
      </c>
      <c r="C7" s="5">
        <f>+C70</f>
        <v>1147162000</v>
      </c>
      <c r="D7" s="5">
        <f t="shared" ref="D7:N7" si="0">+D70</f>
        <v>1151263000</v>
      </c>
      <c r="E7" s="5">
        <f t="shared" si="0"/>
        <v>1139451000</v>
      </c>
      <c r="F7" s="5">
        <f t="shared" si="0"/>
        <v>1259184000</v>
      </c>
      <c r="G7" s="5">
        <f t="shared" si="0"/>
        <v>1766436000</v>
      </c>
      <c r="H7" s="5">
        <f t="shared" si="0"/>
        <v>1688307000</v>
      </c>
      <c r="I7" s="5">
        <f t="shared" si="0"/>
        <v>1426255000</v>
      </c>
      <c r="J7" s="416">
        <f t="shared" si="0"/>
        <v>1200078000</v>
      </c>
      <c r="K7" s="387">
        <f t="shared" si="0"/>
        <v>1414034000</v>
      </c>
      <c r="L7" s="5">
        <f t="shared" si="0"/>
        <v>0</v>
      </c>
      <c r="M7" s="5">
        <f t="shared" si="0"/>
        <v>0</v>
      </c>
      <c r="N7" s="5">
        <f t="shared" si="0"/>
        <v>0</v>
      </c>
    </row>
    <row r="8" spans="2:14" ht="25.5">
      <c r="B8" s="4" t="s">
        <v>471</v>
      </c>
      <c r="C8" s="5">
        <f>+C76</f>
        <v>62911000</v>
      </c>
      <c r="D8" s="5">
        <f t="shared" ref="D8:N8" si="1">+D76</f>
        <v>44249000</v>
      </c>
      <c r="E8" s="5">
        <f t="shared" si="1"/>
        <v>48559000</v>
      </c>
      <c r="F8" s="5">
        <f t="shared" si="1"/>
        <v>33646000</v>
      </c>
      <c r="G8" s="5">
        <f t="shared" si="1"/>
        <v>70598000</v>
      </c>
      <c r="H8" s="5">
        <f t="shared" si="1"/>
        <v>95028000</v>
      </c>
      <c r="I8" s="5">
        <f t="shared" si="1"/>
        <v>101389000</v>
      </c>
      <c r="J8" s="416">
        <f t="shared" si="1"/>
        <v>97954000</v>
      </c>
      <c r="K8" s="387">
        <f t="shared" si="1"/>
        <v>83161000</v>
      </c>
      <c r="L8" s="5">
        <f t="shared" si="1"/>
        <v>0</v>
      </c>
      <c r="M8" s="5">
        <f t="shared" si="1"/>
        <v>0</v>
      </c>
      <c r="N8" s="5">
        <f t="shared" si="1"/>
        <v>0</v>
      </c>
    </row>
    <row r="9" spans="2:14" ht="25.5">
      <c r="B9" s="4" t="s">
        <v>377</v>
      </c>
      <c r="C9" s="5">
        <f>C74</f>
        <v>225064000</v>
      </c>
      <c r="D9" s="5">
        <f t="shared" ref="D9:N9" si="2">D74</f>
        <v>241679000</v>
      </c>
      <c r="E9" s="5">
        <f t="shared" si="2"/>
        <v>252566000</v>
      </c>
      <c r="F9" s="5">
        <f t="shared" si="2"/>
        <v>201171000</v>
      </c>
      <c r="G9" s="5">
        <f t="shared" si="2"/>
        <v>307190000</v>
      </c>
      <c r="H9" s="5">
        <f t="shared" si="2"/>
        <v>267746000</v>
      </c>
      <c r="I9" s="5">
        <f t="shared" si="2"/>
        <v>196506000</v>
      </c>
      <c r="J9" s="5">
        <f t="shared" si="2"/>
        <v>209632000</v>
      </c>
      <c r="K9" s="5">
        <f t="shared" si="2"/>
        <v>274568000</v>
      </c>
      <c r="L9" s="5">
        <f t="shared" si="2"/>
        <v>0</v>
      </c>
      <c r="M9" s="5">
        <f t="shared" si="2"/>
        <v>0</v>
      </c>
      <c r="N9" s="5">
        <f t="shared" si="2"/>
        <v>0</v>
      </c>
    </row>
    <row r="10" spans="2:14" ht="25.5">
      <c r="B10" s="4" t="s">
        <v>269</v>
      </c>
      <c r="C10" s="5">
        <f>+C79</f>
        <v>5775380000</v>
      </c>
      <c r="D10" s="5">
        <f t="shared" ref="D10:N10" si="3">+D79</f>
        <v>5627086000</v>
      </c>
      <c r="E10" s="5">
        <f t="shared" si="3"/>
        <v>5565899000</v>
      </c>
      <c r="F10" s="5">
        <f t="shared" si="3"/>
        <v>5374683000</v>
      </c>
      <c r="G10" s="5">
        <f t="shared" si="3"/>
        <v>4836072000</v>
      </c>
      <c r="H10" s="5">
        <f t="shared" si="3"/>
        <v>4917667000</v>
      </c>
      <c r="I10" s="5">
        <f t="shared" si="3"/>
        <v>5234468000</v>
      </c>
      <c r="J10" s="416">
        <f t="shared" si="3"/>
        <v>5708126000</v>
      </c>
      <c r="K10" s="387">
        <f t="shared" si="3"/>
        <v>5785509000</v>
      </c>
      <c r="L10" s="5">
        <f t="shared" si="3"/>
        <v>0</v>
      </c>
      <c r="M10" s="5">
        <f t="shared" si="3"/>
        <v>0</v>
      </c>
      <c r="N10" s="5">
        <f t="shared" si="3"/>
        <v>0</v>
      </c>
    </row>
    <row r="11" spans="2:14" ht="25.5">
      <c r="B11" s="8" t="s">
        <v>272</v>
      </c>
      <c r="C11" s="9">
        <f>+C7+C10</f>
        <v>6922542000</v>
      </c>
      <c r="D11" s="9">
        <f t="shared" ref="D11:N11" si="4">+D7+D10</f>
        <v>6778349000</v>
      </c>
      <c r="E11" s="9">
        <f t="shared" si="4"/>
        <v>6705350000</v>
      </c>
      <c r="F11" s="9">
        <f t="shared" si="4"/>
        <v>6633867000</v>
      </c>
      <c r="G11" s="9">
        <f t="shared" si="4"/>
        <v>6602508000</v>
      </c>
      <c r="H11" s="9">
        <f t="shared" si="4"/>
        <v>6605974000</v>
      </c>
      <c r="I11" s="9">
        <f t="shared" si="4"/>
        <v>6660723000</v>
      </c>
      <c r="J11" s="418">
        <f t="shared" si="4"/>
        <v>6908204000</v>
      </c>
      <c r="K11" s="389">
        <f t="shared" si="4"/>
        <v>7199543000</v>
      </c>
      <c r="L11" s="9">
        <f t="shared" si="4"/>
        <v>0</v>
      </c>
      <c r="M11" s="9">
        <f t="shared" si="4"/>
        <v>0</v>
      </c>
      <c r="N11" s="9">
        <f t="shared" si="4"/>
        <v>0</v>
      </c>
    </row>
    <row r="12" spans="2:14" ht="25.5">
      <c r="B12" s="10" t="s">
        <v>273</v>
      </c>
      <c r="C12" s="11">
        <f>+C93</f>
        <v>360397000</v>
      </c>
      <c r="D12" s="11">
        <f t="shared" ref="D12:N12" si="5">+D93</f>
        <v>345365000</v>
      </c>
      <c r="E12" s="11">
        <f t="shared" si="5"/>
        <v>338298000</v>
      </c>
      <c r="F12" s="11">
        <f t="shared" si="5"/>
        <v>306532000</v>
      </c>
      <c r="G12" s="11">
        <f t="shared" si="5"/>
        <v>679004000</v>
      </c>
      <c r="H12" s="11">
        <f t="shared" si="5"/>
        <v>542664000</v>
      </c>
      <c r="I12" s="11">
        <f t="shared" si="5"/>
        <v>470836000</v>
      </c>
      <c r="J12" s="419">
        <f t="shared" si="5"/>
        <v>370170000</v>
      </c>
      <c r="K12" s="390">
        <f t="shared" si="5"/>
        <v>376337000</v>
      </c>
      <c r="L12" s="11">
        <f t="shared" si="5"/>
        <v>0</v>
      </c>
      <c r="M12" s="11">
        <f t="shared" si="5"/>
        <v>0</v>
      </c>
      <c r="N12" s="11">
        <f t="shared" si="5"/>
        <v>0</v>
      </c>
    </row>
    <row r="13" spans="2:14" ht="25.5">
      <c r="B13" s="10" t="s">
        <v>274</v>
      </c>
      <c r="C13" s="11">
        <f>+C103</f>
        <v>2611438000</v>
      </c>
      <c r="D13" s="11">
        <f t="shared" ref="D13:N13" si="6">+D103</f>
        <v>2576046000</v>
      </c>
      <c r="E13" s="11">
        <f t="shared" si="6"/>
        <v>2631417000</v>
      </c>
      <c r="F13" s="11">
        <f t="shared" si="6"/>
        <v>2741967000</v>
      </c>
      <c r="G13" s="11">
        <f t="shared" si="6"/>
        <v>3082078000</v>
      </c>
      <c r="H13" s="11">
        <f t="shared" si="6"/>
        <v>3110433000</v>
      </c>
      <c r="I13" s="11">
        <f t="shared" si="6"/>
        <v>3092609000</v>
      </c>
      <c r="J13" s="419">
        <f t="shared" si="6"/>
        <v>3307638000</v>
      </c>
      <c r="K13" s="390">
        <f t="shared" si="6"/>
        <v>3576618000</v>
      </c>
      <c r="L13" s="11">
        <f t="shared" si="6"/>
        <v>0</v>
      </c>
      <c r="M13" s="11">
        <f t="shared" si="6"/>
        <v>0</v>
      </c>
      <c r="N13" s="11">
        <f t="shared" si="6"/>
        <v>0</v>
      </c>
    </row>
    <row r="14" spans="2:14" ht="25.5">
      <c r="B14" s="12" t="s">
        <v>275</v>
      </c>
      <c r="C14" s="13">
        <f t="shared" ref="C14" si="7">SUM(C12:C13)</f>
        <v>2971835000</v>
      </c>
      <c r="D14" s="13">
        <f t="shared" ref="D14:N14" si="8">SUM(D12:D13)</f>
        <v>2921411000</v>
      </c>
      <c r="E14" s="13">
        <f t="shared" si="8"/>
        <v>2969715000</v>
      </c>
      <c r="F14" s="13">
        <f t="shared" si="8"/>
        <v>3048499000</v>
      </c>
      <c r="G14" s="13">
        <f t="shared" si="8"/>
        <v>3761082000</v>
      </c>
      <c r="H14" s="13">
        <f t="shared" si="8"/>
        <v>3653097000</v>
      </c>
      <c r="I14" s="13">
        <f t="shared" si="8"/>
        <v>3563445000</v>
      </c>
      <c r="J14" s="420">
        <f t="shared" si="8"/>
        <v>3677808000</v>
      </c>
      <c r="K14" s="391">
        <f t="shared" si="8"/>
        <v>3952955000</v>
      </c>
      <c r="L14" s="13">
        <f t="shared" si="8"/>
        <v>0</v>
      </c>
      <c r="M14" s="13">
        <f t="shared" si="8"/>
        <v>0</v>
      </c>
      <c r="N14" s="13">
        <f t="shared" si="8"/>
        <v>0</v>
      </c>
    </row>
    <row r="15" spans="2:14" ht="25.5">
      <c r="B15" s="14" t="s">
        <v>276</v>
      </c>
      <c r="C15" s="15">
        <f>+C119</f>
        <v>3724532000</v>
      </c>
      <c r="D15" s="15">
        <f t="shared" ref="D15:N15" si="9">+D119</f>
        <v>3656514000</v>
      </c>
      <c r="E15" s="15">
        <f t="shared" si="9"/>
        <v>3536293000</v>
      </c>
      <c r="F15" s="15">
        <f t="shared" si="9"/>
        <v>3459451000</v>
      </c>
      <c r="G15" s="15">
        <f t="shared" si="9"/>
        <v>2690627000</v>
      </c>
      <c r="H15" s="15">
        <f t="shared" si="9"/>
        <v>2817580000</v>
      </c>
      <c r="I15" s="15">
        <f t="shared" si="9"/>
        <v>2973256000</v>
      </c>
      <c r="J15" s="421">
        <f t="shared" si="9"/>
        <v>3104259000</v>
      </c>
      <c r="K15" s="392">
        <f t="shared" si="9"/>
        <v>3245341000</v>
      </c>
      <c r="L15" s="15">
        <f t="shared" si="9"/>
        <v>0</v>
      </c>
      <c r="M15" s="15">
        <f t="shared" si="9"/>
        <v>0</v>
      </c>
      <c r="N15" s="15">
        <f t="shared" si="9"/>
        <v>0</v>
      </c>
    </row>
    <row r="16" spans="2:14" ht="25.5">
      <c r="B16" s="165" t="s">
        <v>278</v>
      </c>
      <c r="C16" s="137">
        <v>17536167720</v>
      </c>
      <c r="D16" s="137">
        <v>17536167720</v>
      </c>
      <c r="E16" s="137">
        <v>17536167720</v>
      </c>
      <c r="F16" s="137">
        <v>17536167720</v>
      </c>
      <c r="G16" s="137">
        <v>17536167720</v>
      </c>
      <c r="H16" s="137">
        <v>17536167720</v>
      </c>
      <c r="I16" s="137">
        <v>17536167720</v>
      </c>
      <c r="J16" s="506">
        <v>17536167720</v>
      </c>
      <c r="K16" s="506">
        <v>17536167720</v>
      </c>
      <c r="L16" s="137"/>
      <c r="M16" s="137"/>
      <c r="N16" s="137"/>
    </row>
    <row r="18" spans="2:14" ht="25.5">
      <c r="B18" s="18" t="s">
        <v>597</v>
      </c>
      <c r="C18" s="19">
        <f t="shared" ref="C18:I18" si="10">(C15/C16)</f>
        <v>0.2123914448966048</v>
      </c>
      <c r="D18" s="19">
        <f t="shared" si="10"/>
        <v>0.20851271830787441</v>
      </c>
      <c r="E18" s="19">
        <f t="shared" si="10"/>
        <v>0.20165711553767005</v>
      </c>
      <c r="F18" s="19">
        <f t="shared" si="10"/>
        <v>0.19727520033094209</v>
      </c>
      <c r="G18" s="19">
        <f t="shared" si="10"/>
        <v>0.15343301016283847</v>
      </c>
      <c r="H18" s="19">
        <f>(H15/H16)</f>
        <v>0.16067250524677348</v>
      </c>
      <c r="I18" s="19">
        <f t="shared" si="10"/>
        <v>0.16954992946429231</v>
      </c>
      <c r="J18" s="424">
        <f>(J15/J16)</f>
        <v>0.17702037580648777</v>
      </c>
      <c r="K18" s="19">
        <f t="shared" ref="K18:N18" si="11">(K15/K16)</f>
        <v>0.18506557714424049</v>
      </c>
      <c r="L18" s="19" t="e">
        <f t="shared" si="11"/>
        <v>#DIV/0!</v>
      </c>
      <c r="M18" s="19" t="e">
        <f t="shared" si="11"/>
        <v>#DIV/0!</v>
      </c>
      <c r="N18" s="19" t="e">
        <f t="shared" si="11"/>
        <v>#DIV/0!</v>
      </c>
    </row>
    <row r="19" spans="2:14" ht="25.5">
      <c r="B19" s="18" t="s">
        <v>598</v>
      </c>
      <c r="C19" s="19">
        <f>+C18*C42</f>
        <v>142.04739834684929</v>
      </c>
      <c r="D19" s="19">
        <f t="shared" ref="D19:H19" si="12">+D18*D42</f>
        <v>141.78864844935458</v>
      </c>
      <c r="E19" s="19">
        <f t="shared" si="12"/>
        <v>139.95003818314302</v>
      </c>
      <c r="F19" s="19">
        <f t="shared" si="12"/>
        <v>150.71825305283977</v>
      </c>
      <c r="G19" s="19">
        <f t="shared" si="12"/>
        <v>130.72492465873839</v>
      </c>
      <c r="H19" s="19">
        <f t="shared" si="12"/>
        <v>136.29045257557561</v>
      </c>
      <c r="I19" s="19">
        <f>+I18*I42</f>
        <v>149.98217210481835</v>
      </c>
      <c r="J19" s="424">
        <f t="shared" ref="J19:N19" si="13">+J18*J42</f>
        <v>175.62545524513266</v>
      </c>
      <c r="K19" s="19">
        <f t="shared" si="13"/>
        <v>168.62805258228903</v>
      </c>
      <c r="L19" s="19" t="e">
        <f t="shared" si="13"/>
        <v>#DIV/0!</v>
      </c>
      <c r="M19" s="19" t="e">
        <f t="shared" si="13"/>
        <v>#DIV/0!</v>
      </c>
      <c r="N19" s="19" t="e">
        <f t="shared" si="13"/>
        <v>#DIV/0!</v>
      </c>
    </row>
    <row r="20" spans="2:14" ht="25.5">
      <c r="B20" s="18" t="s">
        <v>282</v>
      </c>
      <c r="C20" s="77">
        <v>141.4</v>
      </c>
      <c r="D20" s="77">
        <v>139.37</v>
      </c>
      <c r="E20" s="77">
        <v>119.91</v>
      </c>
      <c r="F20" s="77">
        <v>125.5</v>
      </c>
      <c r="G20" s="77">
        <v>70</v>
      </c>
      <c r="H20" s="77">
        <v>87.3</v>
      </c>
      <c r="I20" s="77">
        <v>139.9</v>
      </c>
      <c r="J20" s="426">
        <v>123</v>
      </c>
      <c r="K20" s="77">
        <v>144.02000000000001</v>
      </c>
      <c r="L20" s="77"/>
      <c r="M20" s="77"/>
      <c r="N20" s="77"/>
    </row>
    <row r="21" spans="2:14" ht="25.5">
      <c r="B21" s="18" t="s">
        <v>283</v>
      </c>
      <c r="C21" s="22">
        <f>+C20/C41</f>
        <v>13.684365370619842</v>
      </c>
      <c r="D21" s="22">
        <f t="shared" ref="D21:I21" si="14">+D20/D41</f>
        <v>14.949371433474921</v>
      </c>
      <c r="E21" s="22">
        <f t="shared" si="14"/>
        <v>14.920637290767646</v>
      </c>
      <c r="F21" s="22">
        <f t="shared" si="14"/>
        <v>17.682133014726187</v>
      </c>
      <c r="G21" s="22">
        <f t="shared" si="14"/>
        <v>2.641788566339085</v>
      </c>
      <c r="H21" s="22">
        <f t="shared" si="14"/>
        <v>6.0970244006687873</v>
      </c>
      <c r="I21" s="22">
        <f t="shared" si="14"/>
        <v>7.0477880736272285</v>
      </c>
      <c r="J21" s="427">
        <f t="shared" ref="J21:N21" si="15">+J20/J41</f>
        <v>8.6095096023330502</v>
      </c>
      <c r="K21" s="22">
        <f t="shared" si="15"/>
        <v>14.799511322232446</v>
      </c>
      <c r="L21" s="22" t="e">
        <f t="shared" si="15"/>
        <v>#DIV/0!</v>
      </c>
      <c r="M21" s="22" t="e">
        <f t="shared" si="15"/>
        <v>#DIV/0!</v>
      </c>
      <c r="N21" s="22" t="e">
        <f t="shared" si="15"/>
        <v>#DIV/0!</v>
      </c>
    </row>
    <row r="22" spans="2:14" ht="25.5">
      <c r="B22" s="18" t="s">
        <v>284</v>
      </c>
      <c r="C22" s="22">
        <f>+C20/C19</f>
        <v>0.9954423780063294</v>
      </c>
      <c r="D22" s="22">
        <f t="shared" ref="D22:I22" si="16">+D20/D19</f>
        <v>0.98294187527841137</v>
      </c>
      <c r="E22" s="22">
        <f t="shared" si="16"/>
        <v>0.85680576837772637</v>
      </c>
      <c r="F22" s="22">
        <f t="shared" si="16"/>
        <v>0.83267950270098612</v>
      </c>
      <c r="G22" s="22">
        <f t="shared" si="16"/>
        <v>0.53547554288317434</v>
      </c>
      <c r="H22" s="22">
        <f t="shared" si="16"/>
        <v>0.64054376774184174</v>
      </c>
      <c r="I22" s="22">
        <f t="shared" si="16"/>
        <v>0.93277752973351935</v>
      </c>
      <c r="J22" s="427">
        <f t="shared" ref="J22:N22" si="17">+J20/J19</f>
        <v>0.70035405646818305</v>
      </c>
      <c r="K22" s="22">
        <f t="shared" si="17"/>
        <v>0.85406904601308553</v>
      </c>
      <c r="L22" s="22" t="e">
        <f t="shared" si="17"/>
        <v>#DIV/0!</v>
      </c>
      <c r="M22" s="22" t="e">
        <f t="shared" si="17"/>
        <v>#DIV/0!</v>
      </c>
      <c r="N22" s="22" t="e">
        <f t="shared" si="17"/>
        <v>#DIV/0!</v>
      </c>
    </row>
    <row r="23" spans="2:14" ht="25.5">
      <c r="B23" s="18" t="s">
        <v>285</v>
      </c>
      <c r="C23" s="22">
        <f>+C22*C21</f>
        <v>13.62199720603728</v>
      </c>
      <c r="D23" s="22">
        <f t="shared" ref="D23:I23" si="18">+D22*D21</f>
        <v>14.694363191053352</v>
      </c>
      <c r="E23" s="22">
        <f t="shared" si="18"/>
        <v>12.784088098601529</v>
      </c>
      <c r="F23" s="22">
        <f t="shared" si="18"/>
        <v>14.723549725394889</v>
      </c>
      <c r="G23" s="22">
        <f t="shared" si="18"/>
        <v>1.4146131667429844</v>
      </c>
      <c r="H23" s="22">
        <f t="shared" si="18"/>
        <v>3.9054109816183296</v>
      </c>
      <c r="I23" s="22">
        <f t="shared" si="18"/>
        <v>6.5740183494033655</v>
      </c>
      <c r="J23" s="427">
        <f t="shared" ref="J23:N23" si="19">+J22*J21</f>
        <v>6.0297049741957256</v>
      </c>
      <c r="K23" s="22">
        <f t="shared" si="19"/>
        <v>12.639804516438923</v>
      </c>
      <c r="L23" s="22" t="e">
        <f t="shared" si="19"/>
        <v>#DIV/0!</v>
      </c>
      <c r="M23" s="22" t="e">
        <f t="shared" si="19"/>
        <v>#DIV/0!</v>
      </c>
      <c r="N23" s="22" t="e">
        <f t="shared" si="19"/>
        <v>#DIV/0!</v>
      </c>
    </row>
    <row r="24" spans="2:14" ht="25.5">
      <c r="B24" s="23" t="s">
        <v>286</v>
      </c>
      <c r="C24" s="24">
        <f>IF(C43&lt;10%,0,IF(15%&lt;C43,2,1))</f>
        <v>0</v>
      </c>
      <c r="D24" s="24">
        <f t="shared" ref="D24:I24" si="20">IF(D43&lt;10%,0,IF(15%&lt;D43,2,1))</f>
        <v>0</v>
      </c>
      <c r="E24" s="24">
        <f t="shared" si="20"/>
        <v>0</v>
      </c>
      <c r="F24" s="24">
        <f t="shared" si="20"/>
        <v>0</v>
      </c>
      <c r="G24" s="24">
        <f t="shared" si="20"/>
        <v>2</v>
      </c>
      <c r="H24" s="24">
        <f t="shared" si="20"/>
        <v>1</v>
      </c>
      <c r="I24" s="24">
        <f t="shared" si="20"/>
        <v>1</v>
      </c>
      <c r="J24" s="428">
        <f t="shared" ref="J24:N24" si="21">IF(J43&lt;10%,0,IF(15%&lt;J43,2,1))</f>
        <v>0</v>
      </c>
      <c r="K24" s="24">
        <f t="shared" si="21"/>
        <v>0</v>
      </c>
      <c r="L24" s="24" t="e">
        <f t="shared" si="21"/>
        <v>#DIV/0!</v>
      </c>
      <c r="M24" s="24" t="e">
        <f t="shared" si="21"/>
        <v>#DIV/0!</v>
      </c>
      <c r="N24" s="24" t="e">
        <f t="shared" si="21"/>
        <v>#DIV/0!</v>
      </c>
    </row>
    <row r="25" spans="2:14" ht="25.5">
      <c r="B25" s="23" t="s">
        <v>287</v>
      </c>
      <c r="C25" s="24">
        <f>IF(C43&lt;10%,1,IF(15%&lt;C43,2.5,2))</f>
        <v>1</v>
      </c>
      <c r="D25" s="24">
        <f t="shared" ref="D25:I25" si="22">IF(D43&lt;10%,1,IF(15%&lt;D43,2.5,2))</f>
        <v>1</v>
      </c>
      <c r="E25" s="24">
        <f t="shared" si="22"/>
        <v>1</v>
      </c>
      <c r="F25" s="24">
        <f t="shared" si="22"/>
        <v>1</v>
      </c>
      <c r="G25" s="24">
        <f t="shared" si="22"/>
        <v>2.5</v>
      </c>
      <c r="H25" s="24">
        <f t="shared" si="22"/>
        <v>2</v>
      </c>
      <c r="I25" s="24">
        <f t="shared" si="22"/>
        <v>2</v>
      </c>
      <c r="J25" s="428">
        <f t="shared" ref="J25:N25" si="23">IF(J43&lt;10%,1,IF(15%&lt;J43,2.5,2))</f>
        <v>1</v>
      </c>
      <c r="K25" s="24">
        <f t="shared" si="23"/>
        <v>1</v>
      </c>
      <c r="L25" s="24" t="e">
        <f t="shared" si="23"/>
        <v>#DIV/0!</v>
      </c>
      <c r="M25" s="24" t="e">
        <f t="shared" si="23"/>
        <v>#DIV/0!</v>
      </c>
      <c r="N25" s="24" t="e">
        <f t="shared" si="23"/>
        <v>#DIV/0!</v>
      </c>
    </row>
    <row r="26" spans="2:14" ht="25.5">
      <c r="B26" s="25" t="s">
        <v>288</v>
      </c>
      <c r="C26" s="26">
        <f>+C24*C18</f>
        <v>0</v>
      </c>
      <c r="D26" s="26">
        <f t="shared" ref="D26:I26" si="24">+D24*D18</f>
        <v>0</v>
      </c>
      <c r="E26" s="26">
        <f t="shared" si="24"/>
        <v>0</v>
      </c>
      <c r="F26" s="26">
        <f t="shared" si="24"/>
        <v>0</v>
      </c>
      <c r="G26" s="26">
        <f>+G24*G18</f>
        <v>0.30686602032567695</v>
      </c>
      <c r="H26" s="26">
        <f t="shared" si="24"/>
        <v>0.16067250524677348</v>
      </c>
      <c r="I26" s="26">
        <f t="shared" si="24"/>
        <v>0.16954992946429231</v>
      </c>
      <c r="J26" s="429">
        <f t="shared" ref="J26:N26" si="25">+J24*J18</f>
        <v>0</v>
      </c>
      <c r="K26" s="26">
        <f t="shared" si="25"/>
        <v>0</v>
      </c>
      <c r="L26" s="26" t="e">
        <f t="shared" si="25"/>
        <v>#DIV/0!</v>
      </c>
      <c r="M26" s="26" t="e">
        <f t="shared" si="25"/>
        <v>#DIV/0!</v>
      </c>
      <c r="N26" s="26" t="e">
        <f t="shared" si="25"/>
        <v>#DIV/0!</v>
      </c>
    </row>
    <row r="27" spans="2:14" ht="25.5">
      <c r="B27" s="25" t="s">
        <v>289</v>
      </c>
      <c r="C27" s="26">
        <f>AVERAGE(C26,C28)</f>
        <v>0.1061957224483024</v>
      </c>
      <c r="D27" s="26">
        <f t="shared" ref="D27:I27" si="26">AVERAGE(D26,D28)</f>
        <v>0.1042563591539372</v>
      </c>
      <c r="E27" s="26">
        <f t="shared" si="26"/>
        <v>0.10082855776883502</v>
      </c>
      <c r="F27" s="26">
        <f t="shared" si="26"/>
        <v>9.8637600165471045E-2</v>
      </c>
      <c r="G27" s="26">
        <f t="shared" si="26"/>
        <v>0.34522427286638657</v>
      </c>
      <c r="H27" s="26">
        <f t="shared" si="26"/>
        <v>0.24100875787016024</v>
      </c>
      <c r="I27" s="26">
        <f t="shared" si="26"/>
        <v>0.25432489419643844</v>
      </c>
      <c r="J27" s="429">
        <f t="shared" ref="J27:N27" si="27">AVERAGE(J26,J28)</f>
        <v>8.8510187903243887E-2</v>
      </c>
      <c r="K27" s="26">
        <f t="shared" si="27"/>
        <v>9.2532788572120245E-2</v>
      </c>
      <c r="L27" s="26" t="e">
        <f t="shared" si="27"/>
        <v>#DIV/0!</v>
      </c>
      <c r="M27" s="26" t="e">
        <f t="shared" si="27"/>
        <v>#DIV/0!</v>
      </c>
      <c r="N27" s="26" t="e">
        <f t="shared" si="27"/>
        <v>#DIV/0!</v>
      </c>
    </row>
    <row r="28" spans="2:14" ht="25.5">
      <c r="B28" s="25" t="s">
        <v>290</v>
      </c>
      <c r="C28" s="26">
        <f>+C18*C25</f>
        <v>0.2123914448966048</v>
      </c>
      <c r="D28" s="26">
        <f t="shared" ref="D28:I28" si="28">+D18*D25</f>
        <v>0.20851271830787441</v>
      </c>
      <c r="E28" s="26">
        <f t="shared" si="28"/>
        <v>0.20165711553767005</v>
      </c>
      <c r="F28" s="26">
        <f t="shared" si="28"/>
        <v>0.19727520033094209</v>
      </c>
      <c r="G28" s="26">
        <f t="shared" si="28"/>
        <v>0.3835825254070962</v>
      </c>
      <c r="H28" s="26">
        <f t="shared" si="28"/>
        <v>0.32134501049354697</v>
      </c>
      <c r="I28" s="26">
        <f t="shared" si="28"/>
        <v>0.33909985892858463</v>
      </c>
      <c r="J28" s="429">
        <f t="shared" ref="J28:N28" si="29">+J18*J25</f>
        <v>0.17702037580648777</v>
      </c>
      <c r="K28" s="26">
        <f t="shared" si="29"/>
        <v>0.18506557714424049</v>
      </c>
      <c r="L28" s="26" t="e">
        <f t="shared" si="29"/>
        <v>#DIV/0!</v>
      </c>
      <c r="M28" s="26" t="e">
        <f t="shared" si="29"/>
        <v>#DIV/0!</v>
      </c>
      <c r="N28" s="26" t="e">
        <f t="shared" si="29"/>
        <v>#DIV/0!</v>
      </c>
    </row>
    <row r="30" spans="2:14" ht="25.5">
      <c r="B30" s="27" t="s">
        <v>291</v>
      </c>
      <c r="C30" s="28">
        <f t="shared" ref="C30:I30" si="30">C7-C12</f>
        <v>786765000</v>
      </c>
      <c r="D30" s="28">
        <f t="shared" si="30"/>
        <v>805898000</v>
      </c>
      <c r="E30" s="28">
        <f t="shared" si="30"/>
        <v>801153000</v>
      </c>
      <c r="F30" s="28">
        <f t="shared" si="30"/>
        <v>952652000</v>
      </c>
      <c r="G30" s="28">
        <f t="shared" si="30"/>
        <v>1087432000</v>
      </c>
      <c r="H30" s="28">
        <f t="shared" si="30"/>
        <v>1145643000</v>
      </c>
      <c r="I30" s="28">
        <f t="shared" si="30"/>
        <v>955419000</v>
      </c>
      <c r="J30" s="461">
        <f t="shared" ref="J30:N30" si="31">J7-J12</f>
        <v>829908000</v>
      </c>
      <c r="K30" s="453">
        <f t="shared" si="31"/>
        <v>1037697000</v>
      </c>
      <c r="L30" s="28">
        <f t="shared" si="31"/>
        <v>0</v>
      </c>
      <c r="M30" s="28">
        <f t="shared" si="31"/>
        <v>0</v>
      </c>
      <c r="N30" s="28">
        <f t="shared" si="31"/>
        <v>0</v>
      </c>
    </row>
    <row r="31" spans="2:14" ht="25.5">
      <c r="B31" s="30" t="s">
        <v>149</v>
      </c>
      <c r="C31" s="204">
        <f t="shared" ref="C31:I31" si="32">C7/C12</f>
        <v>3.1830509132983904</v>
      </c>
      <c r="D31" s="204">
        <f t="shared" si="32"/>
        <v>3.3334674909154085</v>
      </c>
      <c r="E31" s="204">
        <f t="shared" si="32"/>
        <v>3.3681872195519924</v>
      </c>
      <c r="F31" s="204">
        <f t="shared" si="32"/>
        <v>4.1078386595852958</v>
      </c>
      <c r="G31" s="204">
        <f t="shared" si="32"/>
        <v>2.6015104476556838</v>
      </c>
      <c r="H31" s="204">
        <f t="shared" si="32"/>
        <v>3.111146123568175</v>
      </c>
      <c r="I31" s="204">
        <f t="shared" si="32"/>
        <v>3.0291970027780373</v>
      </c>
      <c r="J31" s="487">
        <f t="shared" ref="J31:N31" si="33">J7/J12</f>
        <v>3.2419645027960127</v>
      </c>
      <c r="K31" s="485">
        <f t="shared" si="33"/>
        <v>3.7573610885987825</v>
      </c>
      <c r="L31" s="204" t="e">
        <f t="shared" si="33"/>
        <v>#DIV/0!</v>
      </c>
      <c r="M31" s="204" t="e">
        <f t="shared" si="33"/>
        <v>#DIV/0!</v>
      </c>
      <c r="N31" s="204" t="e">
        <f t="shared" si="33"/>
        <v>#DIV/0!</v>
      </c>
    </row>
    <row r="32" spans="2:14" ht="25.5">
      <c r="B32" s="30" t="s">
        <v>292</v>
      </c>
      <c r="C32" s="204">
        <f>(C7-C8)/C12</f>
        <v>3.0084906367145119</v>
      </c>
      <c r="D32" s="204">
        <f t="shared" ref="D32:I32" si="34">(D7-D8)/D12</f>
        <v>3.2053450697088586</v>
      </c>
      <c r="E32" s="204">
        <f t="shared" si="34"/>
        <v>3.2246480913277642</v>
      </c>
      <c r="F32" s="204">
        <f t="shared" si="34"/>
        <v>3.9980752417365886</v>
      </c>
      <c r="G32" s="204">
        <f t="shared" si="34"/>
        <v>2.4975375697344933</v>
      </c>
      <c r="H32" s="204">
        <f t="shared" si="34"/>
        <v>2.9360322409446731</v>
      </c>
      <c r="I32" s="204">
        <f t="shared" si="34"/>
        <v>2.8138587533663526</v>
      </c>
      <c r="J32" s="487">
        <f t="shared" ref="J32:N32" si="35">(J7-J8)/J12</f>
        <v>2.9773455439392711</v>
      </c>
      <c r="K32" s="485">
        <f t="shared" si="35"/>
        <v>3.5363862708157847</v>
      </c>
      <c r="L32" s="204" t="e">
        <f t="shared" si="35"/>
        <v>#DIV/0!</v>
      </c>
      <c r="M32" s="204" t="e">
        <f t="shared" si="35"/>
        <v>#DIV/0!</v>
      </c>
      <c r="N32" s="204" t="e">
        <f t="shared" si="35"/>
        <v>#DIV/0!</v>
      </c>
    </row>
    <row r="33" spans="2:14" ht="25.5">
      <c r="B33" s="32" t="s">
        <v>153</v>
      </c>
      <c r="C33" s="33">
        <f t="shared" ref="C33:I33" si="36">C14/C11</f>
        <v>0.42929822599848438</v>
      </c>
      <c r="D33" s="33">
        <f t="shared" si="36"/>
        <v>0.43099152905818217</v>
      </c>
      <c r="E33" s="33">
        <f t="shared" si="36"/>
        <v>0.44288739588537512</v>
      </c>
      <c r="F33" s="33">
        <f t="shared" si="36"/>
        <v>0.45953574287817345</v>
      </c>
      <c r="G33" s="33">
        <f t="shared" si="36"/>
        <v>0.56964444420211224</v>
      </c>
      <c r="H33" s="33">
        <f t="shared" si="36"/>
        <v>0.55299899757401405</v>
      </c>
      <c r="I33" s="33">
        <f t="shared" si="36"/>
        <v>0.53499372365432396</v>
      </c>
      <c r="J33" s="432">
        <f t="shared" ref="J33:N33" si="37">J14/J11</f>
        <v>0.5323826569105371</v>
      </c>
      <c r="K33" s="397">
        <f t="shared" si="37"/>
        <v>0.54905637760618975</v>
      </c>
      <c r="L33" s="33" t="e">
        <f t="shared" si="37"/>
        <v>#DIV/0!</v>
      </c>
      <c r="M33" s="33" t="e">
        <f t="shared" si="37"/>
        <v>#DIV/0!</v>
      </c>
      <c r="N33" s="33" t="e">
        <f t="shared" si="37"/>
        <v>#DIV/0!</v>
      </c>
    </row>
    <row r="35" spans="2:14" ht="25.5">
      <c r="B35" s="35" t="s">
        <v>293</v>
      </c>
      <c r="C35" s="36">
        <f>+C125</f>
        <v>1548412000</v>
      </c>
      <c r="D35" s="36">
        <f>+D125</f>
        <v>1571347000</v>
      </c>
      <c r="E35" s="36">
        <f t="shared" ref="E35:I35" si="38">+E125</f>
        <v>1487387000</v>
      </c>
      <c r="F35" s="36">
        <f t="shared" si="38"/>
        <v>1348868000</v>
      </c>
      <c r="G35" s="36">
        <f t="shared" si="38"/>
        <v>1439744000</v>
      </c>
      <c r="H35" s="36">
        <f t="shared" si="38"/>
        <v>1974023000</v>
      </c>
      <c r="I35" s="36">
        <f t="shared" si="38"/>
        <v>2003619000</v>
      </c>
      <c r="J35" s="434">
        <f t="shared" ref="J35:N35" si="39">+J125</f>
        <v>1575984000</v>
      </c>
      <c r="K35" s="398">
        <f t="shared" si="39"/>
        <v>1595567000</v>
      </c>
      <c r="L35" s="36">
        <f t="shared" si="39"/>
        <v>0</v>
      </c>
      <c r="M35" s="36">
        <f t="shared" si="39"/>
        <v>0</v>
      </c>
      <c r="N35" s="36">
        <f t="shared" si="39"/>
        <v>0</v>
      </c>
    </row>
    <row r="36" spans="2:14" ht="25.5">
      <c r="B36" s="39" t="s">
        <v>181</v>
      </c>
      <c r="C36" s="40">
        <f>+C131</f>
        <v>607325000</v>
      </c>
      <c r="D36" s="40">
        <f t="shared" ref="D36:I36" si="40">+D131</f>
        <v>630555000</v>
      </c>
      <c r="E36" s="40">
        <f t="shared" si="40"/>
        <v>587732000</v>
      </c>
      <c r="F36" s="40">
        <f t="shared" si="40"/>
        <v>442376000</v>
      </c>
      <c r="G36" s="40">
        <f t="shared" si="40"/>
        <v>1126843000</v>
      </c>
      <c r="H36" s="40">
        <f t="shared" si="40"/>
        <v>685682000</v>
      </c>
      <c r="I36" s="40">
        <f t="shared" si="40"/>
        <v>765449000</v>
      </c>
      <c r="J36" s="435">
        <f t="shared" ref="J36:N36" si="41">+J131</f>
        <v>568373000</v>
      </c>
      <c r="K36" s="399">
        <f t="shared" si="41"/>
        <v>520491000</v>
      </c>
      <c r="L36" s="40">
        <f t="shared" si="41"/>
        <v>0</v>
      </c>
      <c r="M36" s="40">
        <f t="shared" si="41"/>
        <v>0</v>
      </c>
      <c r="N36" s="40">
        <f t="shared" si="41"/>
        <v>0</v>
      </c>
    </row>
    <row r="37" spans="2:14" ht="25.5">
      <c r="B37" s="35" t="s">
        <v>294</v>
      </c>
      <c r="C37" s="41">
        <f>C36/C35</f>
        <v>0.39222442089056403</v>
      </c>
      <c r="D37" s="41">
        <f t="shared" ref="D37:I37" si="42">D36/D35</f>
        <v>0.40128310296834502</v>
      </c>
      <c r="E37" s="41">
        <f t="shared" si="42"/>
        <v>0.39514396723919193</v>
      </c>
      <c r="F37" s="41">
        <f t="shared" si="42"/>
        <v>0.32796092723676445</v>
      </c>
      <c r="G37" s="41">
        <f t="shared" si="42"/>
        <v>0.7826690022670697</v>
      </c>
      <c r="H37" s="41">
        <f t="shared" si="42"/>
        <v>0.34735258910357175</v>
      </c>
      <c r="I37" s="41">
        <f t="shared" si="42"/>
        <v>0.38203321090486764</v>
      </c>
      <c r="J37" s="436">
        <f t="shared" ref="J37:N37" si="43">J36/J35</f>
        <v>0.36064642788251655</v>
      </c>
      <c r="K37" s="400">
        <f t="shared" si="43"/>
        <v>0.32621068247212431</v>
      </c>
      <c r="L37" s="41" t="e">
        <f t="shared" si="43"/>
        <v>#DIV/0!</v>
      </c>
      <c r="M37" s="41" t="e">
        <f t="shared" si="43"/>
        <v>#DIV/0!</v>
      </c>
      <c r="N37" s="41" t="e">
        <f t="shared" si="43"/>
        <v>#DIV/0!</v>
      </c>
    </row>
    <row r="38" spans="2:14" ht="25.5">
      <c r="B38" s="43" t="s">
        <v>295</v>
      </c>
      <c r="C38" s="44">
        <f>+C144</f>
        <v>228736000</v>
      </c>
      <c r="D38" s="44">
        <f t="shared" ref="D38:I38" si="44">+D144</f>
        <v>240350000</v>
      </c>
      <c r="E38" s="44">
        <f t="shared" si="44"/>
        <v>203047000</v>
      </c>
      <c r="F38" s="44">
        <f t="shared" si="44"/>
        <v>162893000</v>
      </c>
      <c r="G38" s="44">
        <f t="shared" si="44"/>
        <v>545298000</v>
      </c>
      <c r="H38" s="44">
        <f t="shared" si="44"/>
        <v>295969000</v>
      </c>
      <c r="I38" s="44">
        <f t="shared" si="44"/>
        <v>393489000</v>
      </c>
      <c r="J38" s="437">
        <f t="shared" ref="J38:N38" si="45">+J144</f>
        <v>252457000</v>
      </c>
      <c r="K38" s="401">
        <f t="shared" si="45"/>
        <v>187207000</v>
      </c>
      <c r="L38" s="44">
        <f t="shared" si="45"/>
        <v>0</v>
      </c>
      <c r="M38" s="44">
        <f t="shared" si="45"/>
        <v>0</v>
      </c>
      <c r="N38" s="44">
        <f t="shared" si="45"/>
        <v>0</v>
      </c>
    </row>
    <row r="39" spans="2:14" ht="25.5">
      <c r="B39" s="30" t="s">
        <v>296</v>
      </c>
      <c r="C39" s="45">
        <f>C38/C35</f>
        <v>0.14772295745576758</v>
      </c>
      <c r="D39" s="45">
        <f t="shared" ref="D39:I39" si="46">D38/D35</f>
        <v>0.15295793990760792</v>
      </c>
      <c r="E39" s="45">
        <f t="shared" si="46"/>
        <v>0.13651255523949046</v>
      </c>
      <c r="F39" s="45">
        <f t="shared" si="46"/>
        <v>0.12076274327806724</v>
      </c>
      <c r="G39" s="45">
        <f t="shared" si="46"/>
        <v>0.37874649937766713</v>
      </c>
      <c r="H39" s="45">
        <f t="shared" si="46"/>
        <v>0.14993189035791377</v>
      </c>
      <c r="I39" s="45">
        <f t="shared" si="46"/>
        <v>0.19638913386227622</v>
      </c>
      <c r="J39" s="438">
        <f t="shared" ref="J39:N39" si="47">J38/J35</f>
        <v>0.16019007807185859</v>
      </c>
      <c r="K39" s="402">
        <f t="shared" si="47"/>
        <v>0.11732945090992732</v>
      </c>
      <c r="L39" s="45" t="e">
        <f t="shared" si="47"/>
        <v>#DIV/0!</v>
      </c>
      <c r="M39" s="45" t="e">
        <f t="shared" si="47"/>
        <v>#DIV/0!</v>
      </c>
      <c r="N39" s="45" t="e">
        <f t="shared" si="47"/>
        <v>#DIV/0!</v>
      </c>
    </row>
    <row r="40" spans="2:14" ht="25.5">
      <c r="B40" s="46" t="s">
        <v>599</v>
      </c>
      <c r="C40" s="116">
        <f>+C145</f>
        <v>1.545E-2</v>
      </c>
      <c r="D40" s="116">
        <f t="shared" ref="D40:I40" si="48">+D145</f>
        <v>1.371E-2</v>
      </c>
      <c r="E40" s="116">
        <f t="shared" si="48"/>
        <v>1.158E-2</v>
      </c>
      <c r="F40" s="116">
        <f t="shared" si="48"/>
        <v>9.2899999999999996E-3</v>
      </c>
      <c r="G40" s="116">
        <f t="shared" si="48"/>
        <v>3.1099999999999999E-2</v>
      </c>
      <c r="H40" s="116">
        <f t="shared" si="48"/>
        <v>1.6879999999999999E-2</v>
      </c>
      <c r="I40" s="116">
        <f t="shared" si="48"/>
        <v>2.2440000000000002E-2</v>
      </c>
      <c r="J40" s="477">
        <f t="shared" ref="J40:N40" si="49">+J145</f>
        <v>1.44E-2</v>
      </c>
      <c r="K40" s="472">
        <f t="shared" si="49"/>
        <v>1.068E-2</v>
      </c>
      <c r="L40" s="116">
        <f t="shared" si="49"/>
        <v>0</v>
      </c>
      <c r="M40" s="116">
        <f t="shared" si="49"/>
        <v>0</v>
      </c>
      <c r="N40" s="116">
        <f t="shared" si="49"/>
        <v>0</v>
      </c>
    </row>
    <row r="41" spans="2:14" ht="25.5">
      <c r="B41" s="46" t="s">
        <v>159</v>
      </c>
      <c r="C41" s="181">
        <f>+C40*C42</f>
        <v>10.33296</v>
      </c>
      <c r="D41" s="181">
        <f t="shared" ref="D41:I41" si="50">+D40*D42</f>
        <v>9.3228000000000009</v>
      </c>
      <c r="E41" s="181">
        <f t="shared" si="50"/>
        <v>8.0365199999999994</v>
      </c>
      <c r="F41" s="181">
        <f t="shared" si="50"/>
        <v>7.0975599999999996</v>
      </c>
      <c r="G41" s="181">
        <f t="shared" si="50"/>
        <v>26.497199999999999</v>
      </c>
      <c r="H41" s="181">
        <f t="shared" si="50"/>
        <v>14.31846</v>
      </c>
      <c r="I41" s="181">
        <f t="shared" si="50"/>
        <v>19.850199600000003</v>
      </c>
      <c r="J41" s="512">
        <f t="shared" ref="J41:N41" si="51">+J40*J42</f>
        <v>14.286528000000001</v>
      </c>
      <c r="K41" s="511">
        <f t="shared" si="51"/>
        <v>9.7314024000000003</v>
      </c>
      <c r="L41" s="181">
        <f t="shared" si="51"/>
        <v>0</v>
      </c>
      <c r="M41" s="181">
        <f t="shared" si="51"/>
        <v>0</v>
      </c>
      <c r="N41" s="181">
        <f t="shared" si="51"/>
        <v>0</v>
      </c>
    </row>
    <row r="42" spans="2:14" ht="26.25">
      <c r="B42" s="79" t="s">
        <v>600</v>
      </c>
      <c r="C42" s="173">
        <v>668.8</v>
      </c>
      <c r="D42" s="173">
        <v>680</v>
      </c>
      <c r="E42" s="173">
        <v>694</v>
      </c>
      <c r="F42" s="173">
        <v>764</v>
      </c>
      <c r="G42" s="173">
        <v>852</v>
      </c>
      <c r="H42" s="173">
        <v>848.25</v>
      </c>
      <c r="I42" s="173">
        <v>884.59</v>
      </c>
      <c r="J42" s="173">
        <v>992.12</v>
      </c>
      <c r="K42" s="1393">
        <v>911.18</v>
      </c>
      <c r="L42" s="174"/>
      <c r="M42" s="174"/>
      <c r="N42" s="174"/>
    </row>
    <row r="43" spans="2:14" ht="25.5">
      <c r="B43" s="48" t="s">
        <v>160</v>
      </c>
      <c r="C43" s="49">
        <f t="shared" ref="C43:I43" si="52">C38/C15</f>
        <v>6.1413353409233699E-2</v>
      </c>
      <c r="D43" s="49">
        <f t="shared" si="52"/>
        <v>6.5732005948835423E-2</v>
      </c>
      <c r="E43" s="49">
        <f t="shared" si="52"/>
        <v>5.7418036344839073E-2</v>
      </c>
      <c r="F43" s="49">
        <f t="shared" si="52"/>
        <v>4.7086372953396363E-2</v>
      </c>
      <c r="G43" s="49">
        <f t="shared" si="52"/>
        <v>0.20266577269907721</v>
      </c>
      <c r="H43" s="49">
        <f t="shared" si="52"/>
        <v>0.10504368997508501</v>
      </c>
      <c r="I43" s="49">
        <f t="shared" si="52"/>
        <v>0.13234279187530437</v>
      </c>
      <c r="J43" s="440">
        <f t="shared" ref="J43:N43" si="53">J38/J15</f>
        <v>8.1326010490748349E-2</v>
      </c>
      <c r="K43" s="404">
        <f t="shared" si="53"/>
        <v>5.7684847293396901E-2</v>
      </c>
      <c r="L43" s="49" t="e">
        <f t="shared" si="53"/>
        <v>#DIV/0!</v>
      </c>
      <c r="M43" s="49" t="e">
        <f t="shared" si="53"/>
        <v>#DIV/0!</v>
      </c>
      <c r="N43" s="49" t="e">
        <f t="shared" si="53"/>
        <v>#DIV/0!</v>
      </c>
    </row>
    <row r="44" spans="2:14" ht="25.5">
      <c r="B44" s="48" t="s">
        <v>382</v>
      </c>
      <c r="C44" s="49">
        <f>AVERAGE(G43:I43)</f>
        <v>0.1466840848498222</v>
      </c>
      <c r="D44" s="49"/>
      <c r="E44" s="49"/>
      <c r="F44" s="49"/>
      <c r="G44" s="49"/>
      <c r="H44" s="49"/>
      <c r="I44" s="49"/>
      <c r="J44" s="49"/>
      <c r="K44" s="404"/>
      <c r="L44" s="49"/>
      <c r="M44" s="49"/>
      <c r="N44" s="49"/>
    </row>
    <row r="45" spans="2:14" ht="25.5">
      <c r="B45" s="48" t="s">
        <v>298</v>
      </c>
      <c r="C45" s="50">
        <f>C157</f>
        <v>389999000</v>
      </c>
      <c r="D45" s="50">
        <f t="shared" ref="D45:K45" si="54">D157</f>
        <v>482978000</v>
      </c>
      <c r="E45" s="50">
        <f t="shared" si="54"/>
        <v>396283000</v>
      </c>
      <c r="F45" s="50">
        <f t="shared" si="54"/>
        <v>331802000</v>
      </c>
      <c r="G45" s="50">
        <f t="shared" si="54"/>
        <v>4204000</v>
      </c>
      <c r="H45" s="50">
        <f t="shared" si="54"/>
        <v>134158000</v>
      </c>
      <c r="I45" s="50">
        <f t="shared" si="54"/>
        <v>109522000</v>
      </c>
      <c r="J45" s="50">
        <f t="shared" si="54"/>
        <v>141937000</v>
      </c>
      <c r="K45" s="50">
        <f t="shared" si="54"/>
        <v>37584000</v>
      </c>
      <c r="L45" s="49"/>
      <c r="M45" s="49"/>
      <c r="N45" s="49"/>
    </row>
    <row r="46" spans="2:14" ht="25.5">
      <c r="B46" s="51" t="s">
        <v>111</v>
      </c>
      <c r="C46" s="51">
        <f>SUM(C48:C51)</f>
        <v>5.9840000000000009</v>
      </c>
      <c r="D46" s="51">
        <f t="shared" ref="D46:F46" si="55">SUM(D48:D51)</f>
        <v>10.675000000000001</v>
      </c>
      <c r="E46" s="51">
        <f t="shared" si="55"/>
        <v>13.967000000000001</v>
      </c>
      <c r="F46" s="51">
        <f t="shared" si="55"/>
        <v>11.053000000000001</v>
      </c>
      <c r="G46" s="51">
        <f>SUM(G48:G51)</f>
        <v>56.422999999999995</v>
      </c>
      <c r="H46" s="51">
        <f t="shared" ref="H46:N46" si="56">SUM(H48:H51)</f>
        <v>7.694</v>
      </c>
      <c r="I46" s="51">
        <f t="shared" si="56"/>
        <v>14.709999999999999</v>
      </c>
      <c r="J46" s="51">
        <f>SUM(J48:J51)</f>
        <v>6.9720000000000004</v>
      </c>
      <c r="K46" s="406">
        <f t="shared" si="56"/>
        <v>5.5011999999999999</v>
      </c>
      <c r="L46" s="51">
        <f t="shared" si="56"/>
        <v>0</v>
      </c>
      <c r="M46" s="51">
        <f t="shared" si="56"/>
        <v>0</v>
      </c>
      <c r="N46" s="51">
        <f t="shared" si="56"/>
        <v>0</v>
      </c>
    </row>
    <row r="47" spans="2:14" ht="25.5">
      <c r="B47" s="51" t="s">
        <v>112</v>
      </c>
      <c r="C47" s="51">
        <f>+C48+C49+C50</f>
        <v>5.9840000000000009</v>
      </c>
      <c r="D47" s="51">
        <f t="shared" ref="D47:I47" si="57">+D48+D49+D50</f>
        <v>10.675000000000001</v>
      </c>
      <c r="E47" s="51">
        <f t="shared" si="57"/>
        <v>10.104000000000001</v>
      </c>
      <c r="F47" s="51">
        <f t="shared" si="57"/>
        <v>8.6790000000000003</v>
      </c>
      <c r="G47" s="51">
        <f>+G48+G49+G50</f>
        <v>14.909000000000001</v>
      </c>
      <c r="H47" s="51">
        <f t="shared" si="57"/>
        <v>7.694</v>
      </c>
      <c r="I47" s="51">
        <f t="shared" si="57"/>
        <v>14.709999999999999</v>
      </c>
      <c r="J47" s="51">
        <f t="shared" ref="J47:N47" si="58">+J48+J49+J50</f>
        <v>6.9720000000000004</v>
      </c>
      <c r="K47" s="406">
        <f t="shared" si="58"/>
        <v>5.5011999999999999</v>
      </c>
      <c r="L47" s="51">
        <f t="shared" si="58"/>
        <v>0</v>
      </c>
      <c r="M47" s="51">
        <f t="shared" si="58"/>
        <v>0</v>
      </c>
      <c r="N47" s="51">
        <f t="shared" si="58"/>
        <v>0</v>
      </c>
    </row>
    <row r="48" spans="2:14" ht="18.75">
      <c r="B48" s="135" t="s">
        <v>114</v>
      </c>
      <c r="C48" s="138">
        <f>0.554+1.747</f>
        <v>2.3010000000000002</v>
      </c>
      <c r="D48" s="138">
        <v>0.80600000000000005</v>
      </c>
      <c r="E48" s="138">
        <v>1.389</v>
      </c>
      <c r="F48" s="138">
        <v>0.433</v>
      </c>
      <c r="G48" s="138">
        <v>7.0000000000000001E-3</v>
      </c>
      <c r="H48" s="138">
        <v>1.1200000000000001</v>
      </c>
      <c r="I48" s="138">
        <v>2.9159999999999999</v>
      </c>
      <c r="J48" s="138">
        <v>1.4390000000000001</v>
      </c>
      <c r="K48" s="1394">
        <v>1.4212</v>
      </c>
      <c r="L48" s="138"/>
      <c r="M48" s="138"/>
      <c r="N48" s="138"/>
    </row>
    <row r="49" spans="2:16" ht="18.75">
      <c r="B49" s="135" t="s">
        <v>115</v>
      </c>
      <c r="C49" s="138">
        <v>2.1560000000000001</v>
      </c>
      <c r="D49" s="138">
        <v>3.258</v>
      </c>
      <c r="E49" s="138">
        <v>4.0730000000000004</v>
      </c>
      <c r="F49" s="138">
        <v>3.4239999999999999</v>
      </c>
      <c r="G49" s="138">
        <v>11.64</v>
      </c>
      <c r="H49" s="682">
        <v>4.101</v>
      </c>
      <c r="I49" s="138">
        <v>8.4019999999999992</v>
      </c>
      <c r="J49" s="138">
        <v>5.5330000000000004</v>
      </c>
      <c r="K49" s="1395">
        <v>4.08</v>
      </c>
      <c r="L49" s="138"/>
      <c r="M49" s="138"/>
      <c r="N49" s="138"/>
    </row>
    <row r="50" spans="2:16" ht="18">
      <c r="B50" s="135" t="s">
        <v>116</v>
      </c>
      <c r="C50" s="138">
        <v>1.5269999999999999</v>
      </c>
      <c r="D50" s="138">
        <v>6.6109999999999998</v>
      </c>
      <c r="E50" s="138">
        <v>4.6420000000000003</v>
      </c>
      <c r="F50" s="138">
        <v>4.8220000000000001</v>
      </c>
      <c r="G50" s="138">
        <v>3.262</v>
      </c>
      <c r="H50" s="138">
        <v>2.4729999999999999</v>
      </c>
      <c r="I50" s="138">
        <v>3.3919999999999999</v>
      </c>
      <c r="J50" s="138">
        <v>0</v>
      </c>
      <c r="K50" s="690"/>
      <c r="L50" s="138"/>
      <c r="M50" s="138"/>
      <c r="N50" s="138"/>
    </row>
    <row r="51" spans="2:16" ht="18">
      <c r="B51" s="135" t="s">
        <v>117</v>
      </c>
      <c r="C51" s="138">
        <v>0</v>
      </c>
      <c r="D51" s="138">
        <v>0</v>
      </c>
      <c r="E51" s="138">
        <v>3.863</v>
      </c>
      <c r="F51" s="138">
        <v>2.3740000000000001</v>
      </c>
      <c r="G51" s="138">
        <f>34.912+6.602</f>
        <v>41.513999999999996</v>
      </c>
      <c r="H51" s="138">
        <v>0</v>
      </c>
      <c r="I51" s="138">
        <v>0</v>
      </c>
      <c r="J51" s="138">
        <v>0</v>
      </c>
      <c r="K51" s="500"/>
      <c r="L51" s="138"/>
      <c r="M51" s="138"/>
      <c r="N51" s="138"/>
    </row>
    <row r="52" spans="2:16" ht="25.5">
      <c r="B52" s="51" t="s">
        <v>119</v>
      </c>
      <c r="C52" s="51">
        <f>SUM(C54:C57)</f>
        <v>9.5730000000000004</v>
      </c>
      <c r="D52" s="51">
        <f t="shared" ref="D52:N52" si="59">SUM(D54:D57)</f>
        <v>13.152000000000001</v>
      </c>
      <c r="E52" s="51">
        <f t="shared" si="59"/>
        <v>11.702</v>
      </c>
      <c r="F52" s="51">
        <f t="shared" si="59"/>
        <v>13.295</v>
      </c>
      <c r="G52" s="51">
        <f t="shared" si="59"/>
        <v>50.144999999999996</v>
      </c>
      <c r="H52" s="51">
        <f t="shared" si="59"/>
        <v>10.408999999999999</v>
      </c>
      <c r="I52" s="51">
        <f t="shared" si="59"/>
        <v>9.8409999999999993</v>
      </c>
      <c r="J52" s="51">
        <f t="shared" si="59"/>
        <v>6.952</v>
      </c>
      <c r="K52" s="51">
        <f t="shared" si="59"/>
        <v>4.08</v>
      </c>
      <c r="L52" s="51">
        <f t="shared" si="59"/>
        <v>0</v>
      </c>
      <c r="M52" s="51">
        <f t="shared" si="59"/>
        <v>0</v>
      </c>
      <c r="N52" s="51">
        <f t="shared" si="59"/>
        <v>0</v>
      </c>
    </row>
    <row r="53" spans="2:16" ht="25.5">
      <c r="B53" s="51" t="s">
        <v>120</v>
      </c>
      <c r="C53" s="51">
        <f>+C54+C55+C56</f>
        <v>9.5730000000000004</v>
      </c>
      <c r="D53" s="51">
        <f t="shared" ref="D53:N53" si="60">+D54+D55+D56</f>
        <v>9.2890000000000015</v>
      </c>
      <c r="E53" s="51">
        <f t="shared" si="60"/>
        <v>9.3279999999999994</v>
      </c>
      <c r="F53" s="51">
        <f t="shared" si="60"/>
        <v>6.6929999999999996</v>
      </c>
      <c r="G53" s="51">
        <f t="shared" si="60"/>
        <v>15.233000000000001</v>
      </c>
      <c r="H53" s="51">
        <f t="shared" si="60"/>
        <v>10.408999999999999</v>
      </c>
      <c r="I53" s="51">
        <f t="shared" si="60"/>
        <v>9.8409999999999993</v>
      </c>
      <c r="J53" s="51">
        <f t="shared" si="60"/>
        <v>6.952</v>
      </c>
      <c r="K53" s="51">
        <f t="shared" si="60"/>
        <v>4.08</v>
      </c>
      <c r="L53" s="51">
        <f t="shared" si="60"/>
        <v>0</v>
      </c>
      <c r="M53" s="51">
        <f t="shared" si="60"/>
        <v>0</v>
      </c>
      <c r="N53" s="51">
        <f t="shared" si="60"/>
        <v>0</v>
      </c>
    </row>
    <row r="54" spans="2:16" ht="18">
      <c r="B54" s="135" t="s">
        <v>121</v>
      </c>
      <c r="C54" s="138">
        <v>0.80600000000000005</v>
      </c>
      <c r="D54" s="138">
        <v>1.389</v>
      </c>
      <c r="E54" s="138">
        <v>0.433</v>
      </c>
      <c r="F54" s="138">
        <v>7.0000000000000001E-3</v>
      </c>
      <c r="G54" s="138">
        <v>1.1200000000000001</v>
      </c>
      <c r="H54" s="138">
        <v>2.9159999999999999</v>
      </c>
      <c r="I54" s="138">
        <v>1.4390000000000001</v>
      </c>
      <c r="J54" s="138">
        <v>1.419</v>
      </c>
      <c r="K54" s="500"/>
      <c r="L54" s="138"/>
      <c r="M54" s="138"/>
      <c r="N54" s="138"/>
    </row>
    <row r="55" spans="2:16" ht="18.75">
      <c r="B55" s="135" t="s">
        <v>122</v>
      </c>
      <c r="C55" s="138">
        <v>2.1560000000000001</v>
      </c>
      <c r="D55" s="138">
        <v>3.258</v>
      </c>
      <c r="E55" s="138">
        <v>4.0730000000000004</v>
      </c>
      <c r="F55" s="138">
        <v>3.4239999999999999</v>
      </c>
      <c r="G55" s="138">
        <v>11.64</v>
      </c>
      <c r="H55" s="138">
        <v>4.101</v>
      </c>
      <c r="I55" s="138">
        <v>8.4019999999999992</v>
      </c>
      <c r="J55" s="138">
        <v>5.5330000000000004</v>
      </c>
      <c r="K55" s="1395">
        <v>4.08</v>
      </c>
      <c r="L55" s="138"/>
      <c r="M55" s="138"/>
      <c r="N55" s="138"/>
    </row>
    <row r="56" spans="2:16" ht="18">
      <c r="B56" s="135" t="s">
        <v>123</v>
      </c>
      <c r="C56" s="138">
        <v>6.6109999999999998</v>
      </c>
      <c r="D56" s="138">
        <v>4.6420000000000003</v>
      </c>
      <c r="E56" s="138">
        <v>4.8220000000000001</v>
      </c>
      <c r="F56" s="138">
        <v>3.262</v>
      </c>
      <c r="G56" s="138">
        <v>2.4729999999999999</v>
      </c>
      <c r="H56" s="138">
        <v>3.3919999999999999</v>
      </c>
      <c r="I56" s="138">
        <v>0</v>
      </c>
      <c r="J56" s="138"/>
      <c r="K56" s="500"/>
      <c r="L56" s="138"/>
      <c r="M56" s="138"/>
      <c r="N56" s="138"/>
    </row>
    <row r="57" spans="2:16" ht="18">
      <c r="B57" s="135" t="s">
        <v>124</v>
      </c>
      <c r="C57" s="138">
        <v>0</v>
      </c>
      <c r="D57" s="138">
        <v>3.863</v>
      </c>
      <c r="E57" s="138">
        <v>2.3740000000000001</v>
      </c>
      <c r="F57" s="138">
        <v>6.6020000000000003</v>
      </c>
      <c r="G57" s="138">
        <v>34.911999999999999</v>
      </c>
      <c r="H57" s="138">
        <v>0</v>
      </c>
      <c r="I57" s="138">
        <v>0</v>
      </c>
      <c r="J57" s="138"/>
      <c r="K57" s="500"/>
      <c r="L57" s="138"/>
      <c r="M57" s="138"/>
      <c r="N57" s="138"/>
    </row>
    <row r="58" spans="2:16" ht="25.5">
      <c r="B58" s="541" t="s">
        <v>167</v>
      </c>
      <c r="C58" s="99">
        <f>(C54+C55+C56)/C41</f>
        <v>0.92645282668277051</v>
      </c>
      <c r="D58" s="99">
        <f t="shared" ref="D58:N58" si="61">(D54+D55+D56)/D41</f>
        <v>0.99637447977002624</v>
      </c>
      <c r="E58" s="99">
        <f>(E54+E55+E56)/E41</f>
        <v>1.1607013981175931</v>
      </c>
      <c r="F58" s="99">
        <f t="shared" si="61"/>
        <v>0.94300012962201096</v>
      </c>
      <c r="G58" s="99">
        <f t="shared" si="61"/>
        <v>0.57489093187204687</v>
      </c>
      <c r="H58" s="99">
        <f t="shared" si="61"/>
        <v>0.72696365391250173</v>
      </c>
      <c r="I58" s="99">
        <f>(I54+I55+I56)/I41</f>
        <v>0.49576327685893889</v>
      </c>
      <c r="J58" s="99">
        <f t="shared" si="61"/>
        <v>0.4866122825643851</v>
      </c>
      <c r="K58" s="99">
        <f t="shared" si="61"/>
        <v>0.41926125673315079</v>
      </c>
      <c r="L58" s="99" t="e">
        <f t="shared" si="61"/>
        <v>#DIV/0!</v>
      </c>
      <c r="M58" s="99" t="e">
        <f t="shared" si="61"/>
        <v>#DIV/0!</v>
      </c>
      <c r="N58" s="99" t="e">
        <f t="shared" si="61"/>
        <v>#DIV/0!</v>
      </c>
      <c r="O58" s="99"/>
    </row>
    <row r="59" spans="2:16" ht="28.5">
      <c r="B59" s="540" t="s">
        <v>303</v>
      </c>
      <c r="C59" s="54">
        <f>AVERAGE(G58:I58)</f>
        <v>0.59920595421449574</v>
      </c>
      <c r="D59" s="54">
        <f>AVERAGE(H58:J58)</f>
        <v>0.56977973777860857</v>
      </c>
      <c r="E59" s="54"/>
      <c r="F59" s="54"/>
      <c r="G59" s="54"/>
      <c r="H59" s="54"/>
      <c r="I59" s="54"/>
      <c r="J59" s="54"/>
      <c r="K59" s="54"/>
      <c r="L59" s="54"/>
      <c r="M59" s="54"/>
      <c r="N59" s="54"/>
      <c r="O59" s="54"/>
      <c r="P59" s="54"/>
    </row>
    <row r="60" spans="2:16" ht="25.5">
      <c r="B60" s="541" t="s">
        <v>299</v>
      </c>
      <c r="C60" s="99">
        <f t="shared" ref="C60:N60" si="62">+C46/C20</f>
        <v>4.2319660537482325E-2</v>
      </c>
      <c r="D60" s="99">
        <f t="shared" si="62"/>
        <v>7.6594676042189863E-2</v>
      </c>
      <c r="E60" s="99">
        <f t="shared" si="62"/>
        <v>0.11647902593611877</v>
      </c>
      <c r="F60" s="99">
        <f t="shared" si="62"/>
        <v>8.8071713147410371E-2</v>
      </c>
      <c r="G60" s="99">
        <f t="shared" si="62"/>
        <v>0.80604285714285706</v>
      </c>
      <c r="H60" s="99">
        <f t="shared" si="62"/>
        <v>8.8132875143184422E-2</v>
      </c>
      <c r="I60" s="99">
        <f t="shared" si="62"/>
        <v>0.10514653323802715</v>
      </c>
      <c r="J60" s="99">
        <f>+J46/J20</f>
        <v>5.6682926829268294E-2</v>
      </c>
      <c r="K60" s="99">
        <f t="shared" si="62"/>
        <v>3.8197472573253712E-2</v>
      </c>
      <c r="L60" s="99" t="e">
        <f t="shared" si="62"/>
        <v>#DIV/0!</v>
      </c>
      <c r="M60" s="99" t="e">
        <f t="shared" si="62"/>
        <v>#DIV/0!</v>
      </c>
      <c r="N60" s="99" t="e">
        <f t="shared" si="62"/>
        <v>#DIV/0!</v>
      </c>
      <c r="O60" s="99"/>
    </row>
    <row r="61" spans="2:16" ht="25.5">
      <c r="B61" s="542" t="s">
        <v>384</v>
      </c>
      <c r="C61" s="534">
        <f>AVERAGE(G60:I60)</f>
        <v>0.33310742184135622</v>
      </c>
      <c r="D61" s="534"/>
      <c r="E61" s="534"/>
      <c r="F61" s="534"/>
      <c r="G61" s="534"/>
      <c r="H61" s="534"/>
      <c r="I61" s="534"/>
      <c r="J61" s="534"/>
      <c r="K61" s="534"/>
      <c r="L61" s="534"/>
      <c r="M61" s="534"/>
      <c r="N61" s="534"/>
      <c r="O61" s="534"/>
      <c r="P61" s="534"/>
    </row>
    <row r="62" spans="2:16" ht="25.5">
      <c r="B62" s="543" t="s">
        <v>176</v>
      </c>
      <c r="C62" s="355">
        <f>+C43*(100%-C58)</f>
        <v>4.516778547181177E-3</v>
      </c>
      <c r="D62" s="355">
        <f t="shared" ref="D62:N62" si="63">+D43*(100%-D58)</f>
        <v>2.3831271732425806E-4</v>
      </c>
      <c r="E62" s="355">
        <f t="shared" si="63"/>
        <v>-9.2271587177824143E-3</v>
      </c>
      <c r="F62" s="355">
        <f t="shared" si="63"/>
        <v>2.6839171549132416E-3</v>
      </c>
      <c r="G62" s="355">
        <f t="shared" si="63"/>
        <v>8.615505777353627E-2</v>
      </c>
      <c r="H62" s="355">
        <f t="shared" si="63"/>
        <v>2.8680745290345182E-2</v>
      </c>
      <c r="I62" s="355">
        <f t="shared" si="63"/>
        <v>6.6732095706542927E-2</v>
      </c>
      <c r="J62" s="355">
        <f t="shared" si="63"/>
        <v>4.1751774893990172E-2</v>
      </c>
      <c r="K62" s="355">
        <f t="shared" si="63"/>
        <v>3.3499825722707419E-2</v>
      </c>
      <c r="L62" s="355" t="e">
        <f t="shared" si="63"/>
        <v>#DIV/0!</v>
      </c>
      <c r="M62" s="355" t="e">
        <f t="shared" si="63"/>
        <v>#DIV/0!</v>
      </c>
      <c r="N62" s="355" t="e">
        <f t="shared" si="63"/>
        <v>#DIV/0!</v>
      </c>
      <c r="O62" s="355"/>
    </row>
    <row r="63" spans="2:16" ht="25.5">
      <c r="B63" s="542" t="s">
        <v>306</v>
      </c>
      <c r="C63" s="534">
        <f>AVERAGE(G62:I62)</f>
        <v>6.0522632923474796E-2</v>
      </c>
      <c r="D63" s="534"/>
      <c r="E63" s="534"/>
      <c r="F63" s="534"/>
      <c r="G63" s="534"/>
      <c r="H63" s="534"/>
      <c r="I63" s="534"/>
      <c r="J63" s="534"/>
      <c r="K63" s="534"/>
      <c r="L63" s="534"/>
      <c r="M63" s="534"/>
      <c r="N63" s="534"/>
      <c r="O63" s="534"/>
    </row>
    <row r="64" spans="2:16" ht="25.5">
      <c r="B64" s="543" t="s">
        <v>300</v>
      </c>
      <c r="C64" s="785">
        <f ca="1">B3</f>
        <v>127.23</v>
      </c>
    </row>
    <row r="65" spans="2:14" ht="25.5">
      <c r="B65" s="543"/>
      <c r="C65" s="785"/>
    </row>
    <row r="66" spans="2:14">
      <c r="B66" s="75" t="s">
        <v>307</v>
      </c>
    </row>
    <row r="67" spans="2:14" ht="15">
      <c r="B67" t="s">
        <v>601</v>
      </c>
    </row>
    <row r="68" spans="2:14" ht="15">
      <c r="B68" s="82" t="s">
        <v>602</v>
      </c>
      <c r="C68" s="88">
        <v>2017</v>
      </c>
      <c r="D68" s="88">
        <v>2018</v>
      </c>
      <c r="E68" s="88">
        <v>2019</v>
      </c>
      <c r="F68" s="88">
        <v>2020</v>
      </c>
      <c r="G68" s="88">
        <v>2021</v>
      </c>
      <c r="H68" s="89">
        <v>2022</v>
      </c>
      <c r="I68" s="103">
        <v>2023</v>
      </c>
      <c r="J68" s="89">
        <v>2024</v>
      </c>
      <c r="K68" s="1374">
        <v>2025</v>
      </c>
      <c r="L68" s="103">
        <v>2026</v>
      </c>
      <c r="M68" s="88">
        <v>2027</v>
      </c>
      <c r="N68" s="89">
        <v>2028</v>
      </c>
    </row>
    <row r="69" spans="2:14" ht="15">
      <c r="B69" s="57" t="s">
        <v>309</v>
      </c>
      <c r="C69" s="62"/>
      <c r="D69" s="62"/>
      <c r="E69" s="62"/>
      <c r="F69" s="62"/>
      <c r="G69" s="62"/>
      <c r="H69" s="184"/>
      <c r="I69" s="104"/>
      <c r="J69" s="463"/>
      <c r="K69" s="1375" t="s">
        <v>180</v>
      </c>
      <c r="L69" s="104"/>
      <c r="M69" s="104"/>
      <c r="N69" s="104"/>
    </row>
    <row r="70" spans="2:14" ht="15">
      <c r="B70" s="58" t="s">
        <v>310</v>
      </c>
      <c r="C70" s="64">
        <v>1147162000</v>
      </c>
      <c r="D70" s="64">
        <v>1151263000</v>
      </c>
      <c r="E70" s="64">
        <v>1139451000</v>
      </c>
      <c r="F70" s="69">
        <v>1259184000</v>
      </c>
      <c r="G70" s="65">
        <v>1766436000</v>
      </c>
      <c r="H70" s="130">
        <v>1688307000</v>
      </c>
      <c r="I70" s="196">
        <v>1426255000</v>
      </c>
      <c r="J70" s="196">
        <v>1200078000</v>
      </c>
      <c r="K70" s="1222">
        <v>1414034000</v>
      </c>
      <c r="L70" s="105"/>
      <c r="M70" s="105"/>
      <c r="N70" s="105"/>
    </row>
    <row r="71" spans="2:14" ht="15">
      <c r="B71" s="59" t="s">
        <v>311</v>
      </c>
      <c r="C71" s="66">
        <v>269196000</v>
      </c>
      <c r="D71" s="66">
        <v>219191000</v>
      </c>
      <c r="E71" s="66">
        <v>326886000</v>
      </c>
      <c r="F71" s="66">
        <v>254107000</v>
      </c>
      <c r="G71" s="66">
        <v>392418000</v>
      </c>
      <c r="H71" s="66">
        <v>198063000</v>
      </c>
      <c r="I71" s="105">
        <v>247948000</v>
      </c>
      <c r="J71" s="456">
        <v>573487000</v>
      </c>
      <c r="K71" s="456">
        <v>181921000</v>
      </c>
      <c r="L71" s="105"/>
      <c r="M71" s="105"/>
      <c r="N71" s="105"/>
    </row>
    <row r="72" spans="2:14" ht="15">
      <c r="B72" s="59" t="s">
        <v>603</v>
      </c>
      <c r="C72" s="66">
        <v>541969000</v>
      </c>
      <c r="D72" s="66">
        <v>569251000</v>
      </c>
      <c r="E72" s="66">
        <v>472784000</v>
      </c>
      <c r="F72" s="66">
        <v>714655000</v>
      </c>
      <c r="G72" s="66">
        <v>931663000</v>
      </c>
      <c r="H72" s="66">
        <v>937777000</v>
      </c>
      <c r="I72" s="105">
        <v>784569000</v>
      </c>
      <c r="J72" s="456">
        <v>201713000</v>
      </c>
      <c r="K72" s="1222">
        <v>704245000</v>
      </c>
      <c r="L72" s="105"/>
      <c r="M72" s="105"/>
      <c r="N72" s="105"/>
    </row>
    <row r="73" spans="2:14" ht="15">
      <c r="B73" s="59" t="s">
        <v>604</v>
      </c>
      <c r="C73" s="66">
        <v>29392000</v>
      </c>
      <c r="D73" s="66">
        <v>19796000</v>
      </c>
      <c r="E73" s="66">
        <v>20683000</v>
      </c>
      <c r="F73" s="66">
        <v>37900000</v>
      </c>
      <c r="G73" s="66">
        <v>57478000</v>
      </c>
      <c r="H73" s="66">
        <v>36129000</v>
      </c>
      <c r="I73" s="105">
        <v>47400000</v>
      </c>
      <c r="J73" s="456">
        <v>53040000</v>
      </c>
      <c r="K73" s="1222">
        <v>113043000</v>
      </c>
      <c r="L73" s="105"/>
      <c r="M73" s="105"/>
      <c r="N73" s="105"/>
    </row>
    <row r="74" spans="2:14" ht="15">
      <c r="B74" s="59" t="s">
        <v>605</v>
      </c>
      <c r="C74" s="66">
        <v>225064000</v>
      </c>
      <c r="D74" s="66">
        <v>241679000</v>
      </c>
      <c r="E74" s="66">
        <v>252566000</v>
      </c>
      <c r="F74" s="66">
        <v>201171000</v>
      </c>
      <c r="G74" s="66">
        <v>307190000</v>
      </c>
      <c r="H74" s="66">
        <v>267746000</v>
      </c>
      <c r="I74" s="105">
        <v>196506000</v>
      </c>
      <c r="J74" s="456">
        <v>209632000</v>
      </c>
      <c r="K74" s="1222">
        <v>274568000</v>
      </c>
      <c r="L74" s="105"/>
      <c r="M74" s="105"/>
      <c r="N74" s="105"/>
    </row>
    <row r="75" spans="2:14" ht="15">
      <c r="B75" s="59" t="s">
        <v>606</v>
      </c>
      <c r="C75" s="66">
        <v>240000</v>
      </c>
      <c r="D75" s="66">
        <v>1117000</v>
      </c>
      <c r="E75" s="66">
        <v>833000</v>
      </c>
      <c r="F75" s="66">
        <v>75000</v>
      </c>
      <c r="G75" s="66">
        <v>48000</v>
      </c>
      <c r="H75" s="66">
        <v>61372000</v>
      </c>
      <c r="I75" s="105">
        <v>42577000</v>
      </c>
      <c r="J75" s="456">
        <v>51980000</v>
      </c>
      <c r="K75" s="1376">
        <v>122</v>
      </c>
      <c r="L75" s="105"/>
      <c r="M75" s="105"/>
      <c r="N75" s="105"/>
    </row>
    <row r="76" spans="2:14" ht="15">
      <c r="B76" s="59" t="s">
        <v>607</v>
      </c>
      <c r="C76" s="132">
        <v>62911000</v>
      </c>
      <c r="D76" s="132">
        <v>44249000</v>
      </c>
      <c r="E76" s="132">
        <v>48559000</v>
      </c>
      <c r="F76" s="132">
        <v>33646000</v>
      </c>
      <c r="G76" s="132">
        <v>70598000</v>
      </c>
      <c r="H76" s="132">
        <v>95028000</v>
      </c>
      <c r="I76" s="105">
        <v>101389000</v>
      </c>
      <c r="J76" s="456">
        <v>97954000</v>
      </c>
      <c r="K76" s="1222">
        <v>83161000</v>
      </c>
      <c r="L76" s="105"/>
      <c r="M76" s="105"/>
      <c r="N76" s="105"/>
    </row>
    <row r="77" spans="2:14" ht="15">
      <c r="B77" s="59" t="s">
        <v>608</v>
      </c>
      <c r="C77" s="132">
        <v>18390000</v>
      </c>
      <c r="D77" s="132">
        <v>55980000</v>
      </c>
      <c r="E77" s="132">
        <v>17140000</v>
      </c>
      <c r="F77" s="132">
        <v>17630000</v>
      </c>
      <c r="G77" s="132">
        <v>7041000</v>
      </c>
      <c r="H77" s="132">
        <v>92192000</v>
      </c>
      <c r="I77" s="105">
        <v>5866000</v>
      </c>
      <c r="J77" s="456">
        <v>12272000</v>
      </c>
      <c r="K77" s="1222">
        <v>56974000</v>
      </c>
      <c r="L77" s="105"/>
      <c r="M77" s="105"/>
      <c r="N77" s="105"/>
    </row>
    <row r="78" spans="2:14" ht="15">
      <c r="B78" s="59" t="s">
        <v>318</v>
      </c>
      <c r="C78" s="131">
        <f t="shared" ref="C78:F78" si="64">+C70-C71-C73-C75-C72-C74-C76-C77</f>
        <v>0</v>
      </c>
      <c r="D78" s="131">
        <f t="shared" si="64"/>
        <v>0</v>
      </c>
      <c r="E78" s="131">
        <f t="shared" si="64"/>
        <v>0</v>
      </c>
      <c r="F78" s="131">
        <f t="shared" si="64"/>
        <v>0</v>
      </c>
      <c r="G78" s="131">
        <f>+G70-G71-G73-G75-G72-G74-G76-G77</f>
        <v>0</v>
      </c>
      <c r="H78" s="131">
        <f>+H70-H71-H73-H75-H72-H74-H76-H77</f>
        <v>0</v>
      </c>
      <c r="I78" s="131">
        <f t="shared" ref="I78:N78" si="65">+I70-I71-I73-I75-I72-I74-I76-I77</f>
        <v>0</v>
      </c>
      <c r="J78" s="131">
        <f>+J70-J71-J73-J75-J72-J74-J76-J77</f>
        <v>0</v>
      </c>
      <c r="K78" s="1377" t="s">
        <v>609</v>
      </c>
      <c r="L78" s="131">
        <f t="shared" si="65"/>
        <v>0</v>
      </c>
      <c r="M78" s="131">
        <f t="shared" si="65"/>
        <v>0</v>
      </c>
      <c r="N78" s="131">
        <f t="shared" si="65"/>
        <v>0</v>
      </c>
    </row>
    <row r="79" spans="2:14" ht="15">
      <c r="B79" s="58" t="s">
        <v>319</v>
      </c>
      <c r="C79" s="64">
        <v>5775380000</v>
      </c>
      <c r="D79" s="64">
        <v>5627086000</v>
      </c>
      <c r="E79" s="64">
        <v>5565899000</v>
      </c>
      <c r="F79" s="69">
        <v>5374683000</v>
      </c>
      <c r="G79" s="65">
        <v>4836072000</v>
      </c>
      <c r="H79" s="130">
        <v>4917667000</v>
      </c>
      <c r="I79" s="196">
        <v>5234468000</v>
      </c>
      <c r="J79" s="464">
        <v>5708126000</v>
      </c>
      <c r="K79" s="1392">
        <v>5785509000</v>
      </c>
      <c r="L79" s="105"/>
      <c r="M79" s="105"/>
      <c r="N79" s="105"/>
    </row>
    <row r="80" spans="2:14" ht="15">
      <c r="B80" s="59" t="s">
        <v>393</v>
      </c>
      <c r="C80" s="66">
        <v>21167000</v>
      </c>
      <c r="D80" s="66">
        <v>8797000</v>
      </c>
      <c r="E80" s="66">
        <v>1918000</v>
      </c>
      <c r="F80" s="66">
        <v>10283000</v>
      </c>
      <c r="G80" s="66">
        <v>99931000</v>
      </c>
      <c r="H80" s="66">
        <v>19971000</v>
      </c>
      <c r="I80" s="105">
        <v>7000</v>
      </c>
      <c r="J80" s="105">
        <v>7000</v>
      </c>
      <c r="K80" s="1375" t="s">
        <v>180</v>
      </c>
      <c r="L80" s="105"/>
      <c r="M80" s="105"/>
      <c r="N80" s="105"/>
    </row>
    <row r="81" spans="2:21" ht="15">
      <c r="B81" s="59" t="s">
        <v>394</v>
      </c>
      <c r="C81" s="66">
        <v>29009000</v>
      </c>
      <c r="D81" s="66">
        <v>26930000</v>
      </c>
      <c r="E81" s="66">
        <v>40494000</v>
      </c>
      <c r="F81" s="66">
        <v>47668000</v>
      </c>
      <c r="G81" s="66">
        <v>43222000</v>
      </c>
      <c r="H81" s="66">
        <v>42962000</v>
      </c>
      <c r="I81" s="105">
        <v>41147000</v>
      </c>
      <c r="J81" s="456">
        <v>34079000</v>
      </c>
      <c r="K81" s="1222">
        <v>28384000</v>
      </c>
      <c r="L81" s="105"/>
      <c r="M81" s="105"/>
      <c r="N81" s="105"/>
    </row>
    <row r="82" spans="2:21" ht="15">
      <c r="B82" s="59" t="s">
        <v>610</v>
      </c>
      <c r="C82" s="66">
        <v>0</v>
      </c>
      <c r="D82" s="66">
        <v>0</v>
      </c>
      <c r="E82" s="66">
        <v>28923000</v>
      </c>
      <c r="F82" s="66">
        <v>109282000</v>
      </c>
      <c r="G82" s="66">
        <v>3356000</v>
      </c>
      <c r="H82" s="66">
        <v>62000000</v>
      </c>
      <c r="I82" s="105">
        <v>64189000</v>
      </c>
      <c r="J82" s="456">
        <v>52101000</v>
      </c>
      <c r="K82" s="1222">
        <v>16889000</v>
      </c>
      <c r="L82" s="105"/>
      <c r="M82" s="105"/>
      <c r="N82" s="105"/>
    </row>
    <row r="83" spans="2:21" ht="15">
      <c r="B83" s="59" t="s">
        <v>487</v>
      </c>
      <c r="C83" s="66">
        <v>38298000</v>
      </c>
      <c r="D83" s="66">
        <v>30202000</v>
      </c>
      <c r="E83" s="66">
        <v>24718000</v>
      </c>
      <c r="F83" s="66">
        <v>26849000</v>
      </c>
      <c r="G83" s="66">
        <v>14195000</v>
      </c>
      <c r="H83" s="66">
        <v>16385000</v>
      </c>
      <c r="I83" s="105">
        <v>12448000</v>
      </c>
      <c r="J83" s="456">
        <v>12597000</v>
      </c>
      <c r="K83" s="1222">
        <v>10251000</v>
      </c>
      <c r="L83" s="105"/>
      <c r="M83" s="105"/>
      <c r="N83" s="105"/>
    </row>
    <row r="84" spans="2:21" ht="15">
      <c r="B84" s="59" t="s">
        <v>611</v>
      </c>
      <c r="C84" s="66">
        <v>132067000</v>
      </c>
      <c r="D84" s="66">
        <v>127940000</v>
      </c>
      <c r="E84" s="66">
        <v>124362000</v>
      </c>
      <c r="F84" s="66">
        <v>122110000</v>
      </c>
      <c r="G84" s="66">
        <v>68152000</v>
      </c>
      <c r="H84" s="66">
        <v>65198000</v>
      </c>
      <c r="I84" s="105">
        <v>51879000</v>
      </c>
      <c r="J84" s="456">
        <v>62080000</v>
      </c>
      <c r="K84" s="1222">
        <v>55541000</v>
      </c>
      <c r="L84" s="105"/>
      <c r="M84" s="105"/>
      <c r="N84" s="105"/>
    </row>
    <row r="85" spans="2:21" ht="15">
      <c r="B85" s="59" t="s">
        <v>396</v>
      </c>
      <c r="C85" s="66"/>
      <c r="D85" s="66"/>
      <c r="E85" s="66">
        <v>0</v>
      </c>
      <c r="F85" s="66">
        <v>5573000</v>
      </c>
      <c r="G85" s="66">
        <v>5573000</v>
      </c>
      <c r="H85" s="66">
        <v>5573000</v>
      </c>
      <c r="I85" s="105">
        <v>0</v>
      </c>
      <c r="J85" s="456">
        <v>7478000</v>
      </c>
      <c r="K85" s="1222">
        <v>7478000</v>
      </c>
      <c r="L85" s="105"/>
      <c r="M85" s="105"/>
      <c r="N85" s="105"/>
    </row>
    <row r="86" spans="2:21" ht="15">
      <c r="B86" s="59" t="s">
        <v>489</v>
      </c>
      <c r="C86" s="66">
        <v>5516478000</v>
      </c>
      <c r="D86" s="66">
        <v>5397156000</v>
      </c>
      <c r="E86" s="66">
        <v>5171850000</v>
      </c>
      <c r="F86" s="66">
        <v>4848004000</v>
      </c>
      <c r="G86" s="66">
        <v>4421566000</v>
      </c>
      <c r="H86" s="66">
        <v>4517284000</v>
      </c>
      <c r="I86" s="105">
        <v>4879159000</v>
      </c>
      <c r="J86" s="683">
        <v>5317689000</v>
      </c>
      <c r="K86" s="1222">
        <v>5454757000</v>
      </c>
      <c r="L86" s="105"/>
      <c r="M86" s="105"/>
      <c r="N86" s="105"/>
    </row>
    <row r="87" spans="2:21" ht="15">
      <c r="B87" s="59" t="s">
        <v>400</v>
      </c>
      <c r="C87" s="66"/>
      <c r="D87" s="66"/>
      <c r="E87" s="66">
        <v>135826000</v>
      </c>
      <c r="F87" s="66">
        <v>123491000</v>
      </c>
      <c r="G87" s="66">
        <v>113387000</v>
      </c>
      <c r="H87" s="66">
        <v>120559000</v>
      </c>
      <c r="I87" s="105">
        <v>121141000</v>
      </c>
      <c r="J87" s="456">
        <v>120899000</v>
      </c>
      <c r="K87" s="1222">
        <v>106662000</v>
      </c>
      <c r="L87" s="105"/>
      <c r="M87" s="105"/>
      <c r="N87" s="105"/>
    </row>
    <row r="88" spans="2:21" ht="15">
      <c r="B88" s="59" t="s">
        <v>325</v>
      </c>
      <c r="C88" s="66">
        <v>38361000</v>
      </c>
      <c r="D88" s="66">
        <v>36061000</v>
      </c>
      <c r="E88" s="66">
        <v>37808000</v>
      </c>
      <c r="F88" s="66">
        <v>81423000</v>
      </c>
      <c r="G88" s="66">
        <v>66690000</v>
      </c>
      <c r="H88" s="66">
        <v>67735000</v>
      </c>
      <c r="I88" s="105">
        <v>64498000</v>
      </c>
      <c r="J88" s="456">
        <v>101196000</v>
      </c>
      <c r="K88" s="1222">
        <v>105547000</v>
      </c>
      <c r="L88" s="105"/>
      <c r="M88" s="105"/>
      <c r="N88" s="105"/>
    </row>
    <row r="89" spans="2:21" ht="15">
      <c r="B89" s="59" t="s">
        <v>328</v>
      </c>
      <c r="C89" s="66">
        <f t="shared" ref="C89:F89" si="66">+C79-C82-C83-C81-C80-C84-C85-C86-C87-C88</f>
        <v>0</v>
      </c>
      <c r="D89" s="66">
        <f t="shared" si="66"/>
        <v>0</v>
      </c>
      <c r="E89" s="66">
        <f t="shared" si="66"/>
        <v>0</v>
      </c>
      <c r="F89" s="66">
        <f t="shared" si="66"/>
        <v>0</v>
      </c>
      <c r="G89" s="66">
        <f>+G79-G82-G83-G81-G80-G84-G85-G86-G87-G88</f>
        <v>0</v>
      </c>
      <c r="H89" s="66">
        <f>+H79-H82-H83-H81-H80-H84-H85-H86-H87-H88</f>
        <v>0</v>
      </c>
      <c r="I89" s="66">
        <f t="shared" ref="I89:N89" si="67">+I79-I82-I83-I81-I80-I84-I85-I86-I87-I88</f>
        <v>0</v>
      </c>
      <c r="J89" s="66">
        <f t="shared" si="67"/>
        <v>0</v>
      </c>
      <c r="K89" s="1375" t="s">
        <v>609</v>
      </c>
      <c r="L89" s="66">
        <f t="shared" si="67"/>
        <v>0</v>
      </c>
      <c r="M89" s="66">
        <f t="shared" si="67"/>
        <v>0</v>
      </c>
      <c r="N89" s="66">
        <f t="shared" si="67"/>
        <v>0</v>
      </c>
    </row>
    <row r="90" spans="2:21" ht="15">
      <c r="B90" s="60" t="s">
        <v>329</v>
      </c>
      <c r="C90" s="70">
        <f t="shared" ref="C90:I90" si="68">+C79+C70</f>
        <v>6922542000</v>
      </c>
      <c r="D90" s="70">
        <f t="shared" si="68"/>
        <v>6778349000</v>
      </c>
      <c r="E90" s="70">
        <f t="shared" si="68"/>
        <v>6705350000</v>
      </c>
      <c r="F90" s="70">
        <f t="shared" si="68"/>
        <v>6633867000</v>
      </c>
      <c r="G90" s="70">
        <f t="shared" si="68"/>
        <v>6602508000</v>
      </c>
      <c r="H90" s="185">
        <f t="shared" si="68"/>
        <v>6605974000</v>
      </c>
      <c r="I90" s="106">
        <f t="shared" si="68"/>
        <v>6660723000</v>
      </c>
      <c r="J90" s="465">
        <f t="shared" ref="J90:N90" si="69">+J79+J70</f>
        <v>6908204000</v>
      </c>
      <c r="K90" s="1391">
        <v>7199543000</v>
      </c>
      <c r="L90" s="106">
        <f t="shared" si="69"/>
        <v>0</v>
      </c>
      <c r="M90" s="106">
        <f t="shared" si="69"/>
        <v>0</v>
      </c>
      <c r="N90" s="106">
        <f t="shared" si="69"/>
        <v>0</v>
      </c>
    </row>
    <row r="91" spans="2:21" ht="15">
      <c r="B91" s="61"/>
      <c r="C91" s="72"/>
      <c r="D91" s="72"/>
      <c r="E91" s="72"/>
      <c r="F91" s="72"/>
      <c r="G91" s="72"/>
      <c r="H91" s="186"/>
      <c r="I91" s="107"/>
      <c r="J91" s="466"/>
      <c r="K91" s="1379" t="s">
        <v>180</v>
      </c>
      <c r="L91" s="107"/>
      <c r="M91" s="107"/>
      <c r="N91" s="107"/>
    </row>
    <row r="92" spans="2:21" ht="15">
      <c r="B92" s="57" t="s">
        <v>330</v>
      </c>
      <c r="C92" s="62"/>
      <c r="D92" s="62"/>
      <c r="E92" s="62"/>
      <c r="F92" s="62"/>
      <c r="G92" s="62"/>
      <c r="H92" s="184"/>
      <c r="I92" s="104"/>
      <c r="J92" s="463"/>
      <c r="K92" s="1380" t="s">
        <v>180</v>
      </c>
      <c r="L92" s="104"/>
      <c r="M92" s="104"/>
      <c r="N92" s="104"/>
    </row>
    <row r="93" spans="2:21" ht="15">
      <c r="B93" s="58" t="s">
        <v>310</v>
      </c>
      <c r="C93" s="64">
        <v>360397000</v>
      </c>
      <c r="D93" s="64">
        <v>345365000</v>
      </c>
      <c r="E93" s="64">
        <v>338298000</v>
      </c>
      <c r="F93" s="64">
        <v>306532000</v>
      </c>
      <c r="G93" s="64">
        <v>679004000</v>
      </c>
      <c r="H93" s="130">
        <v>542664000</v>
      </c>
      <c r="I93" s="196">
        <v>470836000</v>
      </c>
      <c r="J93" s="464">
        <v>370170000</v>
      </c>
      <c r="K93" s="1386">
        <v>376337000</v>
      </c>
      <c r="L93" s="105"/>
      <c r="M93" s="105"/>
      <c r="N93" s="105"/>
    </row>
    <row r="94" spans="2:21" ht="15">
      <c r="B94" s="59" t="s">
        <v>491</v>
      </c>
      <c r="C94" s="66">
        <v>57416000</v>
      </c>
      <c r="D94" s="66">
        <v>68503000</v>
      </c>
      <c r="E94" s="66">
        <v>72292000</v>
      </c>
      <c r="F94" s="66">
        <v>103108000</v>
      </c>
      <c r="G94" s="66">
        <v>279118000</v>
      </c>
      <c r="H94" s="66">
        <v>95557000</v>
      </c>
      <c r="I94" s="105">
        <v>72986000</v>
      </c>
      <c r="J94" s="456">
        <v>61580000</v>
      </c>
      <c r="K94" s="1222">
        <v>52963000</v>
      </c>
      <c r="L94" s="105"/>
      <c r="M94" s="105"/>
      <c r="N94" s="105"/>
      <c r="T94" s="68"/>
      <c r="U94" s="684"/>
    </row>
    <row r="95" spans="2:21" ht="15">
      <c r="B95" s="59" t="s">
        <v>492</v>
      </c>
      <c r="C95" s="66">
        <v>0</v>
      </c>
      <c r="D95" s="66">
        <v>0</v>
      </c>
      <c r="E95" s="66">
        <v>9482000</v>
      </c>
      <c r="F95" s="66">
        <v>9308000</v>
      </c>
      <c r="G95" s="66">
        <v>9746000</v>
      </c>
      <c r="H95" s="66">
        <v>11074000</v>
      </c>
      <c r="I95" s="105">
        <v>14026000</v>
      </c>
      <c r="J95" s="456">
        <v>13889000</v>
      </c>
      <c r="K95" s="1222">
        <v>14148000</v>
      </c>
      <c r="L95" s="105"/>
      <c r="M95" s="105"/>
      <c r="N95" s="105"/>
      <c r="T95" s="68"/>
      <c r="U95" s="684"/>
    </row>
    <row r="96" spans="2:21" ht="15">
      <c r="B96" s="59" t="s">
        <v>405</v>
      </c>
      <c r="C96" s="66">
        <v>194889000</v>
      </c>
      <c r="D96" s="66">
        <v>182883000</v>
      </c>
      <c r="E96" s="66">
        <v>147820000</v>
      </c>
      <c r="F96" s="66">
        <v>117728000</v>
      </c>
      <c r="G96" s="66">
        <v>205706000</v>
      </c>
      <c r="H96" s="66">
        <v>294367000</v>
      </c>
      <c r="I96" s="105">
        <v>215852000</v>
      </c>
      <c r="J96" s="456">
        <v>208764000</v>
      </c>
      <c r="K96" s="1222">
        <v>220462000</v>
      </c>
      <c r="L96" s="105"/>
      <c r="M96" s="105"/>
      <c r="N96" s="105"/>
      <c r="T96" s="68"/>
      <c r="U96" s="684"/>
    </row>
    <row r="97" spans="2:21" ht="15">
      <c r="B97" s="59" t="s">
        <v>493</v>
      </c>
      <c r="C97" s="66">
        <v>13559000</v>
      </c>
      <c r="D97" s="66">
        <v>17971000</v>
      </c>
      <c r="E97" s="66">
        <v>5936000</v>
      </c>
      <c r="F97" s="66">
        <v>161000</v>
      </c>
      <c r="G97" s="66">
        <v>12574000</v>
      </c>
      <c r="H97" s="66">
        <v>32509000</v>
      </c>
      <c r="I97" s="105">
        <v>13424000</v>
      </c>
      <c r="J97" s="456">
        <v>13069000</v>
      </c>
      <c r="K97" s="1222">
        <v>7674000</v>
      </c>
      <c r="L97" s="105"/>
      <c r="M97" s="105"/>
      <c r="N97" s="105"/>
      <c r="T97" s="68"/>
      <c r="U97" s="684"/>
    </row>
    <row r="98" spans="2:21" ht="15">
      <c r="B98" s="59" t="s">
        <v>612</v>
      </c>
      <c r="C98" s="66">
        <v>29748000</v>
      </c>
      <c r="D98" s="66">
        <v>31504000</v>
      </c>
      <c r="E98" s="66">
        <v>26694000</v>
      </c>
      <c r="F98" s="66">
        <v>29370000</v>
      </c>
      <c r="G98" s="66">
        <v>43344000</v>
      </c>
      <c r="H98" s="66">
        <v>46717000</v>
      </c>
      <c r="I98" s="105">
        <v>34005000</v>
      </c>
      <c r="J98" s="456">
        <v>17208000</v>
      </c>
      <c r="K98" s="1222">
        <v>10814000</v>
      </c>
      <c r="L98" s="105"/>
      <c r="M98" s="105"/>
      <c r="N98" s="105"/>
      <c r="T98" s="68"/>
      <c r="U98" s="684"/>
    </row>
    <row r="99" spans="2:21" ht="15">
      <c r="B99" s="59" t="s">
        <v>408</v>
      </c>
      <c r="C99" s="66">
        <v>19785000</v>
      </c>
      <c r="D99" s="66">
        <v>74000</v>
      </c>
      <c r="E99" s="66">
        <v>32146000</v>
      </c>
      <c r="F99" s="66">
        <v>7000</v>
      </c>
      <c r="G99" s="66">
        <v>89232000</v>
      </c>
      <c r="H99" s="66">
        <v>3321000</v>
      </c>
      <c r="I99" s="105">
        <v>67198000</v>
      </c>
      <c r="J99" s="456">
        <v>72000</v>
      </c>
      <c r="K99" s="1222">
        <v>1676000</v>
      </c>
      <c r="L99" s="105"/>
      <c r="M99" s="105"/>
      <c r="N99" s="105"/>
      <c r="U99" s="684"/>
    </row>
    <row r="100" spans="2:21" ht="15">
      <c r="B100" s="59" t="s">
        <v>613</v>
      </c>
      <c r="C100" s="66">
        <v>22921000</v>
      </c>
      <c r="D100" s="66">
        <v>20462000</v>
      </c>
      <c r="E100" s="66">
        <v>19832000</v>
      </c>
      <c r="F100" s="66">
        <v>24154000</v>
      </c>
      <c r="G100" s="66">
        <v>23426000</v>
      </c>
      <c r="H100" s="66">
        <v>27983000</v>
      </c>
      <c r="I100" s="105">
        <v>30639000</v>
      </c>
      <c r="J100" s="456">
        <v>29792000</v>
      </c>
      <c r="K100" s="1222">
        <v>35479000</v>
      </c>
      <c r="L100" s="105"/>
      <c r="M100" s="105"/>
      <c r="N100" s="105"/>
      <c r="T100" s="68"/>
      <c r="U100" s="684"/>
    </row>
    <row r="101" spans="2:21" ht="15">
      <c r="B101" s="59" t="s">
        <v>496</v>
      </c>
      <c r="C101" s="66">
        <v>22079000</v>
      </c>
      <c r="D101" s="66">
        <v>23968000</v>
      </c>
      <c r="E101" s="66">
        <v>24096000</v>
      </c>
      <c r="F101" s="66">
        <v>22696000</v>
      </c>
      <c r="G101" s="66">
        <v>15858000</v>
      </c>
      <c r="H101" s="66">
        <v>31136000</v>
      </c>
      <c r="I101" s="105">
        <v>22706000</v>
      </c>
      <c r="J101" s="456">
        <v>25796000</v>
      </c>
      <c r="K101" s="1222">
        <v>33121000</v>
      </c>
      <c r="L101" s="105"/>
      <c r="M101" s="105"/>
      <c r="N101" s="105"/>
      <c r="U101" s="684"/>
    </row>
    <row r="102" spans="2:21" ht="15">
      <c r="B102" s="59" t="s">
        <v>614</v>
      </c>
      <c r="C102" s="66">
        <f t="shared" ref="C102:F102" si="70">+C93-C94-C95-C96-C97-C98-C100-C99-C101</f>
        <v>0</v>
      </c>
      <c r="D102" s="66">
        <f t="shared" si="70"/>
        <v>0</v>
      </c>
      <c r="E102" s="66">
        <f t="shared" si="70"/>
        <v>0</v>
      </c>
      <c r="F102" s="66">
        <f t="shared" si="70"/>
        <v>0</v>
      </c>
      <c r="G102" s="66">
        <f>+G93-G94-G95-G96-G97-G98-G100-G99-G101</f>
        <v>0</v>
      </c>
      <c r="H102" s="66">
        <f>+H93-H94-H95-H96-H97-H98-H100-H99-H101</f>
        <v>0</v>
      </c>
      <c r="I102" s="66">
        <f t="shared" ref="I102:N102" si="71">+I93-I94-I95-I96-I97-I98-I100-I99-I101</f>
        <v>0</v>
      </c>
      <c r="J102" s="67">
        <f t="shared" si="71"/>
        <v>0</v>
      </c>
      <c r="K102" s="1375" t="s">
        <v>609</v>
      </c>
      <c r="L102" s="66">
        <f t="shared" si="71"/>
        <v>0</v>
      </c>
      <c r="M102" s="66">
        <f t="shared" si="71"/>
        <v>0</v>
      </c>
      <c r="N102" s="66">
        <f t="shared" si="71"/>
        <v>0</v>
      </c>
      <c r="U102" s="684"/>
    </row>
    <row r="103" spans="2:21" ht="15">
      <c r="B103" s="58" t="s">
        <v>319</v>
      </c>
      <c r="C103" s="64">
        <v>2611438000</v>
      </c>
      <c r="D103" s="64">
        <v>2576046000</v>
      </c>
      <c r="E103" s="64">
        <v>2631417000</v>
      </c>
      <c r="F103" s="64">
        <v>2741967000</v>
      </c>
      <c r="G103" s="64">
        <v>3082078000</v>
      </c>
      <c r="H103" s="130">
        <v>3110433000</v>
      </c>
      <c r="I103" s="196">
        <v>3092609000</v>
      </c>
      <c r="J103" s="464">
        <v>3307638000</v>
      </c>
      <c r="K103" s="1386">
        <v>3576618000</v>
      </c>
      <c r="L103" s="105"/>
      <c r="M103" s="105"/>
      <c r="N103" s="105"/>
      <c r="U103" s="684"/>
    </row>
    <row r="104" spans="2:21" ht="15">
      <c r="B104" s="182" t="s">
        <v>497</v>
      </c>
      <c r="C104" s="117">
        <v>1602036000</v>
      </c>
      <c r="D104" s="117">
        <v>1534760000</v>
      </c>
      <c r="E104" s="117">
        <v>1464336000</v>
      </c>
      <c r="F104" s="117">
        <v>1559266000</v>
      </c>
      <c r="G104" s="117">
        <v>1944259000</v>
      </c>
      <c r="H104" s="187">
        <v>1925613000</v>
      </c>
      <c r="I104" s="105">
        <v>1910770000</v>
      </c>
      <c r="J104" s="456">
        <v>2100969000</v>
      </c>
      <c r="K104" s="1222">
        <v>2376130000</v>
      </c>
      <c r="L104" s="105"/>
      <c r="M104" s="105"/>
      <c r="N104" s="105"/>
      <c r="U104" s="684"/>
    </row>
    <row r="105" spans="2:21" ht="15">
      <c r="B105" s="182" t="s">
        <v>498</v>
      </c>
      <c r="C105" s="117"/>
      <c r="D105" s="117"/>
      <c r="E105" s="117">
        <v>134390000</v>
      </c>
      <c r="F105" s="117">
        <v>125449000</v>
      </c>
      <c r="G105" s="117">
        <v>116572000</v>
      </c>
      <c r="H105" s="187">
        <v>125026000</v>
      </c>
      <c r="I105" s="105">
        <v>125486000</v>
      </c>
      <c r="J105" s="456">
        <v>123244000</v>
      </c>
      <c r="K105" s="1222">
        <v>114954000</v>
      </c>
      <c r="L105" s="105"/>
      <c r="M105" s="105"/>
      <c r="N105" s="105"/>
      <c r="U105" s="684"/>
    </row>
    <row r="106" spans="2:21" ht="15">
      <c r="B106" s="182" t="s">
        <v>615</v>
      </c>
      <c r="C106" s="117">
        <v>12924000</v>
      </c>
      <c r="D106" s="117">
        <v>3739000</v>
      </c>
      <c r="E106" s="117">
        <v>17936000</v>
      </c>
      <c r="F106" s="117">
        <v>12952000</v>
      </c>
      <c r="G106" s="117">
        <v>9475000</v>
      </c>
      <c r="H106" s="187">
        <v>441000</v>
      </c>
      <c r="I106" s="105">
        <v>224000</v>
      </c>
      <c r="J106" s="456"/>
      <c r="K106" s="1375" t="s">
        <v>180</v>
      </c>
      <c r="L106" s="105"/>
      <c r="M106" s="105"/>
      <c r="N106" s="105"/>
      <c r="T106" s="68"/>
      <c r="U106" s="684"/>
    </row>
    <row r="107" spans="2:21" ht="15">
      <c r="B107" s="182" t="s">
        <v>616</v>
      </c>
      <c r="C107" s="117">
        <v>33389000</v>
      </c>
      <c r="D107" s="117">
        <v>34948000</v>
      </c>
      <c r="E107" s="117">
        <v>35259000</v>
      </c>
      <c r="F107" s="117">
        <v>46785000</v>
      </c>
      <c r="G107" s="117">
        <v>56858000</v>
      </c>
      <c r="H107" s="187">
        <v>58624000</v>
      </c>
      <c r="I107" s="105">
        <v>71814000</v>
      </c>
      <c r="J107" s="456">
        <v>113675000</v>
      </c>
      <c r="K107" s="1222">
        <v>104351000</v>
      </c>
      <c r="L107" s="105"/>
      <c r="M107" s="105"/>
      <c r="N107" s="105"/>
      <c r="T107" s="68"/>
    </row>
    <row r="108" spans="2:21" ht="15">
      <c r="B108" s="59" t="s">
        <v>339</v>
      </c>
      <c r="C108" s="117">
        <v>918046000</v>
      </c>
      <c r="D108" s="117">
        <v>958800000</v>
      </c>
      <c r="E108" s="117">
        <v>922963000</v>
      </c>
      <c r="F108" s="117">
        <v>933742000</v>
      </c>
      <c r="G108" s="117">
        <v>922647000</v>
      </c>
      <c r="H108" s="117">
        <v>961543000</v>
      </c>
      <c r="I108" s="105">
        <v>944266000</v>
      </c>
      <c r="J108" s="456">
        <v>929767000</v>
      </c>
      <c r="K108" s="1222">
        <v>932673000</v>
      </c>
      <c r="L108" s="105"/>
      <c r="M108" s="105"/>
      <c r="N108" s="105"/>
      <c r="T108" s="68"/>
      <c r="U108" s="684"/>
    </row>
    <row r="109" spans="2:21" ht="15">
      <c r="B109" s="59" t="s">
        <v>529</v>
      </c>
      <c r="C109" s="117">
        <v>32833000</v>
      </c>
      <c r="D109" s="117">
        <v>30786000</v>
      </c>
      <c r="E109" s="117">
        <v>35576000</v>
      </c>
      <c r="F109" s="117">
        <v>42998000</v>
      </c>
      <c r="G109" s="117">
        <v>25941000</v>
      </c>
      <c r="H109" s="117">
        <v>33078000</v>
      </c>
      <c r="I109" s="105">
        <v>34050000</v>
      </c>
      <c r="J109" s="456">
        <v>34093000</v>
      </c>
      <c r="K109" s="1222">
        <v>42729000</v>
      </c>
      <c r="L109" s="105"/>
      <c r="M109" s="105"/>
      <c r="N109" s="105"/>
      <c r="T109" s="68"/>
      <c r="U109" s="684"/>
    </row>
    <row r="110" spans="2:21" ht="15">
      <c r="B110" s="59" t="s">
        <v>617</v>
      </c>
      <c r="C110" s="117">
        <v>12210000</v>
      </c>
      <c r="D110" s="117">
        <v>13013000</v>
      </c>
      <c r="E110" s="117">
        <v>20957000</v>
      </c>
      <c r="F110" s="117">
        <v>20775000</v>
      </c>
      <c r="G110" s="117">
        <v>6326000</v>
      </c>
      <c r="H110" s="188">
        <v>6108000</v>
      </c>
      <c r="I110" s="105">
        <v>5999000</v>
      </c>
      <c r="J110" s="456">
        <v>5890000</v>
      </c>
      <c r="K110" s="1222">
        <v>5781000</v>
      </c>
      <c r="L110" s="105"/>
      <c r="M110" s="105"/>
      <c r="N110" s="105"/>
      <c r="U110" s="684"/>
    </row>
    <row r="111" spans="2:21" ht="15">
      <c r="B111" s="59" t="s">
        <v>341</v>
      </c>
      <c r="C111" s="189">
        <f t="shared" ref="C111:G111" si="72">+C103-C108-C109-C110-C107-C106-C105-C104</f>
        <v>0</v>
      </c>
      <c r="D111" s="189">
        <f t="shared" si="72"/>
        <v>0</v>
      </c>
      <c r="E111" s="189">
        <f t="shared" si="72"/>
        <v>0</v>
      </c>
      <c r="F111" s="189">
        <f t="shared" si="72"/>
        <v>0</v>
      </c>
      <c r="G111" s="160">
        <f t="shared" si="72"/>
        <v>0</v>
      </c>
      <c r="H111" s="160">
        <f>+H103-H108-H109-H110-H107-H106-H105-H104</f>
        <v>0</v>
      </c>
      <c r="I111" s="160">
        <f t="shared" ref="I111:N111" si="73">+I103-I108-I109-I110-I107-I106-I105-I104</f>
        <v>0</v>
      </c>
      <c r="J111" s="131">
        <f t="shared" si="73"/>
        <v>0</v>
      </c>
      <c r="K111" s="1375" t="s">
        <v>609</v>
      </c>
      <c r="L111" s="160">
        <f t="shared" si="73"/>
        <v>0</v>
      </c>
      <c r="M111" s="160">
        <f t="shared" si="73"/>
        <v>0</v>
      </c>
      <c r="N111" s="160">
        <f t="shared" si="73"/>
        <v>0</v>
      </c>
      <c r="U111" s="684"/>
    </row>
    <row r="112" spans="2:21" ht="15">
      <c r="B112" s="60" t="s">
        <v>342</v>
      </c>
      <c r="C112" s="70">
        <f t="shared" ref="C112:J112" si="74">+C103+C93</f>
        <v>2971835000</v>
      </c>
      <c r="D112" s="70">
        <f t="shared" si="74"/>
        <v>2921411000</v>
      </c>
      <c r="E112" s="70">
        <f t="shared" si="74"/>
        <v>2969715000</v>
      </c>
      <c r="F112" s="70">
        <f t="shared" si="74"/>
        <v>3048499000</v>
      </c>
      <c r="G112" s="70">
        <f t="shared" si="74"/>
        <v>3761082000</v>
      </c>
      <c r="H112" s="162">
        <f t="shared" si="74"/>
        <v>3653097000</v>
      </c>
      <c r="I112" s="162">
        <f t="shared" si="74"/>
        <v>3563445000</v>
      </c>
      <c r="J112" s="162">
        <f t="shared" si="74"/>
        <v>3677808000</v>
      </c>
      <c r="K112" s="1391">
        <v>3952955000</v>
      </c>
      <c r="L112" s="108"/>
      <c r="M112" s="108"/>
      <c r="N112" s="108"/>
      <c r="U112" s="684"/>
    </row>
    <row r="113" spans="2:21" ht="15">
      <c r="K113" s="1381"/>
      <c r="U113" s="684"/>
    </row>
    <row r="114" spans="2:21" ht="15">
      <c r="B114" s="57" t="s">
        <v>343</v>
      </c>
      <c r="C114" s="62"/>
      <c r="D114" s="62"/>
      <c r="E114" s="62"/>
      <c r="F114" s="62"/>
      <c r="G114" s="62"/>
      <c r="H114" s="184"/>
      <c r="I114" s="104"/>
      <c r="J114" s="463"/>
      <c r="K114" s="1380" t="s">
        <v>180</v>
      </c>
      <c r="L114" s="104"/>
      <c r="M114" s="104"/>
      <c r="N114" s="104"/>
    </row>
    <row r="115" spans="2:21" ht="15">
      <c r="B115" s="59" t="s">
        <v>532</v>
      </c>
      <c r="C115" s="62">
        <v>1282793000</v>
      </c>
      <c r="D115" s="62">
        <v>1282793000</v>
      </c>
      <c r="E115" s="62">
        <v>1282793000</v>
      </c>
      <c r="F115" s="62">
        <v>1282793000</v>
      </c>
      <c r="G115" s="62">
        <v>1282793000</v>
      </c>
      <c r="H115" s="184">
        <v>1282793000</v>
      </c>
      <c r="I115" s="105">
        <v>1335388000</v>
      </c>
      <c r="J115" s="456">
        <v>1335388000</v>
      </c>
      <c r="K115" s="1222">
        <v>1335388000</v>
      </c>
      <c r="L115" s="105"/>
      <c r="M115" s="105"/>
      <c r="N115" s="105"/>
    </row>
    <row r="116" spans="2:21" ht="15">
      <c r="B116" s="59" t="s">
        <v>618</v>
      </c>
      <c r="C116" s="66">
        <v>1601772000</v>
      </c>
      <c r="D116" s="66">
        <v>1550677000</v>
      </c>
      <c r="E116" s="66">
        <v>1458332000</v>
      </c>
      <c r="F116" s="66">
        <v>1414284000</v>
      </c>
      <c r="G116" s="66">
        <v>833180000</v>
      </c>
      <c r="H116" s="131">
        <v>959285000</v>
      </c>
      <c r="I116" s="105">
        <v>1127541000</v>
      </c>
      <c r="J116" s="456">
        <v>1290675000</v>
      </c>
      <c r="K116" s="1222">
        <v>1460290000</v>
      </c>
      <c r="L116" s="105"/>
      <c r="M116" s="105"/>
      <c r="N116" s="105"/>
    </row>
    <row r="117" spans="2:21" ht="15">
      <c r="B117" s="59" t="s">
        <v>619</v>
      </c>
      <c r="C117" s="68">
        <v>52595000</v>
      </c>
      <c r="D117" s="68">
        <v>52595000</v>
      </c>
      <c r="E117" s="68">
        <v>52595000</v>
      </c>
      <c r="F117" s="66">
        <v>52595000</v>
      </c>
      <c r="G117" s="131">
        <v>52595000</v>
      </c>
      <c r="H117" s="131">
        <v>52595000</v>
      </c>
      <c r="I117" s="105">
        <v>0</v>
      </c>
      <c r="J117" s="456"/>
      <c r="K117" s="1375" t="s">
        <v>180</v>
      </c>
      <c r="L117" s="105"/>
      <c r="M117" s="105"/>
      <c r="N117" s="105"/>
      <c r="T117" s="68"/>
    </row>
    <row r="118" spans="2:21" ht="15">
      <c r="B118" s="129" t="s">
        <v>503</v>
      </c>
      <c r="C118" s="133">
        <v>787372000</v>
      </c>
      <c r="D118" s="133">
        <v>770449000</v>
      </c>
      <c r="E118" s="133">
        <v>742573000</v>
      </c>
      <c r="F118" s="133">
        <v>709779000</v>
      </c>
      <c r="G118" s="133">
        <v>522059000</v>
      </c>
      <c r="H118" s="190">
        <v>522907000</v>
      </c>
      <c r="I118" s="191">
        <v>510327000</v>
      </c>
      <c r="J118" s="513">
        <v>478196000</v>
      </c>
      <c r="K118" s="1389">
        <v>449663000</v>
      </c>
      <c r="L118" s="191"/>
      <c r="M118" s="191"/>
      <c r="N118" s="191"/>
    </row>
    <row r="119" spans="2:21" ht="15">
      <c r="B119" s="60" t="s">
        <v>420</v>
      </c>
      <c r="C119" s="70">
        <f t="shared" ref="C119:I119" si="75">+C115+C117+C116+C118</f>
        <v>3724532000</v>
      </c>
      <c r="D119" s="70">
        <f t="shared" si="75"/>
        <v>3656514000</v>
      </c>
      <c r="E119" s="70">
        <f t="shared" si="75"/>
        <v>3536293000</v>
      </c>
      <c r="F119" s="70">
        <f t="shared" si="75"/>
        <v>3459451000</v>
      </c>
      <c r="G119" s="70">
        <f t="shared" si="75"/>
        <v>2690627000</v>
      </c>
      <c r="H119" s="162">
        <f t="shared" si="75"/>
        <v>2817580000</v>
      </c>
      <c r="I119" s="70">
        <f t="shared" si="75"/>
        <v>2973256000</v>
      </c>
      <c r="J119" s="71">
        <f t="shared" ref="J119:N119" si="76">+J115+J117+J116+J118</f>
        <v>3104259000</v>
      </c>
      <c r="K119" s="1390">
        <v>3245341000</v>
      </c>
      <c r="L119" s="70">
        <f t="shared" si="76"/>
        <v>0</v>
      </c>
      <c r="M119" s="70">
        <f t="shared" si="76"/>
        <v>0</v>
      </c>
      <c r="N119" s="70">
        <f t="shared" si="76"/>
        <v>0</v>
      </c>
    </row>
    <row r="120" spans="2:21" ht="15">
      <c r="B120" s="183" t="s">
        <v>620</v>
      </c>
      <c r="C120" s="192">
        <v>226175000</v>
      </c>
      <c r="D120" s="193">
        <v>200424000</v>
      </c>
      <c r="E120" s="163">
        <v>199342000</v>
      </c>
      <c r="F120" s="163">
        <v>125917000</v>
      </c>
      <c r="G120" s="192">
        <v>120799000</v>
      </c>
      <c r="H120" s="193">
        <v>135297000</v>
      </c>
      <c r="I120" s="509">
        <v>124022000</v>
      </c>
      <c r="J120" s="497">
        <v>126137000</v>
      </c>
      <c r="K120" s="1389">
        <v>1247000</v>
      </c>
    </row>
    <row r="121" spans="2:21" ht="15">
      <c r="B121" s="60" t="s">
        <v>347</v>
      </c>
      <c r="C121" s="194">
        <f t="shared" ref="C121:F121" si="77">+C119+C120</f>
        <v>3950707000</v>
      </c>
      <c r="D121" s="194">
        <f t="shared" si="77"/>
        <v>3856938000</v>
      </c>
      <c r="E121" s="194">
        <f t="shared" si="77"/>
        <v>3735635000</v>
      </c>
      <c r="F121" s="194">
        <f t="shared" si="77"/>
        <v>3585368000</v>
      </c>
      <c r="G121" s="194">
        <f>+G119+G120</f>
        <v>2811426000</v>
      </c>
      <c r="H121" s="194">
        <f>+H119+H120</f>
        <v>2952877000</v>
      </c>
      <c r="I121" s="194">
        <f>+I119+I120</f>
        <v>3097278000</v>
      </c>
      <c r="J121" s="194">
        <f>+J119+J120</f>
        <v>3230396000</v>
      </c>
      <c r="K121" s="1389">
        <v>3246588000</v>
      </c>
      <c r="T121" s="68"/>
    </row>
    <row r="122" spans="2:21" ht="15">
      <c r="K122" s="1381"/>
    </row>
    <row r="123" spans="2:21" ht="15">
      <c r="B123" s="75" t="s">
        <v>348</v>
      </c>
      <c r="K123" s="1381"/>
    </row>
    <row r="124" spans="2:21" ht="15">
      <c r="B124" s="82" t="s">
        <v>308</v>
      </c>
      <c r="C124" s="88">
        <v>2017</v>
      </c>
      <c r="D124" s="88">
        <v>2018</v>
      </c>
      <c r="E124" s="88">
        <v>2019</v>
      </c>
      <c r="F124" s="88">
        <v>2020</v>
      </c>
      <c r="G124" s="88">
        <v>2021</v>
      </c>
      <c r="H124" s="89">
        <v>2022</v>
      </c>
      <c r="I124" s="103">
        <v>2023</v>
      </c>
      <c r="J124" s="89">
        <v>2024</v>
      </c>
      <c r="K124" s="1374">
        <v>2025</v>
      </c>
      <c r="L124" s="103">
        <v>2026</v>
      </c>
      <c r="M124" s="88">
        <v>2027</v>
      </c>
      <c r="N124" s="89">
        <v>2028</v>
      </c>
    </row>
    <row r="125" spans="2:21" ht="15">
      <c r="B125" s="83" t="s">
        <v>349</v>
      </c>
      <c r="C125" s="90">
        <v>1548412000</v>
      </c>
      <c r="D125" s="90">
        <v>1571347000</v>
      </c>
      <c r="E125" s="90">
        <v>1487387000</v>
      </c>
      <c r="F125" s="90">
        <v>1348868000</v>
      </c>
      <c r="G125" s="90">
        <v>1439744000</v>
      </c>
      <c r="H125" s="195">
        <v>1974023000</v>
      </c>
      <c r="I125" s="410">
        <v>2003619000</v>
      </c>
      <c r="J125" s="467">
        <v>1575984000</v>
      </c>
      <c r="K125" s="1222">
        <v>1595567000</v>
      </c>
      <c r="L125" s="110"/>
      <c r="M125" s="110"/>
      <c r="N125" s="110"/>
    </row>
    <row r="126" spans="2:21" ht="15">
      <c r="B126" s="83" t="s">
        <v>535</v>
      </c>
      <c r="C126" s="90"/>
      <c r="D126" s="90"/>
      <c r="E126" s="90"/>
      <c r="F126" s="90"/>
      <c r="G126" s="90"/>
      <c r="H126" s="195"/>
      <c r="I126" s="110"/>
      <c r="J126" s="467"/>
      <c r="K126" s="1375" t="s">
        <v>180</v>
      </c>
      <c r="L126" s="110"/>
      <c r="M126" s="110"/>
      <c r="N126" s="110"/>
    </row>
    <row r="127" spans="2:21" ht="15">
      <c r="B127" s="85" t="s">
        <v>621</v>
      </c>
      <c r="C127" s="66">
        <v>-755680000</v>
      </c>
      <c r="D127" s="66">
        <v>-773603000</v>
      </c>
      <c r="E127" s="66">
        <v>-691984000</v>
      </c>
      <c r="F127" s="66">
        <v>-575796000</v>
      </c>
      <c r="G127" s="66">
        <v>-781973000</v>
      </c>
      <c r="H127" s="131">
        <v>-1069431000</v>
      </c>
      <c r="I127" s="105">
        <v>-1130142000</v>
      </c>
      <c r="J127" s="456">
        <v>-772245000</v>
      </c>
      <c r="K127" s="1223">
        <v>-808635000</v>
      </c>
      <c r="L127" s="105"/>
      <c r="M127" s="105"/>
      <c r="N127" s="105"/>
    </row>
    <row r="128" spans="2:21" ht="15">
      <c r="B128" s="86" t="s">
        <v>622</v>
      </c>
      <c r="C128" s="141">
        <f t="shared" ref="C128:G128" si="78">+C125+C127+C126</f>
        <v>792732000</v>
      </c>
      <c r="D128" s="141">
        <f t="shared" si="78"/>
        <v>797744000</v>
      </c>
      <c r="E128" s="141">
        <f t="shared" si="78"/>
        <v>795403000</v>
      </c>
      <c r="F128" s="141">
        <f t="shared" si="78"/>
        <v>773072000</v>
      </c>
      <c r="G128" s="141">
        <f t="shared" si="78"/>
        <v>657771000</v>
      </c>
      <c r="H128" s="141">
        <f>+H125+H127+H126</f>
        <v>904592000</v>
      </c>
      <c r="I128" s="64">
        <f t="shared" ref="I128:J128" si="79">+I125+I127</f>
        <v>873477000</v>
      </c>
      <c r="J128" s="65">
        <f t="shared" si="79"/>
        <v>803739000</v>
      </c>
      <c r="K128" s="1386">
        <v>786932000</v>
      </c>
      <c r="L128" s="64">
        <f t="shared" ref="L128:N128" si="80">+L125+L127</f>
        <v>0</v>
      </c>
      <c r="M128" s="64">
        <f t="shared" si="80"/>
        <v>0</v>
      </c>
      <c r="N128" s="64">
        <f t="shared" si="80"/>
        <v>0</v>
      </c>
    </row>
    <row r="129" spans="2:14" ht="15">
      <c r="B129" s="85" t="s">
        <v>623</v>
      </c>
      <c r="C129" s="141">
        <v>-76785000</v>
      </c>
      <c r="D129" s="141">
        <v>-79765000</v>
      </c>
      <c r="E129" s="141">
        <v>-74351000</v>
      </c>
      <c r="F129" s="141">
        <v>-65357000</v>
      </c>
      <c r="G129" s="141">
        <v>-79672000</v>
      </c>
      <c r="H129" s="142">
        <v>-84027000</v>
      </c>
      <c r="I129" s="196">
        <v>-91800000</v>
      </c>
      <c r="J129" s="464">
        <v>-92092000</v>
      </c>
      <c r="K129" s="1388">
        <v>-103126000</v>
      </c>
      <c r="L129" s="196"/>
      <c r="M129" s="196"/>
      <c r="N129" s="196"/>
    </row>
    <row r="130" spans="2:14" ht="15">
      <c r="B130" s="140" t="s">
        <v>424</v>
      </c>
      <c r="C130" s="64">
        <v>-223488000</v>
      </c>
      <c r="D130" s="64">
        <v>-236955000</v>
      </c>
      <c r="E130" s="64">
        <v>-250522000</v>
      </c>
      <c r="F130" s="64">
        <v>-246615000</v>
      </c>
      <c r="G130" s="64">
        <v>-213163000</v>
      </c>
      <c r="H130" s="130">
        <v>-219514000</v>
      </c>
      <c r="I130" s="105">
        <v>-205881000</v>
      </c>
      <c r="J130" s="456">
        <v>-215235000</v>
      </c>
      <c r="K130" s="1223">
        <v>-251323000</v>
      </c>
      <c r="L130" s="105"/>
      <c r="M130" s="105"/>
      <c r="N130" s="105"/>
    </row>
    <row r="131" spans="2:14" ht="15">
      <c r="B131" s="140" t="s">
        <v>181</v>
      </c>
      <c r="C131" s="142">
        <f t="shared" ref="C131:I131" si="81">+C128+C129+C132+C133</f>
        <v>607325000</v>
      </c>
      <c r="D131" s="142">
        <f t="shared" si="81"/>
        <v>630555000</v>
      </c>
      <c r="E131" s="142">
        <f t="shared" si="81"/>
        <v>587732000</v>
      </c>
      <c r="F131" s="142">
        <f t="shared" si="81"/>
        <v>442376000</v>
      </c>
      <c r="G131" s="142">
        <f t="shared" si="81"/>
        <v>1126843000</v>
      </c>
      <c r="H131" s="142">
        <f t="shared" si="81"/>
        <v>685682000</v>
      </c>
      <c r="I131" s="142">
        <f t="shared" si="81"/>
        <v>765449000</v>
      </c>
      <c r="J131" s="142">
        <f>+J128+J129+J132+J133</f>
        <v>568373000</v>
      </c>
      <c r="K131" s="1387">
        <v>520491000</v>
      </c>
      <c r="L131" s="196"/>
      <c r="M131" s="196"/>
      <c r="N131" s="196"/>
    </row>
    <row r="132" spans="2:14" ht="15">
      <c r="B132" s="85" t="s">
        <v>426</v>
      </c>
      <c r="C132" s="66">
        <v>-23817000</v>
      </c>
      <c r="D132" s="66">
        <v>-33856000</v>
      </c>
      <c r="E132" s="66">
        <v>-23974000</v>
      </c>
      <c r="F132" s="117">
        <v>-25203000</v>
      </c>
      <c r="G132" s="117">
        <v>-57903000</v>
      </c>
      <c r="H132" s="131">
        <v>-57209000</v>
      </c>
      <c r="I132" s="105">
        <v>-67726000</v>
      </c>
      <c r="J132" s="456">
        <v>-69292000</v>
      </c>
      <c r="K132" s="1223">
        <v>-74725000</v>
      </c>
      <c r="L132" s="105"/>
      <c r="M132" s="105"/>
      <c r="N132" s="105"/>
    </row>
    <row r="133" spans="2:14" ht="15">
      <c r="B133" s="85" t="s">
        <v>357</v>
      </c>
      <c r="C133" s="66">
        <v>-84805000</v>
      </c>
      <c r="D133" s="66">
        <v>-53568000</v>
      </c>
      <c r="E133" s="66">
        <v>-109346000</v>
      </c>
      <c r="F133" s="117">
        <v>-240136000</v>
      </c>
      <c r="G133" s="117">
        <v>606647000</v>
      </c>
      <c r="H133" s="197">
        <v>-77674000</v>
      </c>
      <c r="I133" s="105">
        <v>51498000</v>
      </c>
      <c r="J133" s="456">
        <v>-73982000</v>
      </c>
      <c r="K133" s="1223">
        <v>-88590000</v>
      </c>
      <c r="L133" s="105"/>
      <c r="M133" s="105"/>
      <c r="N133" s="105"/>
    </row>
    <row r="134" spans="2:14" ht="15">
      <c r="B134" s="685" t="s">
        <v>428</v>
      </c>
      <c r="C134" s="65">
        <f t="shared" ref="C134:I134" si="82">C131+C130</f>
        <v>383837000</v>
      </c>
      <c r="D134" s="65">
        <f t="shared" si="82"/>
        <v>393600000</v>
      </c>
      <c r="E134" s="65">
        <f>E131+E130</f>
        <v>337210000</v>
      </c>
      <c r="F134" s="65">
        <f t="shared" si="82"/>
        <v>195761000</v>
      </c>
      <c r="G134" s="65">
        <f t="shared" si="82"/>
        <v>913680000</v>
      </c>
      <c r="H134" s="65">
        <f t="shared" si="82"/>
        <v>466168000</v>
      </c>
      <c r="I134" s="65">
        <f t="shared" si="82"/>
        <v>559568000</v>
      </c>
      <c r="J134" s="65">
        <f>J131+J130</f>
        <v>353138000</v>
      </c>
      <c r="K134" s="1225">
        <v>269168000</v>
      </c>
      <c r="L134" s="64">
        <f t="shared" ref="L134:N134" si="83">+L128+L132+L130</f>
        <v>0</v>
      </c>
      <c r="M134" s="64">
        <f t="shared" si="83"/>
        <v>0</v>
      </c>
      <c r="N134" s="64">
        <f t="shared" si="83"/>
        <v>0</v>
      </c>
    </row>
    <row r="135" spans="2:14" ht="15">
      <c r="B135" s="85" t="s">
        <v>512</v>
      </c>
      <c r="C135" s="66">
        <v>12726000</v>
      </c>
      <c r="D135" s="66">
        <v>20367000</v>
      </c>
      <c r="E135" s="66">
        <v>22115000</v>
      </c>
      <c r="F135" s="66">
        <v>11242000</v>
      </c>
      <c r="G135" s="66">
        <v>4968000</v>
      </c>
      <c r="H135" s="131">
        <v>29052000</v>
      </c>
      <c r="I135" s="105">
        <v>67926000</v>
      </c>
      <c r="J135" s="456">
        <v>51001000</v>
      </c>
      <c r="K135" s="1222">
        <v>39147000</v>
      </c>
      <c r="L135" s="105"/>
      <c r="M135" s="105"/>
      <c r="N135" s="105"/>
    </row>
    <row r="136" spans="2:14" ht="15">
      <c r="B136" s="85" t="s">
        <v>513</v>
      </c>
      <c r="C136" s="66">
        <v>-84954000</v>
      </c>
      <c r="D136" s="66">
        <v>-83871000</v>
      </c>
      <c r="E136" s="66">
        <v>-91069000</v>
      </c>
      <c r="F136" s="131">
        <v>-90459000</v>
      </c>
      <c r="G136" s="131">
        <v>-86347000</v>
      </c>
      <c r="H136" s="131">
        <v>-88723000</v>
      </c>
      <c r="I136" s="105">
        <v>-85409000</v>
      </c>
      <c r="J136" s="456">
        <v>-70290000</v>
      </c>
      <c r="K136" s="1223">
        <v>-94103000</v>
      </c>
      <c r="L136" s="105"/>
      <c r="M136" s="105"/>
      <c r="N136" s="105"/>
    </row>
    <row r="137" spans="2:14" ht="15">
      <c r="B137" s="85" t="s">
        <v>624</v>
      </c>
      <c r="C137" s="66">
        <v>2904000</v>
      </c>
      <c r="D137" s="66">
        <v>11388000</v>
      </c>
      <c r="E137" s="66">
        <v>9102000</v>
      </c>
      <c r="F137" s="66">
        <v>9950000</v>
      </c>
      <c r="G137" s="66">
        <v>6697000</v>
      </c>
      <c r="H137" s="131">
        <v>12165000</v>
      </c>
      <c r="I137" s="105">
        <v>13142000</v>
      </c>
      <c r="J137" s="456">
        <v>12331000</v>
      </c>
      <c r="K137" s="1222">
        <v>12398000</v>
      </c>
      <c r="L137" s="105"/>
      <c r="M137" s="105"/>
      <c r="N137" s="105"/>
    </row>
    <row r="138" spans="2:14" ht="15">
      <c r="B138" s="85" t="s">
        <v>625</v>
      </c>
      <c r="C138" s="66">
        <v>-34080000</v>
      </c>
      <c r="D138" s="66">
        <v>-12641000</v>
      </c>
      <c r="E138" s="66">
        <v>-7176000</v>
      </c>
      <c r="F138" s="66">
        <v>5725000</v>
      </c>
      <c r="G138" s="66">
        <v>-13826000</v>
      </c>
      <c r="H138" s="131">
        <v>-2662000</v>
      </c>
      <c r="I138" s="105">
        <v>-6655000</v>
      </c>
      <c r="J138" s="456">
        <v>-1445000</v>
      </c>
      <c r="K138" s="1222">
        <v>6529000</v>
      </c>
      <c r="L138" s="105"/>
      <c r="M138" s="105"/>
      <c r="N138" s="105"/>
    </row>
    <row r="139" spans="2:14" ht="15">
      <c r="B139" s="85"/>
      <c r="C139" s="66"/>
      <c r="D139" s="66"/>
      <c r="E139" s="66"/>
      <c r="F139" s="66"/>
      <c r="G139" s="66"/>
      <c r="H139" s="131"/>
      <c r="I139" s="105"/>
      <c r="J139" s="456"/>
      <c r="K139" s="1375" t="s">
        <v>180</v>
      </c>
      <c r="L139" s="105"/>
      <c r="M139" s="105"/>
      <c r="N139" s="105"/>
    </row>
    <row r="140" spans="2:14" ht="15">
      <c r="B140" s="87"/>
      <c r="C140" s="66"/>
      <c r="D140" s="66"/>
      <c r="E140" s="66"/>
      <c r="F140" s="66"/>
      <c r="G140" s="66"/>
      <c r="H140" s="131"/>
      <c r="I140" s="105"/>
      <c r="J140" s="456"/>
      <c r="K140" s="1375" t="s">
        <v>180</v>
      </c>
      <c r="L140" s="105"/>
      <c r="M140" s="105"/>
      <c r="N140" s="105"/>
    </row>
    <row r="141" spans="2:14" ht="15">
      <c r="B141" s="86" t="s">
        <v>362</v>
      </c>
      <c r="C141" s="196">
        <f t="shared" ref="C141:G141" si="84">C134+C135+C136+C137+C138</f>
        <v>280433000</v>
      </c>
      <c r="D141" s="196">
        <f t="shared" si="84"/>
        <v>328843000</v>
      </c>
      <c r="E141" s="196">
        <f t="shared" si="84"/>
        <v>270182000</v>
      </c>
      <c r="F141" s="196">
        <f t="shared" si="84"/>
        <v>132219000</v>
      </c>
      <c r="G141" s="196">
        <f t="shared" si="84"/>
        <v>825172000</v>
      </c>
      <c r="H141" s="196">
        <f>H134+H135+H136+H137+H138</f>
        <v>416000000</v>
      </c>
      <c r="I141" s="196">
        <f>I134+I135+I136+I137+I138</f>
        <v>548572000</v>
      </c>
      <c r="J141" s="196">
        <f>J134+J135+J136+J137+J138</f>
        <v>344735000</v>
      </c>
      <c r="K141" s="1386">
        <v>233139000</v>
      </c>
      <c r="L141" s="105"/>
      <c r="M141" s="105"/>
      <c r="N141" s="105"/>
    </row>
    <row r="142" spans="2:14" ht="15">
      <c r="B142" s="85" t="s">
        <v>363</v>
      </c>
      <c r="C142" s="66">
        <v>-34080000</v>
      </c>
      <c r="D142" s="66">
        <v>-98418000</v>
      </c>
      <c r="E142" s="66">
        <v>-68216000</v>
      </c>
      <c r="F142" s="66">
        <v>-42751000</v>
      </c>
      <c r="G142" s="91">
        <v>-284992000</v>
      </c>
      <c r="H142" s="198">
        <v>-105533000</v>
      </c>
      <c r="I142" s="105">
        <v>-144742000</v>
      </c>
      <c r="J142" s="456">
        <v>-87578000</v>
      </c>
      <c r="K142" s="1223">
        <v>-46168000</v>
      </c>
      <c r="L142" s="105"/>
      <c r="M142" s="105"/>
      <c r="N142" s="105"/>
    </row>
    <row r="143" spans="2:14" ht="30.75">
      <c r="B143" s="87" t="s">
        <v>435</v>
      </c>
      <c r="C143" s="66">
        <v>17617000</v>
      </c>
      <c r="D143" s="66">
        <v>-9925000</v>
      </c>
      <c r="E143" s="66">
        <v>-1081000</v>
      </c>
      <c r="F143" s="66">
        <v>-73425000</v>
      </c>
      <c r="G143" s="91">
        <v>-5118000</v>
      </c>
      <c r="H143" s="131">
        <v>14498000</v>
      </c>
      <c r="I143" s="105">
        <v>10341000</v>
      </c>
      <c r="J143" s="456">
        <v>4700000</v>
      </c>
      <c r="K143" s="1382">
        <v>-236</v>
      </c>
      <c r="L143" s="105"/>
      <c r="M143" s="105"/>
      <c r="N143" s="105"/>
    </row>
    <row r="144" spans="2:14" ht="15">
      <c r="B144" s="84" t="s">
        <v>365</v>
      </c>
      <c r="C144" s="130">
        <f t="shared" ref="C144:G144" si="85">+C141+C142-C143</f>
        <v>228736000</v>
      </c>
      <c r="D144" s="130">
        <f t="shared" si="85"/>
        <v>240350000</v>
      </c>
      <c r="E144" s="130">
        <f t="shared" si="85"/>
        <v>203047000</v>
      </c>
      <c r="F144" s="130">
        <f t="shared" si="85"/>
        <v>162893000</v>
      </c>
      <c r="G144" s="130">
        <f t="shared" si="85"/>
        <v>545298000</v>
      </c>
      <c r="H144" s="130">
        <f>+H141+H142-H143</f>
        <v>295969000</v>
      </c>
      <c r="I144" s="130">
        <f>+I141+I142-I143</f>
        <v>393489000</v>
      </c>
      <c r="J144" s="130">
        <f>+J141+J142-J143</f>
        <v>252457000</v>
      </c>
      <c r="K144" s="1225">
        <v>187207000</v>
      </c>
      <c r="L144" s="105"/>
      <c r="M144" s="105"/>
      <c r="N144" s="105"/>
    </row>
    <row r="145" spans="2:14" ht="15">
      <c r="B145" s="84" t="s">
        <v>626</v>
      </c>
      <c r="C145" s="172">
        <v>1.545E-2</v>
      </c>
      <c r="D145" s="172">
        <v>1.371E-2</v>
      </c>
      <c r="E145" s="172">
        <v>1.158E-2</v>
      </c>
      <c r="F145" s="199">
        <v>9.2899999999999996E-3</v>
      </c>
      <c r="G145" s="199">
        <v>3.1099999999999999E-2</v>
      </c>
      <c r="H145" s="200">
        <v>1.6879999999999999E-2</v>
      </c>
      <c r="I145" s="686">
        <v>2.2440000000000002E-2</v>
      </c>
      <c r="J145" s="687">
        <v>1.44E-2</v>
      </c>
      <c r="K145" s="1378">
        <v>1.068E-2</v>
      </c>
      <c r="L145" s="201"/>
      <c r="M145" s="201"/>
      <c r="N145" s="201"/>
    </row>
    <row r="146" spans="2:14" ht="15">
      <c r="K146" s="1381"/>
    </row>
    <row r="147" spans="2:14" ht="15">
      <c r="B147" s="75" t="s">
        <v>367</v>
      </c>
      <c r="K147" s="1381"/>
    </row>
    <row r="148" spans="2:14" ht="15">
      <c r="B148" s="82" t="s">
        <v>308</v>
      </c>
      <c r="C148" s="88">
        <v>2017</v>
      </c>
      <c r="D148" s="88">
        <v>2018</v>
      </c>
      <c r="E148" s="88">
        <v>2019</v>
      </c>
      <c r="F148" s="88">
        <v>2020</v>
      </c>
      <c r="G148" s="88">
        <v>2021</v>
      </c>
      <c r="H148" s="89">
        <v>2022</v>
      </c>
      <c r="I148" s="103">
        <v>2023</v>
      </c>
      <c r="J148" s="89">
        <v>2024</v>
      </c>
      <c r="K148" s="1374">
        <v>2025</v>
      </c>
      <c r="L148" s="103">
        <v>2026</v>
      </c>
      <c r="M148" s="88">
        <v>2027</v>
      </c>
      <c r="N148" s="89">
        <v>2028</v>
      </c>
    </row>
    <row r="149" spans="2:14" ht="15">
      <c r="B149" s="83" t="s">
        <v>368</v>
      </c>
      <c r="C149" s="90">
        <v>600939000</v>
      </c>
      <c r="D149" s="90">
        <v>516330000</v>
      </c>
      <c r="E149" s="90">
        <v>564820000</v>
      </c>
      <c r="F149" s="90">
        <v>525624000</v>
      </c>
      <c r="G149" s="90">
        <v>334418000</v>
      </c>
      <c r="H149" s="195">
        <v>491968000</v>
      </c>
      <c r="I149" s="195">
        <v>718326000</v>
      </c>
      <c r="J149" s="688">
        <v>465244000</v>
      </c>
      <c r="K149" s="1384">
        <v>476944000</v>
      </c>
      <c r="L149" s="202"/>
      <c r="M149" s="202"/>
      <c r="N149" s="202"/>
    </row>
    <row r="150" spans="2:14" ht="15">
      <c r="B150" s="86" t="s">
        <v>369</v>
      </c>
      <c r="C150" s="91">
        <v>-596817000</v>
      </c>
      <c r="D150" s="93">
        <v>-146431000</v>
      </c>
      <c r="E150" s="93">
        <v>34314000</v>
      </c>
      <c r="F150" s="66">
        <v>-360594000</v>
      </c>
      <c r="G150" s="93">
        <v>615513000</v>
      </c>
      <c r="H150" s="131">
        <v>-198214000</v>
      </c>
      <c r="I150" s="131">
        <v>-236084000</v>
      </c>
      <c r="J150" s="689">
        <v>-56777000</v>
      </c>
      <c r="K150" s="1385">
        <v>-842667000</v>
      </c>
      <c r="L150" s="203"/>
      <c r="M150" s="203"/>
      <c r="N150" s="203"/>
    </row>
    <row r="151" spans="2:14" ht="15">
      <c r="B151" s="85" t="s">
        <v>370</v>
      </c>
      <c r="C151" s="93">
        <v>-122205000</v>
      </c>
      <c r="D151" s="93">
        <v>-107939000</v>
      </c>
      <c r="E151" s="93">
        <v>-87784000</v>
      </c>
      <c r="F151" s="93">
        <v>-112556000</v>
      </c>
      <c r="G151" s="93">
        <v>-253738000</v>
      </c>
      <c r="H151" s="131">
        <v>-274430000</v>
      </c>
      <c r="I151" s="131">
        <v>-521762000</v>
      </c>
      <c r="J151" s="689">
        <v>-236027000</v>
      </c>
      <c r="K151" s="1385">
        <v>-342971000</v>
      </c>
      <c r="L151" s="203"/>
      <c r="M151" s="203"/>
      <c r="N151" s="203"/>
    </row>
    <row r="152" spans="2:14" ht="15">
      <c r="B152" s="86" t="s">
        <v>372</v>
      </c>
      <c r="C152" s="120">
        <v>-338408000</v>
      </c>
      <c r="D152" s="120">
        <v>-396480000</v>
      </c>
      <c r="E152" s="64">
        <v>-485006000</v>
      </c>
      <c r="F152" s="120">
        <v>-246361000</v>
      </c>
      <c r="G152" s="120">
        <v>-800192000</v>
      </c>
      <c r="H152" s="130">
        <v>-472636000</v>
      </c>
      <c r="I152" s="130">
        <v>-431500000</v>
      </c>
      <c r="J152" s="689">
        <v>-67023000</v>
      </c>
      <c r="K152" s="1385">
        <v>-38152000</v>
      </c>
      <c r="L152" s="203"/>
      <c r="M152" s="203"/>
      <c r="N152" s="203"/>
    </row>
    <row r="153" spans="2:14" ht="15">
      <c r="B153" s="85" t="s">
        <v>373</v>
      </c>
      <c r="C153" s="93">
        <v>-161005000</v>
      </c>
      <c r="D153" s="93">
        <v>-290665000</v>
      </c>
      <c r="E153" s="66">
        <v>-346264000</v>
      </c>
      <c r="F153" s="93">
        <v>-241319000</v>
      </c>
      <c r="G153" s="93">
        <v>-1244739000</v>
      </c>
      <c r="H153" s="131">
        <v>-151868000</v>
      </c>
      <c r="I153" s="131">
        <v>-304943000</v>
      </c>
      <c r="J153" s="689">
        <v>-134726000</v>
      </c>
      <c r="K153" s="1385">
        <v>-103513000</v>
      </c>
      <c r="L153" s="203"/>
      <c r="M153" s="203"/>
      <c r="N153" s="203"/>
    </row>
    <row r="154" spans="2:14" ht="15">
      <c r="B154" s="85" t="s">
        <v>627</v>
      </c>
      <c r="C154" s="366">
        <v>-88735000</v>
      </c>
      <c r="D154" s="366">
        <v>74587000</v>
      </c>
      <c r="E154" s="160">
        <v>-80753000</v>
      </c>
      <c r="F154" s="366">
        <v>-81266000</v>
      </c>
      <c r="G154" s="366">
        <v>-76476000</v>
      </c>
      <c r="H154" s="131">
        <v>-83380000</v>
      </c>
      <c r="I154" s="131">
        <v>-87042000</v>
      </c>
      <c r="J154" s="689">
        <v>-87280000</v>
      </c>
      <c r="K154" s="1385">
        <v>-96389000</v>
      </c>
      <c r="L154" s="203"/>
      <c r="M154" s="203"/>
      <c r="N154" s="203"/>
    </row>
    <row r="155" spans="2:14" ht="15">
      <c r="B155" s="86" t="s">
        <v>375</v>
      </c>
      <c r="C155" s="64">
        <v>269196000</v>
      </c>
      <c r="D155" s="64">
        <v>219191000</v>
      </c>
      <c r="E155" s="64">
        <v>326886000</v>
      </c>
      <c r="F155" s="64">
        <v>254107000</v>
      </c>
      <c r="G155" s="64">
        <v>392418000</v>
      </c>
      <c r="H155" s="130">
        <v>198063000</v>
      </c>
      <c r="I155" s="130">
        <v>247948000</v>
      </c>
      <c r="J155" s="689">
        <v>573487000</v>
      </c>
      <c r="K155" s="1384">
        <v>181921</v>
      </c>
      <c r="L155" s="203"/>
      <c r="M155" s="203"/>
      <c r="N155" s="203"/>
    </row>
    <row r="156" spans="2:14" ht="15">
      <c r="B156" s="85"/>
      <c r="C156" s="66"/>
      <c r="D156" s="66"/>
      <c r="E156" s="66"/>
      <c r="F156" s="66"/>
      <c r="G156" s="66"/>
      <c r="H156" s="131"/>
      <c r="I156" s="203"/>
      <c r="J156" s="514"/>
      <c r="K156" s="1375" t="s">
        <v>180</v>
      </c>
      <c r="L156" s="203"/>
      <c r="M156" s="203"/>
      <c r="N156" s="203"/>
    </row>
    <row r="157" spans="2:14" ht="15">
      <c r="B157" s="84" t="s">
        <v>376</v>
      </c>
      <c r="C157" s="131">
        <f t="shared" ref="C157:G157" si="86">+C149+C151+C154</f>
        <v>389999000</v>
      </c>
      <c r="D157" s="131">
        <f t="shared" si="86"/>
        <v>482978000</v>
      </c>
      <c r="E157" s="131">
        <f t="shared" si="86"/>
        <v>396283000</v>
      </c>
      <c r="F157" s="131">
        <f t="shared" si="86"/>
        <v>331802000</v>
      </c>
      <c r="G157" s="131">
        <f t="shared" si="86"/>
        <v>4204000</v>
      </c>
      <c r="H157" s="131">
        <f>+H149+H151+H154</f>
        <v>134158000</v>
      </c>
      <c r="I157" s="131">
        <f>+I149+I151+I154</f>
        <v>109522000</v>
      </c>
      <c r="J157" s="131">
        <f>+J149+J151+J154</f>
        <v>141937000</v>
      </c>
      <c r="K157" s="1383">
        <v>37584000</v>
      </c>
      <c r="L157" s="203">
        <f t="shared" ref="L157:N157" si="87">+L149-L151</f>
        <v>0</v>
      </c>
      <c r="M157" s="203">
        <f t="shared" si="87"/>
        <v>0</v>
      </c>
      <c r="N157" s="203">
        <f t="shared" si="87"/>
        <v>0</v>
      </c>
    </row>
    <row r="158" spans="2:14" ht="15"/>
    <row r="159" spans="2:14" ht="15"/>
  </sheetData>
  <conditionalFormatting sqref="C69:J83 J84:J85 C84:I86 C87:J112 C114:I116 F117:I117 C118:I120 L69:N112">
    <cfRule type="cellIs" dxfId="239" priority="18" operator="lessThan">
      <formula>0</formula>
    </cfRule>
  </conditionalFormatting>
  <conditionalFormatting sqref="C125:J145 L125:N145">
    <cfRule type="cellIs" dxfId="238" priority="3" operator="lessThan">
      <formula>0</formula>
    </cfRule>
  </conditionalFormatting>
  <conditionalFormatting sqref="C149:J157 L149:N157">
    <cfRule type="cellIs" dxfId="237" priority="2" operator="lessThan">
      <formula>0</formula>
    </cfRule>
  </conditionalFormatting>
  <conditionalFormatting sqref="J114:J119 L114:N119">
    <cfRule type="cellIs" dxfId="236" priority="4" operator="lessThan">
      <formula>0</formula>
    </cfRule>
  </conditionalFormatting>
  <conditionalFormatting sqref="K71">
    <cfRule type="cellIs" dxfId="235" priority="1" operator="lessThan">
      <formula>0</formula>
    </cfRule>
  </conditionalFormatting>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1C0DB-40D6-4BDC-982D-78BCCC7A9EC5}">
  <dimension ref="B2:N135"/>
  <sheetViews>
    <sheetView zoomScale="90" zoomScaleNormal="90" workbookViewId="0">
      <pane ySplit="6" topLeftCell="E7" activePane="bottomLeft" state="frozen"/>
      <selection pane="bottomLeft" activeCell="E3" sqref="E3"/>
    </sheetView>
  </sheetViews>
  <sheetFormatPr defaultColWidth="10.7109375" defaultRowHeight="14.25"/>
  <cols>
    <col min="1" max="1" width="4.42578125" customWidth="1"/>
    <col min="2" max="2" width="79.5703125" bestFit="1" customWidth="1"/>
    <col min="3" max="3" width="29.5703125" bestFit="1" customWidth="1"/>
    <col min="4" max="4" width="35.5703125" bestFit="1" customWidth="1"/>
    <col min="5" max="8" width="29.5703125" bestFit="1" customWidth="1"/>
    <col min="9" max="9" width="16.7109375" bestFit="1" customWidth="1"/>
    <col min="10" max="11" width="12.28515625" bestFit="1" customWidth="1"/>
    <col min="12" max="12" width="12.5703125" bestFit="1" customWidth="1"/>
  </cols>
  <sheetData>
    <row r="2" spans="2:12" ht="21">
      <c r="B2" s="313">
        <f ca="1">TODAY()-1</f>
        <v>46105</v>
      </c>
      <c r="C2" s="314"/>
      <c r="D2" s="344" t="s">
        <v>265</v>
      </c>
      <c r="E2" s="345" t="s">
        <v>266</v>
      </c>
    </row>
    <row r="3" spans="2:12" ht="25.5">
      <c r="B3" s="376" cm="1">
        <f t="array" aca="1" ref="B3" ca="1">_FV(B6,"Precio")</f>
        <v>403</v>
      </c>
      <c r="C3" s="316"/>
      <c r="D3" s="346">
        <f>AVERAGE(C45:J45)</f>
        <v>117.64857142857143</v>
      </c>
      <c r="E3" s="346">
        <f>AVERAGE(C44:J44)</f>
        <v>117.64857142857143</v>
      </c>
    </row>
    <row r="4" spans="2:12" ht="28.5">
      <c r="B4" s="319"/>
      <c r="C4" s="320"/>
      <c r="D4" s="328"/>
      <c r="E4" s="328"/>
    </row>
    <row r="6" spans="2:12" ht="33.4">
      <c r="B6" s="3" t="e" vm="14">
        <v>#VALUE!</v>
      </c>
      <c r="C6" s="3">
        <v>2017</v>
      </c>
      <c r="D6" s="3">
        <v>2018</v>
      </c>
      <c r="E6" s="3">
        <v>2019</v>
      </c>
      <c r="F6" s="3">
        <v>2020</v>
      </c>
      <c r="G6" s="3">
        <v>2021</v>
      </c>
      <c r="H6" s="3">
        <v>2022</v>
      </c>
      <c r="I6" s="251">
        <v>2023</v>
      </c>
      <c r="J6" s="3">
        <v>2024</v>
      </c>
      <c r="K6" s="3">
        <v>2025</v>
      </c>
      <c r="L6" s="3">
        <v>2026</v>
      </c>
    </row>
    <row r="7" spans="2:12" ht="25.5">
      <c r="B7" s="4" t="s">
        <v>267</v>
      </c>
      <c r="C7" s="5">
        <f>+C64</f>
        <v>26346912000</v>
      </c>
      <c r="D7" s="5">
        <f t="shared" ref="D7:I7" si="0">+D64</f>
        <v>26098275000</v>
      </c>
      <c r="E7" s="5">
        <f t="shared" si="0"/>
        <v>24805053000</v>
      </c>
      <c r="F7" s="5">
        <f t="shared" si="0"/>
        <v>25923029000</v>
      </c>
      <c r="G7" s="5">
        <f t="shared" si="0"/>
        <v>27289073000</v>
      </c>
      <c r="H7" s="5">
        <f t="shared" si="0"/>
        <v>28071131000</v>
      </c>
      <c r="I7" s="252">
        <f t="shared" si="0"/>
        <v>0</v>
      </c>
      <c r="K7" s="145"/>
    </row>
    <row r="8" spans="2:12" ht="25.5">
      <c r="B8" s="146" t="s">
        <v>377</v>
      </c>
      <c r="C8" s="147">
        <f>+C67</f>
        <v>1154316000</v>
      </c>
      <c r="D8" s="147">
        <f t="shared" ref="D8:I8" si="1">+D67</f>
        <v>2478344000</v>
      </c>
      <c r="E8" s="147">
        <f t="shared" si="1"/>
        <v>2821797000</v>
      </c>
      <c r="F8" s="147">
        <f t="shared" si="1"/>
        <v>124556000</v>
      </c>
      <c r="G8" s="147">
        <f t="shared" si="1"/>
        <v>1834111000</v>
      </c>
      <c r="H8" s="147">
        <f t="shared" si="1"/>
        <v>2296500000</v>
      </c>
      <c r="I8" s="252">
        <f t="shared" si="1"/>
        <v>0</v>
      </c>
      <c r="K8" s="145"/>
    </row>
    <row r="9" spans="2:12" ht="25.5">
      <c r="B9" s="146" t="s">
        <v>378</v>
      </c>
      <c r="C9" s="147">
        <v>0</v>
      </c>
      <c r="D9" s="147">
        <v>0</v>
      </c>
      <c r="E9" s="147">
        <v>0</v>
      </c>
      <c r="F9" s="147">
        <v>0</v>
      </c>
      <c r="G9" s="147">
        <v>0</v>
      </c>
      <c r="H9" s="147">
        <v>0</v>
      </c>
      <c r="I9" s="252">
        <v>0</v>
      </c>
      <c r="K9" s="145"/>
    </row>
    <row r="10" spans="2:12" ht="25.5">
      <c r="B10" s="4" t="s">
        <v>379</v>
      </c>
      <c r="C10" s="5">
        <f>+C71</f>
        <v>27267109000</v>
      </c>
      <c r="D10" s="5">
        <f t="shared" ref="D10:I10" si="2">+D71</f>
        <v>28112241000</v>
      </c>
      <c r="E10" s="5">
        <f t="shared" si="2"/>
        <v>29012758000</v>
      </c>
      <c r="F10" s="5">
        <f t="shared" si="2"/>
        <v>30668703000</v>
      </c>
      <c r="G10" s="5">
        <f t="shared" si="2"/>
        <v>31419479000</v>
      </c>
      <c r="H10" s="5">
        <f t="shared" si="2"/>
        <v>35435660000</v>
      </c>
      <c r="I10" s="252">
        <f t="shared" si="2"/>
        <v>0</v>
      </c>
      <c r="K10" s="145"/>
    </row>
    <row r="11" spans="2:12" ht="25.5">
      <c r="B11" s="8" t="s">
        <v>272</v>
      </c>
      <c r="C11" s="9">
        <f>+C10+C7</f>
        <v>53614021000</v>
      </c>
      <c r="D11" s="9">
        <f t="shared" ref="D11:I11" si="3">+D10+D7</f>
        <v>54210516000</v>
      </c>
      <c r="E11" s="9">
        <f t="shared" si="3"/>
        <v>53817811000</v>
      </c>
      <c r="F11" s="9">
        <f t="shared" si="3"/>
        <v>56591732000</v>
      </c>
      <c r="G11" s="9">
        <f t="shared" si="3"/>
        <v>58708552000</v>
      </c>
      <c r="H11" s="9">
        <f t="shared" si="3"/>
        <v>63506791000</v>
      </c>
      <c r="I11" s="238">
        <f t="shared" si="3"/>
        <v>0</v>
      </c>
      <c r="J11" s="125"/>
      <c r="K11" s="145"/>
    </row>
    <row r="12" spans="2:12" ht="25.5">
      <c r="B12" s="10" t="s">
        <v>273</v>
      </c>
      <c r="C12" s="11">
        <f>+C81</f>
        <v>2858110000</v>
      </c>
      <c r="D12" s="11">
        <f t="shared" ref="D12:I12" si="4">+D81</f>
        <v>2660039000</v>
      </c>
      <c r="E12" s="11">
        <f t="shared" si="4"/>
        <v>3130542000</v>
      </c>
      <c r="F12" s="11">
        <f t="shared" si="4"/>
        <v>3904326000</v>
      </c>
      <c r="G12" s="11">
        <f t="shared" si="4"/>
        <v>4388038000</v>
      </c>
      <c r="H12" s="11">
        <f t="shared" si="4"/>
        <v>6239774000</v>
      </c>
      <c r="I12" s="252">
        <f t="shared" si="4"/>
        <v>0</v>
      </c>
      <c r="K12" s="145"/>
    </row>
    <row r="13" spans="2:12" ht="25.5">
      <c r="B13" s="10" t="s">
        <v>274</v>
      </c>
      <c r="C13" s="11">
        <f>+C86</f>
        <v>15655111000</v>
      </c>
      <c r="D13" s="11">
        <f t="shared" ref="D13:I13" si="5">+D86</f>
        <v>16034102000</v>
      </c>
      <c r="E13" s="11">
        <f t="shared" si="5"/>
        <v>13796820000</v>
      </c>
      <c r="F13" s="11">
        <f t="shared" si="5"/>
        <v>14483201000</v>
      </c>
      <c r="G13" s="11">
        <f t="shared" si="5"/>
        <v>14210951000</v>
      </c>
      <c r="H13" s="11">
        <f t="shared" si="5"/>
        <v>15006419000</v>
      </c>
      <c r="I13" s="252">
        <f t="shared" si="5"/>
        <v>0</v>
      </c>
      <c r="K13" s="145"/>
    </row>
    <row r="14" spans="2:12" ht="25.5">
      <c r="B14" s="12" t="s">
        <v>275</v>
      </c>
      <c r="C14" s="13">
        <f>+C13+C12</f>
        <v>18513221000</v>
      </c>
      <c r="D14" s="13">
        <f t="shared" ref="D14:I14" si="6">+D13+D12</f>
        <v>18694141000</v>
      </c>
      <c r="E14" s="13">
        <f t="shared" si="6"/>
        <v>16927362000</v>
      </c>
      <c r="F14" s="13">
        <f t="shared" si="6"/>
        <v>18387527000</v>
      </c>
      <c r="G14" s="13">
        <f t="shared" si="6"/>
        <v>18598989000</v>
      </c>
      <c r="H14" s="13">
        <f t="shared" si="6"/>
        <v>21246193000</v>
      </c>
      <c r="I14" s="238">
        <f t="shared" si="6"/>
        <v>0</v>
      </c>
      <c r="K14" s="145"/>
    </row>
    <row r="15" spans="2:12" ht="25.5">
      <c r="B15" s="14" t="s">
        <v>628</v>
      </c>
      <c r="C15" s="15">
        <f>+C99</f>
        <v>34850892000</v>
      </c>
      <c r="D15" s="15">
        <f t="shared" ref="D15:I15" si="7">+D99</f>
        <v>35271643000</v>
      </c>
      <c r="E15" s="15">
        <f t="shared" si="7"/>
        <v>36631788000</v>
      </c>
      <c r="F15" s="15">
        <f t="shared" si="7"/>
        <v>37923463000</v>
      </c>
      <c r="G15" s="15">
        <f t="shared" si="7"/>
        <v>39819112000</v>
      </c>
      <c r="H15" s="15">
        <f t="shared" si="7"/>
        <v>41951967000</v>
      </c>
      <c r="I15" s="238">
        <f t="shared" si="7"/>
        <v>0</v>
      </c>
      <c r="J15" s="125"/>
      <c r="K15" s="145"/>
    </row>
    <row r="16" spans="2:12" ht="25.5">
      <c r="B16" s="79" t="s">
        <v>278</v>
      </c>
      <c r="C16" s="80">
        <v>48000000</v>
      </c>
      <c r="D16" s="80">
        <v>48000000</v>
      </c>
      <c r="E16" s="80">
        <v>48000000</v>
      </c>
      <c r="F16" s="80">
        <v>48000000</v>
      </c>
      <c r="G16" s="80">
        <v>48000000</v>
      </c>
      <c r="H16" s="80">
        <v>48000000</v>
      </c>
      <c r="I16" s="252"/>
      <c r="J16" s="125"/>
      <c r="K16" s="148"/>
    </row>
    <row r="17" spans="2:11">
      <c r="I17" s="253"/>
    </row>
    <row r="18" spans="2:11" ht="25.5">
      <c r="B18" s="18" t="s">
        <v>279</v>
      </c>
      <c r="C18" s="19">
        <f t="shared" ref="C18:I18" si="8">(C15/C16)</f>
        <v>726.06025</v>
      </c>
      <c r="D18" s="19">
        <f t="shared" si="8"/>
        <v>734.82589583333333</v>
      </c>
      <c r="E18" s="19">
        <f t="shared" si="8"/>
        <v>763.16224999999997</v>
      </c>
      <c r="F18" s="19">
        <f t="shared" si="8"/>
        <v>790.07214583333337</v>
      </c>
      <c r="G18" s="19">
        <f t="shared" si="8"/>
        <v>829.56483333333335</v>
      </c>
      <c r="H18" s="19">
        <f t="shared" si="8"/>
        <v>873.99931249999997</v>
      </c>
      <c r="I18" s="254" t="e">
        <f t="shared" si="8"/>
        <v>#DIV/0!</v>
      </c>
      <c r="J18" s="125"/>
      <c r="K18" s="149"/>
    </row>
    <row r="19" spans="2:11" ht="25.5">
      <c r="B19" s="76" t="s">
        <v>282</v>
      </c>
      <c r="C19" s="77">
        <v>3181</v>
      </c>
      <c r="D19" s="77">
        <v>2912</v>
      </c>
      <c r="E19" s="77">
        <v>2410</v>
      </c>
      <c r="F19" s="77">
        <v>2217</v>
      </c>
      <c r="G19" s="77">
        <v>1760</v>
      </c>
      <c r="H19" s="101">
        <v>1760</v>
      </c>
      <c r="I19" s="253"/>
      <c r="K19" s="149"/>
    </row>
    <row r="20" spans="2:11" ht="25.5">
      <c r="B20" s="18" t="s">
        <v>283</v>
      </c>
      <c r="C20" s="22">
        <f>+C19/C40</f>
        <v>20.06433707581683</v>
      </c>
      <c r="D20" s="22">
        <f t="shared" ref="D20:I20" si="9">+D19/D40</f>
        <v>21.28343809384593</v>
      </c>
      <c r="E20" s="22">
        <f t="shared" si="9"/>
        <v>15.26862645717182</v>
      </c>
      <c r="F20" s="22">
        <f t="shared" si="9"/>
        <v>13.93463230672533</v>
      </c>
      <c r="G20" s="22">
        <f t="shared" si="9"/>
        <v>10.676372459811951</v>
      </c>
      <c r="H20" s="22">
        <f t="shared" si="9"/>
        <v>8.060084264517311</v>
      </c>
      <c r="I20" s="246" t="e">
        <f t="shared" si="9"/>
        <v>#DIV/0!</v>
      </c>
    </row>
    <row r="21" spans="2:11" ht="25.5">
      <c r="B21" s="18" t="s">
        <v>380</v>
      </c>
      <c r="C21" s="22">
        <f t="shared" ref="C21:I21" si="10">+C19/C18</f>
        <v>4.3811791101358324</v>
      </c>
      <c r="D21" s="22">
        <f t="shared" si="10"/>
        <v>3.9628434660670613</v>
      </c>
      <c r="E21" s="22">
        <f t="shared" si="10"/>
        <v>3.1579130125998764</v>
      </c>
      <c r="F21" s="22">
        <f t="shared" si="10"/>
        <v>2.8060728525767806</v>
      </c>
      <c r="G21" s="22">
        <f t="shared" si="10"/>
        <v>2.1215942736241833</v>
      </c>
      <c r="H21" s="22">
        <f t="shared" si="10"/>
        <v>2.0137315611446778</v>
      </c>
      <c r="I21" s="246" t="e">
        <f t="shared" si="10"/>
        <v>#DIV/0!</v>
      </c>
      <c r="K21" s="150"/>
    </row>
    <row r="22" spans="2:11" ht="25.5">
      <c r="B22" s="18" t="s">
        <v>285</v>
      </c>
      <c r="C22" s="22">
        <f>+C20*C21</f>
        <v>87.905454455292571</v>
      </c>
      <c r="D22" s="22">
        <f t="shared" ref="D22:I22" si="11">+D20*D21</f>
        <v>84.342933585640139</v>
      </c>
      <c r="E22" s="22">
        <f t="shared" si="11"/>
        <v>48.216994173629637</v>
      </c>
      <c r="F22" s="22">
        <f t="shared" si="11"/>
        <v>39.101593426541314</v>
      </c>
      <c r="G22" s="22">
        <f t="shared" si="11"/>
        <v>22.650930673815971</v>
      </c>
      <c r="H22" s="22">
        <f t="shared" si="11"/>
        <v>16.230846068944096</v>
      </c>
      <c r="I22" s="246" t="e">
        <f t="shared" si="11"/>
        <v>#DIV/0!</v>
      </c>
    </row>
    <row r="23" spans="2:11" ht="25.5">
      <c r="B23" s="23" t="s">
        <v>286</v>
      </c>
      <c r="C23" s="24">
        <f>IF(C41&lt;10%,0,IF(15%&lt;C41,2,1))</f>
        <v>2</v>
      </c>
      <c r="D23" s="24">
        <f>IF(D41&lt;10%,0,IF(15%&lt;D41,2,1))</f>
        <v>2</v>
      </c>
      <c r="E23" s="24">
        <f t="shared" ref="E23:I23" si="12">IF(E41&lt;10%,0,IF(15%&lt;E41,2,1))</f>
        <v>2</v>
      </c>
      <c r="F23" s="24">
        <f t="shared" si="12"/>
        <v>2</v>
      </c>
      <c r="G23" s="24">
        <f t="shared" si="12"/>
        <v>2</v>
      </c>
      <c r="H23" s="24">
        <f t="shared" si="12"/>
        <v>2</v>
      </c>
      <c r="I23" s="246" t="e">
        <f t="shared" si="12"/>
        <v>#DIV/0!</v>
      </c>
    </row>
    <row r="24" spans="2:11" ht="25.5">
      <c r="B24" s="23" t="s">
        <v>287</v>
      </c>
      <c r="C24" s="24">
        <f>IF(C41&lt;10%,1,IF(15%&lt;C41,2.5,2))</f>
        <v>2.5</v>
      </c>
      <c r="D24" s="24">
        <f t="shared" ref="D24:I24" si="13">IF(D41&lt;10%,1,IF(15%&lt;D41,2.5,2))</f>
        <v>2.5</v>
      </c>
      <c r="E24" s="24">
        <f t="shared" si="13"/>
        <v>2.5</v>
      </c>
      <c r="F24" s="24">
        <f t="shared" si="13"/>
        <v>2.5</v>
      </c>
      <c r="G24" s="24">
        <f t="shared" si="13"/>
        <v>2.5</v>
      </c>
      <c r="H24" s="24">
        <f t="shared" si="13"/>
        <v>2.5</v>
      </c>
      <c r="I24" s="246" t="e">
        <f t="shared" si="13"/>
        <v>#DIV/0!</v>
      </c>
    </row>
    <row r="25" spans="2:11" ht="25.5">
      <c r="B25" s="25" t="s">
        <v>288</v>
      </c>
      <c r="C25" s="26">
        <f t="shared" ref="C25:I25" si="14">+C23*C18</f>
        <v>1452.1205</v>
      </c>
      <c r="D25" s="26">
        <f t="shared" si="14"/>
        <v>1469.6517916666667</v>
      </c>
      <c r="E25" s="26">
        <f t="shared" si="14"/>
        <v>1526.3244999999999</v>
      </c>
      <c r="F25" s="26">
        <f t="shared" si="14"/>
        <v>1580.1442916666667</v>
      </c>
      <c r="G25" s="26">
        <f t="shared" si="14"/>
        <v>1659.1296666666667</v>
      </c>
      <c r="H25" s="26">
        <f t="shared" si="14"/>
        <v>1747.9986249999999</v>
      </c>
      <c r="I25" s="246" t="e">
        <f t="shared" si="14"/>
        <v>#DIV/0!</v>
      </c>
    </row>
    <row r="26" spans="2:11" ht="25.5">
      <c r="B26" s="25" t="s">
        <v>289</v>
      </c>
      <c r="C26" s="26">
        <f>AVERAGE(C25,C27)</f>
        <v>1633.6355625000001</v>
      </c>
      <c r="D26" s="26">
        <f t="shared" ref="D26:I26" si="15">AVERAGE(D25,D27)</f>
        <v>1653.3582656250001</v>
      </c>
      <c r="E26" s="26">
        <f t="shared" si="15"/>
        <v>1717.1150625</v>
      </c>
      <c r="F26" s="26">
        <f t="shared" si="15"/>
        <v>1777.6623281249999</v>
      </c>
      <c r="G26" s="26">
        <f t="shared" si="15"/>
        <v>1866.5208750000002</v>
      </c>
      <c r="H26" s="26">
        <f t="shared" si="15"/>
        <v>1966.4984531249997</v>
      </c>
      <c r="I26" s="246" t="e">
        <f t="shared" si="15"/>
        <v>#DIV/0!</v>
      </c>
    </row>
    <row r="27" spans="2:11" ht="25.5">
      <c r="B27" s="25" t="s">
        <v>290</v>
      </c>
      <c r="C27" s="26">
        <f t="shared" ref="C27:I27" si="16">+C18*C24</f>
        <v>1815.150625</v>
      </c>
      <c r="D27" s="26">
        <f t="shared" si="16"/>
        <v>1837.0647395833334</v>
      </c>
      <c r="E27" s="26">
        <f t="shared" si="16"/>
        <v>1907.9056249999999</v>
      </c>
      <c r="F27" s="26">
        <f t="shared" si="16"/>
        <v>1975.1803645833334</v>
      </c>
      <c r="G27" s="26">
        <f t="shared" si="16"/>
        <v>2073.9120833333336</v>
      </c>
      <c r="H27" s="26">
        <f t="shared" si="16"/>
        <v>2184.9982812499998</v>
      </c>
      <c r="I27" s="246" t="e">
        <f t="shared" si="16"/>
        <v>#DIV/0!</v>
      </c>
    </row>
    <row r="28" spans="2:11">
      <c r="I28" s="253"/>
    </row>
    <row r="29" spans="2:11" ht="25.5">
      <c r="B29" s="243" t="s">
        <v>291</v>
      </c>
      <c r="C29" s="81">
        <f t="shared" ref="C29:I29" si="17">C7-C12</f>
        <v>23488802000</v>
      </c>
      <c r="D29" s="81">
        <f t="shared" si="17"/>
        <v>23438236000</v>
      </c>
      <c r="E29" s="81">
        <f t="shared" si="17"/>
        <v>21674511000</v>
      </c>
      <c r="F29" s="81">
        <f t="shared" si="17"/>
        <v>22018703000</v>
      </c>
      <c r="G29" s="81">
        <f t="shared" si="17"/>
        <v>22901035000</v>
      </c>
      <c r="H29" s="81">
        <f t="shared" si="17"/>
        <v>21831357000</v>
      </c>
      <c r="I29" s="29">
        <f t="shared" si="17"/>
        <v>0</v>
      </c>
      <c r="K29" s="145"/>
    </row>
    <row r="30" spans="2:11" ht="25.5">
      <c r="B30" s="30" t="s">
        <v>149</v>
      </c>
      <c r="C30" s="241">
        <f t="shared" ref="C30:I30" si="18">C7/C12</f>
        <v>9.2182988058542179</v>
      </c>
      <c r="D30" s="241">
        <f t="shared" si="18"/>
        <v>9.8112377299731328</v>
      </c>
      <c r="E30" s="241">
        <f t="shared" si="18"/>
        <v>7.9235649928989931</v>
      </c>
      <c r="F30" s="241">
        <f t="shared" si="18"/>
        <v>6.6395657022492482</v>
      </c>
      <c r="G30" s="241">
        <f t="shared" si="18"/>
        <v>6.218969161160409</v>
      </c>
      <c r="H30" s="242">
        <f t="shared" si="18"/>
        <v>4.4987416210907636</v>
      </c>
      <c r="I30" s="255" t="e">
        <f t="shared" si="18"/>
        <v>#DIV/0!</v>
      </c>
      <c r="K30" s="150"/>
    </row>
    <row r="31" spans="2:11" ht="25.5">
      <c r="B31" s="30" t="s">
        <v>292</v>
      </c>
      <c r="C31" s="241">
        <f t="shared" ref="C31:I31" si="19">+(C7-C9)/C12</f>
        <v>9.2182988058542179</v>
      </c>
      <c r="D31" s="241">
        <f t="shared" si="19"/>
        <v>9.8112377299731328</v>
      </c>
      <c r="E31" s="241">
        <f t="shared" si="19"/>
        <v>7.9235649928989931</v>
      </c>
      <c r="F31" s="241">
        <f t="shared" si="19"/>
        <v>6.6395657022492482</v>
      </c>
      <c r="G31" s="241">
        <f t="shared" si="19"/>
        <v>6.218969161160409</v>
      </c>
      <c r="H31" s="241">
        <f t="shared" si="19"/>
        <v>4.4987416210907636</v>
      </c>
      <c r="I31" s="151" t="e">
        <f t="shared" si="19"/>
        <v>#DIV/0!</v>
      </c>
      <c r="K31" s="150"/>
    </row>
    <row r="32" spans="2:11" ht="25.5">
      <c r="B32" s="32" t="s">
        <v>153</v>
      </c>
      <c r="C32" s="33">
        <f t="shared" ref="C32:I32" si="20">C14/C11</f>
        <v>0.3453055871336343</v>
      </c>
      <c r="D32" s="33">
        <f t="shared" si="20"/>
        <v>0.34484344329059696</v>
      </c>
      <c r="E32" s="33">
        <f t="shared" si="20"/>
        <v>0.31453085299214417</v>
      </c>
      <c r="F32" s="33">
        <f t="shared" si="20"/>
        <v>0.32491543110926524</v>
      </c>
      <c r="G32" s="33">
        <f t="shared" si="20"/>
        <v>0.31680203933491669</v>
      </c>
      <c r="H32" s="33">
        <f t="shared" si="20"/>
        <v>0.33454993813181333</v>
      </c>
      <c r="I32" s="239" t="e">
        <f t="shared" si="20"/>
        <v>#DIV/0!</v>
      </c>
      <c r="K32" s="152"/>
    </row>
    <row r="33" spans="2:14">
      <c r="I33" s="253"/>
    </row>
    <row r="34" spans="2:14" ht="18">
      <c r="I34" s="253"/>
      <c r="J34" s="34"/>
      <c r="M34" s="34"/>
      <c r="N34" s="34"/>
    </row>
    <row r="35" spans="2:14" ht="25.5">
      <c r="B35" s="35" t="s">
        <v>293</v>
      </c>
      <c r="C35" s="36">
        <f>+C106</f>
        <v>21473562000</v>
      </c>
      <c r="D35" s="36">
        <f t="shared" ref="D35:H35" si="21">+D106</f>
        <v>21551002000</v>
      </c>
      <c r="E35" s="36">
        <f t="shared" si="21"/>
        <v>22832462000</v>
      </c>
      <c r="F35" s="36">
        <f t="shared" si="21"/>
        <v>24480080000</v>
      </c>
      <c r="G35" s="36">
        <f t="shared" si="21"/>
        <v>26906238000</v>
      </c>
      <c r="H35" s="36">
        <f t="shared" si="21"/>
        <v>29703506000</v>
      </c>
      <c r="I35" s="252">
        <f t="shared" ref="I35" si="22">+I106</f>
        <v>0</v>
      </c>
      <c r="J35" s="128"/>
      <c r="K35" s="145"/>
      <c r="M35" s="37"/>
      <c r="N35" s="38"/>
    </row>
    <row r="36" spans="2:14" ht="25.5">
      <c r="B36" s="39" t="s">
        <v>181</v>
      </c>
      <c r="C36" s="40">
        <f>+C112</f>
        <v>9921131000</v>
      </c>
      <c r="D36" s="40">
        <f t="shared" ref="D36:H36" si="23">+D112</f>
        <v>14726758000</v>
      </c>
      <c r="E36" s="40">
        <f t="shared" si="23"/>
        <v>15578000000</v>
      </c>
      <c r="F36" s="40">
        <f t="shared" si="23"/>
        <v>10917365000</v>
      </c>
      <c r="G36" s="40">
        <f t="shared" si="23"/>
        <v>12255496000</v>
      </c>
      <c r="H36" s="40">
        <f t="shared" si="23"/>
        <v>13366213000</v>
      </c>
      <c r="I36" s="238">
        <f t="shared" ref="I36" si="24">+I113</f>
        <v>0</v>
      </c>
      <c r="J36" s="128"/>
      <c r="K36" s="145"/>
      <c r="M36" s="37"/>
      <c r="N36" s="38"/>
    </row>
    <row r="37" spans="2:14" ht="25.5">
      <c r="B37" s="35" t="s">
        <v>294</v>
      </c>
      <c r="C37" s="41">
        <f>C36/C35</f>
        <v>0.46201608284643225</v>
      </c>
      <c r="D37" s="41">
        <f t="shared" ref="D37:H37" si="25">D36/D35</f>
        <v>0.68334446815976357</v>
      </c>
      <c r="E37" s="41">
        <f t="shared" si="25"/>
        <v>0.68227421116478815</v>
      </c>
      <c r="F37" s="41">
        <f t="shared" si="25"/>
        <v>0.44596933506753245</v>
      </c>
      <c r="G37" s="41">
        <f t="shared" si="25"/>
        <v>0.45548902079881998</v>
      </c>
      <c r="H37" s="41">
        <f t="shared" si="25"/>
        <v>0.44998772198810472</v>
      </c>
      <c r="I37" s="239" t="e">
        <f t="shared" ref="I37" si="26">I36/I35</f>
        <v>#DIV/0!</v>
      </c>
      <c r="J37" s="38"/>
      <c r="K37" s="153"/>
      <c r="M37" s="42"/>
      <c r="N37" s="38"/>
    </row>
    <row r="38" spans="2:14" ht="25.5">
      <c r="B38" s="43" t="s">
        <v>295</v>
      </c>
      <c r="C38" s="44">
        <f>+C120</f>
        <v>7610035000</v>
      </c>
      <c r="D38" s="44">
        <f t="shared" ref="D38:H38" si="27">+D120</f>
        <v>6567546000</v>
      </c>
      <c r="E38" s="44">
        <f t="shared" si="27"/>
        <v>7576313000</v>
      </c>
      <c r="F38" s="44">
        <f t="shared" si="27"/>
        <v>7636866000</v>
      </c>
      <c r="G38" s="44">
        <f t="shared" si="27"/>
        <v>7912657000</v>
      </c>
      <c r="H38" s="44">
        <f t="shared" si="27"/>
        <v>10481492000</v>
      </c>
      <c r="I38" s="238">
        <f t="shared" ref="I38" si="28">+I121</f>
        <v>0</v>
      </c>
      <c r="J38" s="128"/>
      <c r="K38" s="145"/>
      <c r="M38" s="37"/>
      <c r="N38" s="38"/>
    </row>
    <row r="39" spans="2:14" ht="25.5">
      <c r="B39" s="30" t="s">
        <v>296</v>
      </c>
      <c r="C39" s="45">
        <f>C38/C35</f>
        <v>0.35439090170508275</v>
      </c>
      <c r="D39" s="45">
        <f t="shared" ref="D39:H39" si="29">D38/D35</f>
        <v>0.30474434552973456</v>
      </c>
      <c r="E39" s="45">
        <f t="shared" si="29"/>
        <v>0.33182199098809406</v>
      </c>
      <c r="F39" s="45">
        <f t="shared" si="29"/>
        <v>0.31196246090699048</v>
      </c>
      <c r="G39" s="45">
        <f t="shared" si="29"/>
        <v>0.29408262128655815</v>
      </c>
      <c r="H39" s="45">
        <f t="shared" si="29"/>
        <v>0.35287053319564365</v>
      </c>
      <c r="I39" s="239" t="e">
        <f t="shared" ref="I39" si="30">I38/I35</f>
        <v>#DIV/0!</v>
      </c>
      <c r="J39" s="38"/>
      <c r="K39" s="153"/>
      <c r="M39" s="42"/>
      <c r="N39" s="38"/>
    </row>
    <row r="40" spans="2:14" ht="25.5">
      <c r="B40" s="46" t="s">
        <v>159</v>
      </c>
      <c r="C40" s="121">
        <f>+C123</f>
        <v>158.54</v>
      </c>
      <c r="D40" s="121">
        <f t="shared" ref="D40:H40" si="31">+D123</f>
        <v>136.82</v>
      </c>
      <c r="E40" s="121">
        <f t="shared" si="31"/>
        <v>157.84</v>
      </c>
      <c r="F40" s="121">
        <f t="shared" si="31"/>
        <v>159.1</v>
      </c>
      <c r="G40" s="121">
        <f t="shared" si="31"/>
        <v>164.85</v>
      </c>
      <c r="H40" s="121">
        <f t="shared" si="31"/>
        <v>218.36</v>
      </c>
      <c r="I40" s="256">
        <f t="shared" ref="I40" si="32">+I123</f>
        <v>0</v>
      </c>
      <c r="J40" s="42"/>
      <c r="K40" s="145"/>
      <c r="M40" s="37"/>
      <c r="N40" s="38"/>
    </row>
    <row r="41" spans="2:14" ht="25.5">
      <c r="B41" s="48" t="s">
        <v>160</v>
      </c>
      <c r="C41" s="49">
        <f t="shared" ref="C41:I41" si="33">C38/C15</f>
        <v>0.21835983423322422</v>
      </c>
      <c r="D41" s="49">
        <f t="shared" ref="D41:H41" si="34">D38/D15</f>
        <v>0.18619903813383459</v>
      </c>
      <c r="E41" s="49">
        <f t="shared" si="34"/>
        <v>0.20682345617418402</v>
      </c>
      <c r="F41" s="49">
        <f t="shared" si="34"/>
        <v>0.20137575516244388</v>
      </c>
      <c r="G41" s="49">
        <f t="shared" si="34"/>
        <v>0.19871505421818547</v>
      </c>
      <c r="H41" s="49">
        <f t="shared" si="34"/>
        <v>0.24984506685943952</v>
      </c>
      <c r="I41" s="240" t="e">
        <f t="shared" si="33"/>
        <v>#DIV/0!</v>
      </c>
      <c r="J41" s="42"/>
      <c r="K41" s="153"/>
      <c r="M41" s="37"/>
      <c r="N41" s="37"/>
    </row>
    <row r="42" spans="2:14" ht="25.5">
      <c r="B42" s="48" t="s">
        <v>382</v>
      </c>
      <c r="C42" s="49">
        <f>AVERAGE(C41:H41)</f>
        <v>0.21021970079688526</v>
      </c>
      <c r="D42" s="49"/>
      <c r="E42" s="49"/>
      <c r="F42" s="49"/>
      <c r="G42" s="49"/>
      <c r="H42" s="49"/>
      <c r="I42" s="49"/>
      <c r="J42" s="38"/>
      <c r="K42" s="38"/>
    </row>
    <row r="43" spans="2:14" ht="25.5">
      <c r="B43" s="48" t="s">
        <v>298</v>
      </c>
      <c r="C43" s="50">
        <f>+C135</f>
        <v>3971707000</v>
      </c>
      <c r="D43" s="50">
        <f t="shared" ref="D43:I43" si="35">+D135</f>
        <v>6490676000</v>
      </c>
      <c r="E43" s="50">
        <f t="shared" si="35"/>
        <v>2680194000</v>
      </c>
      <c r="F43" s="50">
        <f t="shared" si="35"/>
        <v>6808233000</v>
      </c>
      <c r="G43" s="50">
        <f t="shared" si="35"/>
        <v>8473755000</v>
      </c>
      <c r="H43" s="50">
        <f t="shared" si="35"/>
        <v>5672124000</v>
      </c>
      <c r="I43" s="257">
        <f t="shared" si="35"/>
        <v>0</v>
      </c>
      <c r="J43" s="38"/>
      <c r="K43" s="145"/>
      <c r="L43" s="38"/>
    </row>
    <row r="44" spans="2:14" ht="25.5">
      <c r="B44" s="908" t="s">
        <v>111</v>
      </c>
      <c r="C44" s="51">
        <f>SUM(C46:C50)</f>
        <v>160</v>
      </c>
      <c r="D44" s="51">
        <f t="shared" ref="D44:H44" si="36">SUM(D46:D50)</f>
        <v>125</v>
      </c>
      <c r="E44" s="51">
        <f t="shared" si="36"/>
        <v>118</v>
      </c>
      <c r="F44" s="51">
        <f t="shared" si="36"/>
        <v>125</v>
      </c>
      <c r="G44" s="51">
        <f t="shared" si="36"/>
        <v>133.22999999999999</v>
      </c>
      <c r="H44" s="51">
        <f t="shared" si="36"/>
        <v>162.31</v>
      </c>
      <c r="I44" s="258">
        <f>SUM(I46:I48)</f>
        <v>0</v>
      </c>
      <c r="J44" s="38"/>
      <c r="K44" s="38">
        <f>+K46+K47</f>
        <v>102</v>
      </c>
    </row>
    <row r="45" spans="2:14" ht="25.5">
      <c r="B45" s="908" t="s">
        <v>112</v>
      </c>
      <c r="C45" s="51">
        <f>+C46+C47+C48+C49</f>
        <v>160</v>
      </c>
      <c r="D45" s="51">
        <f t="shared" ref="D45:H45" si="37">+D46+D47+D48+D49</f>
        <v>125</v>
      </c>
      <c r="E45" s="51">
        <f t="shared" si="37"/>
        <v>118</v>
      </c>
      <c r="F45" s="51">
        <f t="shared" si="37"/>
        <v>125</v>
      </c>
      <c r="G45" s="51">
        <f t="shared" si="37"/>
        <v>133.22999999999999</v>
      </c>
      <c r="H45" s="51">
        <f t="shared" si="37"/>
        <v>162.31</v>
      </c>
      <c r="I45" s="258">
        <f t="shared" ref="I45" si="38">+I46+I47</f>
        <v>0</v>
      </c>
    </row>
    <row r="46" spans="2:14" ht="18">
      <c r="B46" s="909" t="s">
        <v>114</v>
      </c>
      <c r="C46" s="94">
        <v>115</v>
      </c>
      <c r="D46" s="94">
        <v>83</v>
      </c>
      <c r="E46" s="94">
        <v>79</v>
      </c>
      <c r="F46" s="94">
        <v>80</v>
      </c>
      <c r="G46" s="94">
        <v>86.33</v>
      </c>
      <c r="H46" s="94">
        <v>128.91</v>
      </c>
      <c r="I46" s="259"/>
      <c r="J46" s="38"/>
      <c r="K46" s="38">
        <v>82</v>
      </c>
      <c r="L46" s="38">
        <v>32.42389</v>
      </c>
    </row>
    <row r="47" spans="2:14" ht="18">
      <c r="B47" s="909" t="s">
        <v>115</v>
      </c>
      <c r="C47" s="94">
        <v>15</v>
      </c>
      <c r="D47" s="94">
        <v>12</v>
      </c>
      <c r="E47" s="94">
        <v>15</v>
      </c>
      <c r="F47" s="94">
        <v>13</v>
      </c>
      <c r="G47" s="94">
        <v>14.75</v>
      </c>
      <c r="H47" s="94">
        <v>21.49</v>
      </c>
      <c r="I47" s="259"/>
      <c r="J47" s="38"/>
      <c r="K47" s="38">
        <v>20</v>
      </c>
    </row>
    <row r="48" spans="2:14" ht="18">
      <c r="B48" s="909" t="s">
        <v>116</v>
      </c>
      <c r="C48" s="94">
        <v>15</v>
      </c>
      <c r="D48" s="94">
        <v>15</v>
      </c>
      <c r="E48" s="94">
        <v>10</v>
      </c>
      <c r="F48" s="94">
        <v>14</v>
      </c>
      <c r="G48" s="94">
        <v>16.399999999999999</v>
      </c>
      <c r="H48" s="94">
        <v>11.91</v>
      </c>
      <c r="I48" s="259"/>
      <c r="J48" s="38"/>
      <c r="K48" s="38"/>
    </row>
    <row r="49" spans="2:12" ht="18">
      <c r="B49" s="909" t="s">
        <v>117</v>
      </c>
      <c r="C49" s="94">
        <v>15</v>
      </c>
      <c r="D49" s="94">
        <v>15</v>
      </c>
      <c r="E49" s="94">
        <v>14</v>
      </c>
      <c r="F49" s="94">
        <v>18</v>
      </c>
      <c r="G49" s="94">
        <v>15.75</v>
      </c>
      <c r="H49" s="94"/>
      <c r="I49" s="260"/>
      <c r="J49" s="38"/>
      <c r="K49" s="38"/>
    </row>
    <row r="50" spans="2:12" ht="18">
      <c r="B50" s="908" t="s">
        <v>119</v>
      </c>
      <c r="C50" s="94"/>
      <c r="D50" s="94"/>
      <c r="E50" s="94"/>
      <c r="F50" s="94"/>
      <c r="G50" s="94"/>
      <c r="H50" s="94"/>
      <c r="I50" s="260"/>
      <c r="J50" s="38"/>
      <c r="K50" s="38"/>
    </row>
    <row r="51" spans="2:12" ht="18">
      <c r="B51" s="908" t="s">
        <v>120</v>
      </c>
      <c r="C51" s="94"/>
      <c r="D51" s="94"/>
      <c r="E51" s="94"/>
      <c r="F51" s="94"/>
      <c r="G51" s="94"/>
      <c r="H51" s="94"/>
      <c r="I51" s="260"/>
      <c r="J51" s="38"/>
      <c r="K51" s="38"/>
    </row>
    <row r="52" spans="2:12" ht="18">
      <c r="B52" s="909" t="s">
        <v>121</v>
      </c>
      <c r="C52" s="94"/>
      <c r="D52" s="94"/>
      <c r="E52" s="94"/>
      <c r="F52" s="94"/>
      <c r="G52" s="94"/>
      <c r="H52" s="94"/>
      <c r="I52" s="260"/>
      <c r="J52" s="38"/>
      <c r="K52" s="38"/>
    </row>
    <row r="53" spans="2:12" ht="18">
      <c r="B53" s="909" t="s">
        <v>122</v>
      </c>
      <c r="C53" s="94"/>
      <c r="D53" s="94"/>
      <c r="E53" s="94"/>
      <c r="F53" s="94"/>
      <c r="G53" s="94"/>
      <c r="H53" s="94"/>
      <c r="I53" s="260"/>
      <c r="J53" s="38"/>
      <c r="K53" s="38"/>
    </row>
    <row r="54" spans="2:12" ht="18">
      <c r="B54" s="909" t="s">
        <v>123</v>
      </c>
      <c r="C54" s="94"/>
      <c r="D54" s="94"/>
      <c r="E54" s="94"/>
      <c r="F54" s="94"/>
      <c r="G54" s="94"/>
      <c r="H54" s="94"/>
      <c r="I54" s="260"/>
      <c r="J54" s="38"/>
      <c r="K54" s="38"/>
    </row>
    <row r="55" spans="2:12" ht="18">
      <c r="B55" s="909" t="s">
        <v>124</v>
      </c>
      <c r="C55" s="94"/>
      <c r="D55" s="94"/>
      <c r="E55" s="94"/>
      <c r="F55" s="94"/>
      <c r="G55" s="94"/>
      <c r="H55" s="94"/>
      <c r="I55" s="260"/>
      <c r="J55" s="38"/>
      <c r="K55" s="38"/>
    </row>
    <row r="56" spans="2:12" ht="28.5">
      <c r="B56" s="135" t="s">
        <v>167</v>
      </c>
      <c r="C56" s="156">
        <f t="shared" ref="C56:I56" si="39">(C47+C48+C49+D46)/C40</f>
        <v>0.80736722593667221</v>
      </c>
      <c r="D56" s="156">
        <f t="shared" si="39"/>
        <v>0.88437362958631782</v>
      </c>
      <c r="E56" s="156">
        <f t="shared" si="39"/>
        <v>0.75392802838317285</v>
      </c>
      <c r="F56" s="156">
        <f t="shared" si="39"/>
        <v>0.82545568824638582</v>
      </c>
      <c r="G56" s="156">
        <f t="shared" si="39"/>
        <v>1.0664846830451926</v>
      </c>
      <c r="H56" s="156">
        <f t="shared" si="39"/>
        <v>0.15295841729254442</v>
      </c>
      <c r="I56" s="261" t="e">
        <f t="shared" si="39"/>
        <v>#DIV/0!</v>
      </c>
      <c r="J56" s="38"/>
      <c r="K56" s="52" t="e">
        <f>+(K47+L46)/K40</f>
        <v>#DIV/0!</v>
      </c>
    </row>
    <row r="57" spans="2:12" ht="23.25">
      <c r="B57" s="143" t="s">
        <v>299</v>
      </c>
      <c r="C57" s="144">
        <f t="shared" ref="C57:I57" si="40">+C44/C19</f>
        <v>5.0298648223828984E-2</v>
      </c>
      <c r="D57" s="144">
        <f t="shared" si="40"/>
        <v>4.2925824175824176E-2</v>
      </c>
      <c r="E57" s="144">
        <f t="shared" si="40"/>
        <v>4.8962655601659751E-2</v>
      </c>
      <c r="F57" s="144">
        <f t="shared" si="40"/>
        <v>5.6382498872350022E-2</v>
      </c>
      <c r="G57" s="144">
        <f t="shared" si="40"/>
        <v>7.5698863636363634E-2</v>
      </c>
      <c r="H57" s="144">
        <f t="shared" si="40"/>
        <v>9.2221590909090906E-2</v>
      </c>
      <c r="I57" s="262" t="e">
        <f t="shared" si="40"/>
        <v>#DIV/0!</v>
      </c>
      <c r="K57" s="154" t="e">
        <f>+K44/#REF!</f>
        <v>#REF!</v>
      </c>
      <c r="L57" s="154">
        <f>57/1278</f>
        <v>4.4600938967136149E-2</v>
      </c>
    </row>
    <row r="58" spans="2:12" ht="25.5">
      <c r="B58" s="354" t="s">
        <v>176</v>
      </c>
      <c r="C58" s="355">
        <f t="shared" ref="C58:I58" si="41">+C41*(100%-C56)</f>
        <v>4.2063260612354395E-2</v>
      </c>
      <c r="D58" s="355">
        <f t="shared" si="41"/>
        <v>2.1529518953934092E-2</v>
      </c>
      <c r="E58" s="355">
        <f t="shared" si="41"/>
        <v>5.0893455637387904E-2</v>
      </c>
      <c r="F58" s="355">
        <f t="shared" si="41"/>
        <v>3.5148992588693084E-2</v>
      </c>
      <c r="G58" s="355">
        <f t="shared" si="41"/>
        <v>-1.3211507396004327E-2</v>
      </c>
      <c r="H58" s="355">
        <f t="shared" si="41"/>
        <v>0.21162916086426969</v>
      </c>
      <c r="I58" s="355" t="e">
        <f t="shared" si="41"/>
        <v>#DIV/0!</v>
      </c>
    </row>
    <row r="59" spans="2:12">
      <c r="I59" s="253"/>
    </row>
    <row r="60" spans="2:12">
      <c r="B60" s="75" t="s">
        <v>307</v>
      </c>
      <c r="I60" s="253"/>
    </row>
    <row r="61" spans="2:12" ht="14.65" thickBot="1">
      <c r="I61" s="253"/>
    </row>
    <row r="62" spans="2:12" ht="14.65" thickBot="1">
      <c r="B62" s="82" t="s">
        <v>308</v>
      </c>
      <c r="C62" s="88">
        <v>2017</v>
      </c>
      <c r="D62" s="88">
        <v>2018</v>
      </c>
      <c r="E62" s="88">
        <v>2019</v>
      </c>
      <c r="F62" s="88">
        <v>2020</v>
      </c>
      <c r="G62" s="88">
        <v>2021</v>
      </c>
      <c r="H62" s="89">
        <v>2022</v>
      </c>
      <c r="I62" s="263">
        <v>2023</v>
      </c>
    </row>
    <row r="63" spans="2:12">
      <c r="B63" s="57" t="s">
        <v>309</v>
      </c>
      <c r="C63" s="179"/>
      <c r="D63" s="179"/>
      <c r="E63" s="179"/>
      <c r="F63" s="179"/>
      <c r="G63" s="179"/>
      <c r="H63" s="184"/>
      <c r="I63" s="264"/>
    </row>
    <row r="64" spans="2:12">
      <c r="B64" s="58" t="s">
        <v>310</v>
      </c>
      <c r="C64" s="64">
        <v>26346912000</v>
      </c>
      <c r="D64" s="64">
        <v>26098275000</v>
      </c>
      <c r="E64" s="64">
        <v>24805053000</v>
      </c>
      <c r="F64" s="69">
        <v>25923029000</v>
      </c>
      <c r="G64" s="65">
        <v>27289073000</v>
      </c>
      <c r="H64" s="130">
        <v>28071131000</v>
      </c>
      <c r="I64" s="265"/>
    </row>
    <row r="65" spans="2:9">
      <c r="B65" s="59" t="s">
        <v>311</v>
      </c>
      <c r="C65" s="66">
        <v>3629242000</v>
      </c>
      <c r="D65" s="66">
        <v>3321680000</v>
      </c>
      <c r="E65" s="66">
        <v>3130034000</v>
      </c>
      <c r="F65" s="66">
        <v>5183707000</v>
      </c>
      <c r="G65" s="66">
        <v>8665768000</v>
      </c>
      <c r="H65" s="160">
        <v>6974243000</v>
      </c>
      <c r="I65" s="265"/>
    </row>
    <row r="66" spans="2:9">
      <c r="B66" s="59" t="s">
        <v>603</v>
      </c>
      <c r="C66" s="68">
        <v>20008119000</v>
      </c>
      <c r="D66" s="66">
        <v>19802827000</v>
      </c>
      <c r="E66" s="66">
        <v>18507950000</v>
      </c>
      <c r="F66" s="66">
        <v>18023570000</v>
      </c>
      <c r="G66" s="67">
        <v>16070378000</v>
      </c>
      <c r="H66" s="131">
        <v>17573840000</v>
      </c>
      <c r="I66" s="265"/>
    </row>
    <row r="67" spans="2:9">
      <c r="B67" s="59" t="s">
        <v>629</v>
      </c>
      <c r="C67" s="68">
        <v>1154316000</v>
      </c>
      <c r="D67" s="66">
        <v>2478344000</v>
      </c>
      <c r="E67" s="66">
        <v>2821797000</v>
      </c>
      <c r="F67" s="66">
        <v>124556000</v>
      </c>
      <c r="G67" s="67">
        <v>1834111000</v>
      </c>
      <c r="H67" s="131">
        <v>2296500000</v>
      </c>
      <c r="I67" s="265"/>
    </row>
    <row r="68" spans="2:9">
      <c r="B68" s="59" t="s">
        <v>630</v>
      </c>
      <c r="C68" s="66">
        <v>1264548000</v>
      </c>
      <c r="D68" s="66">
        <v>449752000</v>
      </c>
      <c r="E68" s="66">
        <v>288166000</v>
      </c>
      <c r="F68" s="66">
        <v>2245521000</v>
      </c>
      <c r="G68" s="67">
        <v>213367000</v>
      </c>
      <c r="H68" s="131">
        <v>421482000</v>
      </c>
      <c r="I68" s="265"/>
    </row>
    <row r="69" spans="2:9">
      <c r="B69" s="59" t="s">
        <v>631</v>
      </c>
      <c r="C69" s="66"/>
      <c r="D69" s="66">
        <v>4315000</v>
      </c>
      <c r="E69" s="66">
        <v>34609000</v>
      </c>
      <c r="F69" s="66">
        <v>345675000</v>
      </c>
      <c r="G69" s="132">
        <v>332537000</v>
      </c>
      <c r="H69" s="131">
        <v>666890000</v>
      </c>
      <c r="I69" s="265"/>
    </row>
    <row r="70" spans="2:9">
      <c r="B70" s="59" t="s">
        <v>317</v>
      </c>
      <c r="C70" s="66">
        <f t="shared" ref="C70:F70" si="42">+C64-C65-C66-C68-C67-C69</f>
        <v>290687000</v>
      </c>
      <c r="D70" s="66">
        <f t="shared" si="42"/>
        <v>41357000</v>
      </c>
      <c r="E70" s="66">
        <f t="shared" si="42"/>
        <v>22497000</v>
      </c>
      <c r="F70" s="66">
        <f t="shared" si="42"/>
        <v>0</v>
      </c>
      <c r="G70" s="66">
        <f>+G64-G65-G66-G68-G67-G69</f>
        <v>172912000</v>
      </c>
      <c r="H70" s="131">
        <f>+H64-H65-H66-H68</f>
        <v>3101566000</v>
      </c>
      <c r="I70" s="265">
        <f t="shared" ref="I70" si="43">+I64-I65-I66-I68</f>
        <v>0</v>
      </c>
    </row>
    <row r="71" spans="2:9">
      <c r="B71" s="58" t="s">
        <v>319</v>
      </c>
      <c r="C71" s="64">
        <v>27267109000</v>
      </c>
      <c r="D71" s="64">
        <v>28112241000</v>
      </c>
      <c r="E71" s="64">
        <v>29012758000</v>
      </c>
      <c r="F71" s="69">
        <v>30668703000</v>
      </c>
      <c r="G71" s="65">
        <v>31419479000</v>
      </c>
      <c r="H71" s="130">
        <v>35435660000</v>
      </c>
      <c r="I71" s="265"/>
    </row>
    <row r="72" spans="2:9">
      <c r="B72" s="59" t="s">
        <v>604</v>
      </c>
      <c r="C72" s="66">
        <v>4367830000</v>
      </c>
      <c r="D72" s="66">
        <v>3690533000</v>
      </c>
      <c r="E72" s="66">
        <v>4479059000</v>
      </c>
      <c r="F72" s="66">
        <v>5630935000</v>
      </c>
      <c r="G72" s="67">
        <v>5659555000</v>
      </c>
      <c r="H72" s="131">
        <v>7876463000</v>
      </c>
      <c r="I72" s="265"/>
    </row>
    <row r="73" spans="2:9">
      <c r="B73" s="59" t="s">
        <v>632</v>
      </c>
      <c r="C73" s="66">
        <v>2766262000</v>
      </c>
      <c r="D73" s="66">
        <v>3174508000</v>
      </c>
      <c r="E73" s="66">
        <v>3595972000</v>
      </c>
      <c r="F73" s="66">
        <v>4125178000</v>
      </c>
      <c r="G73" s="67">
        <v>4756863000</v>
      </c>
      <c r="H73" s="131">
        <v>5500255000</v>
      </c>
      <c r="I73" s="265"/>
    </row>
    <row r="74" spans="2:9">
      <c r="B74" s="59" t="s">
        <v>633</v>
      </c>
      <c r="C74" s="66">
        <v>3494515000</v>
      </c>
      <c r="D74" s="66">
        <v>4265362000</v>
      </c>
      <c r="E74" s="66">
        <v>4477700000</v>
      </c>
      <c r="F74" s="66">
        <v>3960330000</v>
      </c>
      <c r="G74" s="67">
        <v>4138340000</v>
      </c>
      <c r="H74" s="131">
        <v>4488168000</v>
      </c>
      <c r="I74" s="265"/>
    </row>
    <row r="75" spans="2:9">
      <c r="B75" s="59" t="s">
        <v>324</v>
      </c>
      <c r="C75" s="66">
        <v>15116205000</v>
      </c>
      <c r="D75" s="66">
        <v>15336422000</v>
      </c>
      <c r="E75" s="66">
        <v>14823663000</v>
      </c>
      <c r="F75" s="68">
        <v>14890592000</v>
      </c>
      <c r="G75" s="67">
        <v>14864185000</v>
      </c>
      <c r="H75" s="131">
        <v>14874543000</v>
      </c>
      <c r="I75" s="265"/>
    </row>
    <row r="76" spans="2:9">
      <c r="B76" s="59" t="s">
        <v>634</v>
      </c>
      <c r="C76" s="66">
        <v>1522297000</v>
      </c>
      <c r="D76" s="66">
        <v>1645416000</v>
      </c>
      <c r="E76" s="66">
        <v>1636364000</v>
      </c>
      <c r="F76" s="66">
        <v>275197000</v>
      </c>
      <c r="G76" s="132">
        <v>204934000</v>
      </c>
      <c r="H76" s="197">
        <v>134671000</v>
      </c>
      <c r="I76" s="265"/>
    </row>
    <row r="77" spans="2:9">
      <c r="B77" s="59" t="s">
        <v>635</v>
      </c>
      <c r="C77" s="66">
        <f t="shared" ref="C77:G77" si="44">+C71-C74-C75-C73-C72-C76</f>
        <v>0</v>
      </c>
      <c r="D77" s="66">
        <f t="shared" si="44"/>
        <v>0</v>
      </c>
      <c r="E77" s="66">
        <f t="shared" si="44"/>
        <v>0</v>
      </c>
      <c r="F77" s="66">
        <f t="shared" si="44"/>
        <v>1786471000</v>
      </c>
      <c r="G77" s="66">
        <f t="shared" si="44"/>
        <v>1795602000</v>
      </c>
      <c r="H77" s="160">
        <f>+H71-H74-H75-H73-H72-H76</f>
        <v>2561560000</v>
      </c>
      <c r="I77" s="266">
        <f t="shared" ref="I77" si="45">+I71-I74-I75-I73-I72-I76</f>
        <v>0</v>
      </c>
    </row>
    <row r="78" spans="2:9" ht="14.65" thickBot="1">
      <c r="B78" s="60" t="s">
        <v>329</v>
      </c>
      <c r="C78" s="70">
        <f t="shared" ref="C78:I78" si="46">+C71+C64</f>
        <v>53614021000</v>
      </c>
      <c r="D78" s="70">
        <f t="shared" si="46"/>
        <v>54210516000</v>
      </c>
      <c r="E78" s="70">
        <f t="shared" si="46"/>
        <v>53817811000</v>
      </c>
      <c r="F78" s="70">
        <f t="shared" si="46"/>
        <v>56591732000</v>
      </c>
      <c r="G78" s="70">
        <f t="shared" si="46"/>
        <v>58708552000</v>
      </c>
      <c r="H78" s="185">
        <f t="shared" si="46"/>
        <v>63506791000</v>
      </c>
      <c r="I78" s="267">
        <f t="shared" si="46"/>
        <v>0</v>
      </c>
    </row>
    <row r="79" spans="2:9" ht="14.65" thickBot="1">
      <c r="B79" s="61"/>
      <c r="C79" s="72"/>
      <c r="D79" s="72"/>
      <c r="E79" s="72"/>
      <c r="F79" s="72"/>
      <c r="G79" s="72"/>
      <c r="H79" s="186"/>
      <c r="I79" s="268"/>
    </row>
    <row r="80" spans="2:9">
      <c r="B80" s="57" t="s">
        <v>330</v>
      </c>
      <c r="C80" s="62"/>
      <c r="D80" s="62"/>
      <c r="E80" s="62"/>
      <c r="F80" s="62"/>
      <c r="G80" s="62"/>
      <c r="H80" s="184"/>
      <c r="I80" s="264"/>
    </row>
    <row r="81" spans="2:9">
      <c r="B81" s="58" t="s">
        <v>310</v>
      </c>
      <c r="C81" s="64">
        <v>2858110000</v>
      </c>
      <c r="D81" s="64">
        <v>2660039000</v>
      </c>
      <c r="E81" s="64">
        <v>3130542000</v>
      </c>
      <c r="F81" s="64">
        <v>3904326000</v>
      </c>
      <c r="G81" s="64">
        <v>4388038000</v>
      </c>
      <c r="H81" s="130">
        <v>6239774000</v>
      </c>
      <c r="I81" s="265"/>
    </row>
    <row r="82" spans="2:9">
      <c r="B82" s="59" t="s">
        <v>636</v>
      </c>
      <c r="C82" s="66"/>
      <c r="D82" s="66">
        <v>0</v>
      </c>
      <c r="E82" s="66">
        <v>0</v>
      </c>
      <c r="F82" s="66">
        <v>70235000</v>
      </c>
      <c r="G82" s="66">
        <v>76818000</v>
      </c>
      <c r="H82" s="131">
        <v>90298000</v>
      </c>
      <c r="I82" s="265"/>
    </row>
    <row r="83" spans="2:9">
      <c r="B83" s="59" t="s">
        <v>637</v>
      </c>
      <c r="C83" s="66">
        <v>2135531000</v>
      </c>
      <c r="D83" s="66">
        <v>2040752000</v>
      </c>
      <c r="E83" s="66">
        <v>2500210000</v>
      </c>
      <c r="F83" s="66">
        <v>2760044000</v>
      </c>
      <c r="G83" s="66">
        <v>3429174000</v>
      </c>
      <c r="H83" s="131">
        <v>5113745000</v>
      </c>
      <c r="I83" s="265"/>
    </row>
    <row r="84" spans="2:9">
      <c r="B84" s="59" t="s">
        <v>638</v>
      </c>
      <c r="C84" s="66">
        <v>133942000</v>
      </c>
      <c r="D84" s="66">
        <v>0</v>
      </c>
      <c r="E84" s="66">
        <v>0</v>
      </c>
      <c r="F84" s="66">
        <v>294641000</v>
      </c>
      <c r="G84" s="66">
        <v>0</v>
      </c>
      <c r="H84" s="131">
        <v>0</v>
      </c>
      <c r="I84" s="265"/>
    </row>
    <row r="85" spans="2:9">
      <c r="B85" s="59" t="s">
        <v>639</v>
      </c>
      <c r="C85" s="66">
        <f t="shared" ref="C85:F85" si="47">+C81-C82-C83-C84</f>
        <v>588637000</v>
      </c>
      <c r="D85" s="66">
        <f t="shared" si="47"/>
        <v>619287000</v>
      </c>
      <c r="E85" s="66">
        <f t="shared" si="47"/>
        <v>630332000</v>
      </c>
      <c r="F85" s="66">
        <f t="shared" si="47"/>
        <v>779406000</v>
      </c>
      <c r="G85" s="66">
        <f>+G81-G82-G83-G84</f>
        <v>882046000</v>
      </c>
      <c r="H85" s="160">
        <f>+H81-H82-H83-H84</f>
        <v>1035731000</v>
      </c>
      <c r="I85" s="265"/>
    </row>
    <row r="86" spans="2:9">
      <c r="B86" s="58" t="s">
        <v>319</v>
      </c>
      <c r="C86" s="64">
        <v>15655111000</v>
      </c>
      <c r="D86" s="64">
        <v>16034102000</v>
      </c>
      <c r="E86" s="64">
        <v>13796820000</v>
      </c>
      <c r="F86" s="64">
        <v>14483201000</v>
      </c>
      <c r="G86" s="64">
        <v>14210951000</v>
      </c>
      <c r="H86" s="130">
        <v>15006419000</v>
      </c>
      <c r="I86" s="265"/>
    </row>
    <row r="87" spans="2:9">
      <c r="B87" s="59" t="s">
        <v>640</v>
      </c>
      <c r="C87" s="66">
        <v>1837452000</v>
      </c>
      <c r="D87" s="66">
        <v>2149294000</v>
      </c>
      <c r="E87" s="66">
        <v>0</v>
      </c>
      <c r="F87" s="66">
        <v>0</v>
      </c>
      <c r="G87" s="66">
        <v>2008000</v>
      </c>
      <c r="H87" s="131">
        <v>0</v>
      </c>
      <c r="I87" s="265"/>
    </row>
    <row r="88" spans="2:9">
      <c r="B88" s="59" t="s">
        <v>641</v>
      </c>
      <c r="C88" s="66"/>
      <c r="D88" s="66">
        <v>0</v>
      </c>
      <c r="E88" s="66">
        <v>0</v>
      </c>
      <c r="F88" s="66">
        <v>217871000</v>
      </c>
      <c r="G88" s="66">
        <v>155453000</v>
      </c>
      <c r="H88" s="131">
        <v>85818000</v>
      </c>
      <c r="I88" s="265"/>
    </row>
    <row r="89" spans="2:9">
      <c r="B89" s="59" t="s">
        <v>642</v>
      </c>
      <c r="C89" s="66">
        <v>6116637000</v>
      </c>
      <c r="D89" s="66">
        <v>6194356000</v>
      </c>
      <c r="E89" s="66">
        <v>5669438000</v>
      </c>
      <c r="F89" s="66">
        <v>5667062000</v>
      </c>
      <c r="G89" s="66">
        <v>6148920000</v>
      </c>
      <c r="H89" s="131">
        <v>6184000000</v>
      </c>
      <c r="I89" s="265"/>
    </row>
    <row r="90" spans="2:9">
      <c r="B90" s="59" t="s">
        <v>643</v>
      </c>
      <c r="C90" s="66">
        <v>4897403000</v>
      </c>
      <c r="D90" s="66">
        <v>4956594000</v>
      </c>
      <c r="E90" s="66">
        <v>5117181000</v>
      </c>
      <c r="F90" s="66">
        <v>5107272000</v>
      </c>
      <c r="G90" s="66">
        <v>4781814000</v>
      </c>
      <c r="H90" s="197">
        <v>4865801000</v>
      </c>
      <c r="I90" s="265"/>
    </row>
    <row r="91" spans="2:9">
      <c r="B91" s="59" t="s">
        <v>644</v>
      </c>
      <c r="C91" s="66">
        <f t="shared" ref="C91:F91" si="48">+C86-C87-C88-C89-C90</f>
        <v>2803619000</v>
      </c>
      <c r="D91" s="66">
        <f t="shared" si="48"/>
        <v>2733858000</v>
      </c>
      <c r="E91" s="66">
        <f t="shared" si="48"/>
        <v>3010201000</v>
      </c>
      <c r="F91" s="66">
        <f t="shared" si="48"/>
        <v>3490996000</v>
      </c>
      <c r="G91" s="66">
        <f>+G86-G87-G88-G89-G90</f>
        <v>3122756000</v>
      </c>
      <c r="H91" s="66">
        <f>+H86-H87-H88-H89-H90</f>
        <v>3870800000</v>
      </c>
      <c r="I91" s="266">
        <f t="shared" ref="I91" si="49">+I86-I87-I88-I89</f>
        <v>0</v>
      </c>
    </row>
    <row r="92" spans="2:9" ht="14.65" thickBot="1">
      <c r="B92" s="60" t="s">
        <v>342</v>
      </c>
      <c r="C92" s="70">
        <f t="shared" ref="C92:H92" si="50">+C86+C81</f>
        <v>18513221000</v>
      </c>
      <c r="D92" s="70">
        <f t="shared" si="50"/>
        <v>18694141000</v>
      </c>
      <c r="E92" s="70">
        <f t="shared" si="50"/>
        <v>16927362000</v>
      </c>
      <c r="F92" s="70">
        <f t="shared" si="50"/>
        <v>18387527000</v>
      </c>
      <c r="G92" s="70">
        <f t="shared" si="50"/>
        <v>18598989000</v>
      </c>
      <c r="H92" s="162">
        <f t="shared" si="50"/>
        <v>21246193000</v>
      </c>
      <c r="I92" s="269"/>
    </row>
    <row r="93" spans="2:9" ht="14.65" thickBot="1">
      <c r="I93" s="253"/>
    </row>
    <row r="94" spans="2:9">
      <c r="B94" s="57" t="s">
        <v>343</v>
      </c>
      <c r="C94" s="62"/>
      <c r="D94" s="62"/>
      <c r="E94" s="62"/>
      <c r="F94" s="62"/>
      <c r="G94" s="62"/>
      <c r="H94" s="184"/>
      <c r="I94" s="264"/>
    </row>
    <row r="95" spans="2:9">
      <c r="B95" s="59" t="s">
        <v>645</v>
      </c>
      <c r="C95" s="66">
        <v>5804188000</v>
      </c>
      <c r="D95" s="66">
        <v>5804188000</v>
      </c>
      <c r="E95" s="66">
        <v>5804188000</v>
      </c>
      <c r="F95" s="66">
        <v>5804188000</v>
      </c>
      <c r="G95" s="66">
        <v>5804188000</v>
      </c>
      <c r="H95" s="131">
        <v>5804188000</v>
      </c>
      <c r="I95" s="265"/>
    </row>
    <row r="96" spans="2:9">
      <c r="B96" s="59" t="s">
        <v>646</v>
      </c>
      <c r="C96" s="66">
        <v>14879901000</v>
      </c>
      <c r="D96" s="66">
        <v>15434487000</v>
      </c>
      <c r="E96" s="66">
        <v>17306197000</v>
      </c>
      <c r="F96" s="66">
        <v>18964183000</v>
      </c>
      <c r="G96" s="66">
        <v>20481800000</v>
      </c>
      <c r="H96" s="131">
        <v>23172411000</v>
      </c>
      <c r="I96" s="265"/>
    </row>
    <row r="97" spans="2:9">
      <c r="B97" s="59" t="s">
        <v>647</v>
      </c>
      <c r="C97" s="66">
        <v>-1522834000</v>
      </c>
      <c r="D97" s="66">
        <v>-1656669000</v>
      </c>
      <c r="E97" s="139">
        <v>-2168234000</v>
      </c>
      <c r="F97" s="66">
        <v>-2534545000</v>
      </c>
      <c r="G97" s="66">
        <v>-2156513000</v>
      </c>
      <c r="H97" s="131">
        <v>-2714269000</v>
      </c>
      <c r="I97" s="265"/>
    </row>
    <row r="98" spans="2:9">
      <c r="B98" s="59" t="s">
        <v>648</v>
      </c>
      <c r="C98" s="66">
        <v>15689637000</v>
      </c>
      <c r="D98" s="66">
        <v>15689637000</v>
      </c>
      <c r="E98" s="68">
        <v>15689637000</v>
      </c>
      <c r="F98" s="66">
        <v>15689637000</v>
      </c>
      <c r="G98" s="66">
        <v>15689637000</v>
      </c>
      <c r="H98" s="131">
        <v>15689637000</v>
      </c>
      <c r="I98" s="265"/>
    </row>
    <row r="99" spans="2:9" ht="14.65" thickBot="1">
      <c r="B99" s="60" t="s">
        <v>504</v>
      </c>
      <c r="C99" s="218">
        <f t="shared" ref="C99:F99" si="51">+C95+C96+C97+C98</f>
        <v>34850892000</v>
      </c>
      <c r="D99" s="218">
        <f t="shared" si="51"/>
        <v>35271643000</v>
      </c>
      <c r="E99" s="218">
        <f t="shared" si="51"/>
        <v>36631788000</v>
      </c>
      <c r="F99" s="218">
        <f t="shared" si="51"/>
        <v>37923463000</v>
      </c>
      <c r="G99" s="218">
        <f>+G95+G96+G97+G98</f>
        <v>39819112000</v>
      </c>
      <c r="H99" s="218">
        <f>+H95+H96+H97+H98</f>
        <v>41951967000</v>
      </c>
      <c r="I99" s="270"/>
    </row>
    <row r="100" spans="2:9">
      <c r="B100" s="129" t="s">
        <v>505</v>
      </c>
      <c r="C100" s="133">
        <v>249908000</v>
      </c>
      <c r="D100" s="133">
        <v>244732000</v>
      </c>
      <c r="E100" s="133">
        <v>258661000</v>
      </c>
      <c r="F100" s="133">
        <v>280742000</v>
      </c>
      <c r="G100" s="133">
        <v>290451000</v>
      </c>
      <c r="H100" s="190">
        <v>308631000</v>
      </c>
      <c r="I100" s="270"/>
    </row>
    <row r="101" spans="2:9" ht="14.65" thickBot="1">
      <c r="B101" s="60" t="s">
        <v>347</v>
      </c>
      <c r="C101" s="70">
        <f t="shared" ref="C101:F101" si="52">+C95+C96+C97+C98+C100</f>
        <v>35100800000</v>
      </c>
      <c r="D101" s="70">
        <f t="shared" si="52"/>
        <v>35516375000</v>
      </c>
      <c r="E101" s="70">
        <f t="shared" si="52"/>
        <v>36890449000</v>
      </c>
      <c r="F101" s="70">
        <f t="shared" si="52"/>
        <v>38204205000</v>
      </c>
      <c r="G101" s="70">
        <f>+G95+G96+G97+G98+G100</f>
        <v>40109563000</v>
      </c>
      <c r="H101" s="162">
        <f t="shared" ref="H101:I101" si="53">+H95+H98+H96+H100</f>
        <v>44974867000</v>
      </c>
      <c r="I101" s="271">
        <f t="shared" si="53"/>
        <v>0</v>
      </c>
    </row>
    <row r="102" spans="2:9">
      <c r="B102" s="249"/>
      <c r="C102" s="139"/>
      <c r="D102" s="139"/>
      <c r="E102" s="139"/>
      <c r="F102" s="139"/>
      <c r="G102" s="139"/>
      <c r="H102" s="139"/>
      <c r="I102" s="272"/>
    </row>
    <row r="103" spans="2:9">
      <c r="I103" s="253"/>
    </row>
    <row r="104" spans="2:9" ht="14.65" thickBot="1">
      <c r="B104" s="75" t="s">
        <v>348</v>
      </c>
      <c r="I104" s="253"/>
    </row>
    <row r="105" spans="2:9" ht="14.65" thickBot="1">
      <c r="B105" s="82" t="s">
        <v>308</v>
      </c>
      <c r="C105" s="88">
        <v>2017</v>
      </c>
      <c r="D105" s="88">
        <v>2018</v>
      </c>
      <c r="E105" s="88">
        <v>2019</v>
      </c>
      <c r="F105" s="88">
        <v>2020</v>
      </c>
      <c r="G105" s="88">
        <v>2021</v>
      </c>
      <c r="H105" s="89">
        <v>2022</v>
      </c>
      <c r="I105" s="263">
        <v>2023</v>
      </c>
    </row>
    <row r="106" spans="2:9">
      <c r="B106" s="83" t="s">
        <v>349</v>
      </c>
      <c r="C106" s="90">
        <v>21473562000</v>
      </c>
      <c r="D106" s="90">
        <v>21551002000</v>
      </c>
      <c r="E106" s="90">
        <v>22832462000</v>
      </c>
      <c r="F106" s="90">
        <v>24480080000</v>
      </c>
      <c r="G106" s="90">
        <v>26906238000</v>
      </c>
      <c r="H106" s="250">
        <v>29703506000</v>
      </c>
      <c r="I106" s="273"/>
    </row>
    <row r="107" spans="2:9">
      <c r="B107" s="85" t="s">
        <v>507</v>
      </c>
      <c r="C107" s="66">
        <v>-6740336000</v>
      </c>
      <c r="D107" s="66">
        <v>-6610456000</v>
      </c>
      <c r="E107" s="66">
        <v>-6868734000</v>
      </c>
      <c r="F107" s="66">
        <v>-7556166000</v>
      </c>
      <c r="G107" s="66">
        <v>-8111517000</v>
      </c>
      <c r="H107" s="131">
        <v>-8423681000</v>
      </c>
      <c r="I107" s="265"/>
    </row>
    <row r="108" spans="2:9">
      <c r="B108" s="86" t="s">
        <v>622</v>
      </c>
      <c r="C108" s="64">
        <f t="shared" ref="C108:F108" si="54">+C106+C107</f>
        <v>14733226000</v>
      </c>
      <c r="D108" s="64">
        <f>+D106+D107</f>
        <v>14940546000</v>
      </c>
      <c r="E108" s="64">
        <f t="shared" si="54"/>
        <v>15963728000</v>
      </c>
      <c r="F108" s="64">
        <f t="shared" si="54"/>
        <v>16923914000</v>
      </c>
      <c r="G108" s="64">
        <f>+G106+G107</f>
        <v>18794721000</v>
      </c>
      <c r="H108" s="141">
        <f t="shared" ref="H108:I108" si="55">+H106+H107</f>
        <v>21279825000</v>
      </c>
      <c r="I108" s="274">
        <f t="shared" si="55"/>
        <v>0</v>
      </c>
    </row>
    <row r="109" spans="2:9">
      <c r="B109" s="85" t="s">
        <v>649</v>
      </c>
      <c r="C109" s="117">
        <v>-4690521000</v>
      </c>
      <c r="D109" s="117">
        <v>0</v>
      </c>
      <c r="E109" s="64">
        <v>0</v>
      </c>
      <c r="F109" s="117">
        <v>-5718990000</v>
      </c>
      <c r="G109" s="117">
        <v>-6327047000</v>
      </c>
      <c r="H109" s="131">
        <v>-7469459000</v>
      </c>
      <c r="I109" s="265"/>
    </row>
    <row r="110" spans="2:9">
      <c r="B110" s="85" t="s">
        <v>650</v>
      </c>
      <c r="C110" s="66">
        <v>-121574000</v>
      </c>
      <c r="D110" s="66">
        <v>-213788000</v>
      </c>
      <c r="E110" s="66">
        <v>-385728000</v>
      </c>
      <c r="F110" s="117">
        <v>-287559000</v>
      </c>
      <c r="G110" s="117">
        <v>-232552000</v>
      </c>
      <c r="H110" s="131">
        <v>-444153000</v>
      </c>
      <c r="I110" s="265"/>
    </row>
    <row r="111" spans="2:9">
      <c r="B111" s="85" t="s">
        <v>651</v>
      </c>
      <c r="C111" s="66">
        <v>63901000</v>
      </c>
      <c r="D111" s="66">
        <v>39741000</v>
      </c>
      <c r="E111" s="66">
        <v>39432000</v>
      </c>
      <c r="F111" s="117">
        <v>11690000</v>
      </c>
      <c r="G111" s="117">
        <v>20374000</v>
      </c>
      <c r="H111" s="197">
        <v>258902000</v>
      </c>
      <c r="I111" s="265"/>
    </row>
    <row r="112" spans="2:9">
      <c r="B112" s="86" t="s">
        <v>542</v>
      </c>
      <c r="C112" s="64">
        <f t="shared" ref="C112:F112" si="56">+C108+C110+C109</f>
        <v>9921131000</v>
      </c>
      <c r="D112" s="64">
        <f t="shared" si="56"/>
        <v>14726758000</v>
      </c>
      <c r="E112" s="64">
        <f t="shared" si="56"/>
        <v>15578000000</v>
      </c>
      <c r="F112" s="64">
        <f t="shared" si="56"/>
        <v>10917365000</v>
      </c>
      <c r="G112" s="64">
        <f>+G108+G110+G109+G111</f>
        <v>12255496000</v>
      </c>
      <c r="H112" s="141">
        <f t="shared" ref="H112:I112" si="57">+H108+H110+H109</f>
        <v>13366213000</v>
      </c>
      <c r="I112" s="274">
        <f t="shared" si="57"/>
        <v>0</v>
      </c>
    </row>
    <row r="113" spans="2:9">
      <c r="B113" s="85" t="s">
        <v>652</v>
      </c>
      <c r="C113" s="66">
        <v>-2132309000</v>
      </c>
      <c r="D113" s="66">
        <v>-2194358000</v>
      </c>
      <c r="E113" s="66">
        <v>-2488400000</v>
      </c>
      <c r="F113" s="66">
        <v>-2629318000</v>
      </c>
      <c r="G113" s="66">
        <v>-2714933000</v>
      </c>
      <c r="H113" s="131">
        <v>-2821339000</v>
      </c>
      <c r="I113" s="265"/>
    </row>
    <row r="114" spans="2:9">
      <c r="B114" s="85" t="s">
        <v>653</v>
      </c>
      <c r="C114" s="66">
        <v>633636000</v>
      </c>
      <c r="D114" s="66">
        <v>610103000</v>
      </c>
      <c r="E114" s="66">
        <v>692272000</v>
      </c>
      <c r="F114" s="66">
        <v>812726000</v>
      </c>
      <c r="G114" s="68">
        <v>926008000</v>
      </c>
      <c r="H114" s="131">
        <v>1180744000</v>
      </c>
      <c r="I114" s="265"/>
    </row>
    <row r="115" spans="2:9">
      <c r="B115" s="85" t="s">
        <v>654</v>
      </c>
      <c r="C115" s="66">
        <v>-41585000</v>
      </c>
      <c r="D115" s="66">
        <v>-9492000</v>
      </c>
      <c r="E115" s="66">
        <v>-7379000</v>
      </c>
      <c r="F115" s="66">
        <v>15564000</v>
      </c>
      <c r="G115" s="66">
        <v>68776000</v>
      </c>
      <c r="H115" s="131">
        <v>17360000</v>
      </c>
      <c r="I115" s="265"/>
    </row>
    <row r="116" spans="2:9">
      <c r="B116" s="85" t="s">
        <v>655</v>
      </c>
      <c r="C116" s="66">
        <v>26567000</v>
      </c>
      <c r="D116" s="66">
        <v>28146000</v>
      </c>
      <c r="E116" s="66">
        <v>34452000</v>
      </c>
      <c r="F116" s="66">
        <v>17210000</v>
      </c>
      <c r="G116" s="66">
        <v>80811000</v>
      </c>
      <c r="H116" s="131">
        <v>141699000</v>
      </c>
      <c r="I116" s="265"/>
    </row>
    <row r="117" spans="2:9">
      <c r="B117" s="85" t="s">
        <v>531</v>
      </c>
      <c r="C117" s="66">
        <v>1181973000</v>
      </c>
      <c r="D117" s="66">
        <v>556034000</v>
      </c>
      <c r="E117" s="66">
        <v>1747929000</v>
      </c>
      <c r="F117" s="66">
        <v>1127330000</v>
      </c>
      <c r="G117" s="66">
        <v>-623808000</v>
      </c>
      <c r="H117" s="131">
        <v>601147000</v>
      </c>
      <c r="I117" s="265"/>
    </row>
    <row r="118" spans="2:9">
      <c r="B118" s="86" t="s">
        <v>362</v>
      </c>
      <c r="C118" s="64">
        <v>9653314000</v>
      </c>
      <c r="D118" s="64">
        <v>8495144000</v>
      </c>
      <c r="E118" s="64">
        <v>10132756000</v>
      </c>
      <c r="F118" s="64">
        <v>10272567</v>
      </c>
      <c r="G118" s="64">
        <v>9992350000</v>
      </c>
      <c r="H118" s="130">
        <v>12744726000</v>
      </c>
      <c r="I118" s="265"/>
    </row>
    <row r="119" spans="2:9">
      <c r="B119" s="85" t="s">
        <v>363</v>
      </c>
      <c r="C119" s="66">
        <v>-2019948000</v>
      </c>
      <c r="D119" s="66">
        <v>-1903929000</v>
      </c>
      <c r="E119" s="66">
        <v>-2525499000</v>
      </c>
      <c r="F119" s="66">
        <v>-2600421000</v>
      </c>
      <c r="G119" s="91">
        <v>-2054581000</v>
      </c>
      <c r="H119" s="131">
        <v>-2210690000</v>
      </c>
      <c r="I119" s="265"/>
    </row>
    <row r="120" spans="2:9">
      <c r="B120" s="247" t="s">
        <v>516</v>
      </c>
      <c r="C120" s="64">
        <v>7610035000</v>
      </c>
      <c r="D120" s="64">
        <v>6567546000</v>
      </c>
      <c r="E120" s="64">
        <v>7576313000</v>
      </c>
      <c r="F120" s="64">
        <v>7636866000</v>
      </c>
      <c r="G120" s="114">
        <v>7912657000</v>
      </c>
      <c r="H120" s="130">
        <v>10481492000</v>
      </c>
      <c r="I120" s="265"/>
    </row>
    <row r="121" spans="2:9">
      <c r="B121" s="87" t="s">
        <v>435</v>
      </c>
      <c r="C121" s="66">
        <v>23331000</v>
      </c>
      <c r="D121" s="66">
        <v>23669000</v>
      </c>
      <c r="E121" s="66">
        <v>30944000</v>
      </c>
      <c r="F121" s="66">
        <v>35280000</v>
      </c>
      <c r="G121" s="91">
        <v>25112000</v>
      </c>
      <c r="H121" s="131">
        <v>52544000</v>
      </c>
      <c r="I121" s="265"/>
    </row>
    <row r="122" spans="2:9">
      <c r="B122" s="84" t="s">
        <v>365</v>
      </c>
      <c r="C122" s="64">
        <f t="shared" ref="C122:E122" si="58">+C120+C121</f>
        <v>7633366000</v>
      </c>
      <c r="D122" s="64">
        <f t="shared" si="58"/>
        <v>6591215000</v>
      </c>
      <c r="E122" s="64">
        <f t="shared" si="58"/>
        <v>7607257000</v>
      </c>
      <c r="F122" s="64">
        <f>+F120+F121</f>
        <v>7672146000</v>
      </c>
      <c r="G122" s="64">
        <f>+G120+G121</f>
        <v>7937769000</v>
      </c>
      <c r="H122" s="64">
        <f>+H120+H121</f>
        <v>10534036000</v>
      </c>
      <c r="I122" s="265"/>
    </row>
    <row r="123" spans="2:9">
      <c r="B123" s="84" t="s">
        <v>366</v>
      </c>
      <c r="C123" s="111">
        <v>158.54</v>
      </c>
      <c r="D123" s="111">
        <v>136.82</v>
      </c>
      <c r="E123" s="111">
        <v>157.84</v>
      </c>
      <c r="F123" s="134">
        <v>159.1</v>
      </c>
      <c r="G123" s="134">
        <v>164.85</v>
      </c>
      <c r="H123" s="220">
        <v>218.36</v>
      </c>
      <c r="I123" s="275"/>
    </row>
    <row r="124" spans="2:9">
      <c r="I124" s="253"/>
    </row>
    <row r="125" spans="2:9" ht="14.65" thickBot="1">
      <c r="B125" s="75" t="s">
        <v>367</v>
      </c>
      <c r="I125" s="253"/>
    </row>
    <row r="126" spans="2:9" ht="14.65" thickBot="1">
      <c r="B126" s="82" t="s">
        <v>308</v>
      </c>
      <c r="C126" s="88">
        <v>2017</v>
      </c>
      <c r="D126" s="88">
        <v>2018</v>
      </c>
      <c r="E126" s="88">
        <v>2019</v>
      </c>
      <c r="F126" s="88">
        <v>2020</v>
      </c>
      <c r="G126" s="88">
        <v>2021</v>
      </c>
      <c r="H126" s="89">
        <v>2022</v>
      </c>
      <c r="I126" s="263">
        <v>2023</v>
      </c>
    </row>
    <row r="127" spans="2:9">
      <c r="B127" s="83" t="s">
        <v>368</v>
      </c>
      <c r="C127" s="90">
        <v>5530972000</v>
      </c>
      <c r="D127" s="90">
        <v>5289208000</v>
      </c>
      <c r="E127" s="90">
        <v>4498120000</v>
      </c>
      <c r="F127" s="90">
        <v>8756618000</v>
      </c>
      <c r="G127" s="90">
        <v>9963453000</v>
      </c>
      <c r="H127" s="195">
        <v>9528996000</v>
      </c>
      <c r="I127" s="276"/>
    </row>
    <row r="128" spans="2:9">
      <c r="B128" s="86" t="s">
        <v>369</v>
      </c>
      <c r="C128" s="91">
        <v>-2089669000</v>
      </c>
      <c r="D128" s="93">
        <v>-748367000</v>
      </c>
      <c r="E128" s="93">
        <v>902893000</v>
      </c>
      <c r="F128" s="66">
        <v>-663223000</v>
      </c>
      <c r="G128" s="93">
        <v>-512484000</v>
      </c>
      <c r="H128" s="131">
        <v>-3489446000</v>
      </c>
      <c r="I128" s="277"/>
    </row>
    <row r="129" spans="2:9">
      <c r="B129" s="85" t="s">
        <v>370</v>
      </c>
      <c r="C129" s="93">
        <v>-1559265000</v>
      </c>
      <c r="D129" s="93">
        <v>1201468000</v>
      </c>
      <c r="E129" s="93">
        <v>-1817926000</v>
      </c>
      <c r="F129" s="93">
        <v>-1948385000</v>
      </c>
      <c r="G129" s="93">
        <v>-1489698000</v>
      </c>
      <c r="H129" s="131">
        <v>-3856872000</v>
      </c>
      <c r="I129" s="277"/>
    </row>
    <row r="130" spans="2:9">
      <c r="B130" s="86" t="s">
        <v>372</v>
      </c>
      <c r="C130" s="120">
        <v>-6578260000</v>
      </c>
      <c r="D130" s="120">
        <v>-4884062000</v>
      </c>
      <c r="E130" s="64">
        <v>-5603548000</v>
      </c>
      <c r="F130" s="120">
        <v>-6056932000</v>
      </c>
      <c r="G130" s="120">
        <v>-6049719000</v>
      </c>
      <c r="H130" s="130">
        <v>-7872774000</v>
      </c>
      <c r="I130" s="277"/>
    </row>
    <row r="131" spans="2:9">
      <c r="B131" s="85" t="s">
        <v>373</v>
      </c>
      <c r="C131" s="93">
        <v>-7564065000</v>
      </c>
      <c r="D131" s="93">
        <v>-5956204000</v>
      </c>
      <c r="E131" s="66">
        <v>-5647986000</v>
      </c>
      <c r="F131" s="93">
        <v>-5990711000</v>
      </c>
      <c r="G131" s="93">
        <v>-6413181000</v>
      </c>
      <c r="H131" s="131">
        <v>-7804986000</v>
      </c>
      <c r="I131" s="277"/>
    </row>
    <row r="132" spans="2:9">
      <c r="B132" s="85" t="s">
        <v>437</v>
      </c>
      <c r="C132" s="93"/>
      <c r="D132" s="93"/>
      <c r="E132" s="66"/>
      <c r="F132" s="93"/>
      <c r="G132" s="93"/>
      <c r="H132" s="131"/>
      <c r="I132" s="277"/>
    </row>
    <row r="133" spans="2:9">
      <c r="B133" s="86" t="s">
        <v>375</v>
      </c>
      <c r="C133" s="64">
        <v>3629242000</v>
      </c>
      <c r="D133" s="64">
        <v>3321680000</v>
      </c>
      <c r="E133" s="64">
        <v>3130034000</v>
      </c>
      <c r="F133" s="64">
        <v>2053673000</v>
      </c>
      <c r="G133" s="64">
        <v>3482061000</v>
      </c>
      <c r="H133" s="130">
        <v>6974243000</v>
      </c>
      <c r="I133" s="277"/>
    </row>
    <row r="134" spans="2:9">
      <c r="B134" s="85"/>
      <c r="C134" s="66"/>
      <c r="D134" s="66"/>
      <c r="E134" s="66"/>
      <c r="F134" s="66"/>
      <c r="G134" s="66"/>
      <c r="H134" s="131"/>
      <c r="I134" s="277"/>
    </row>
    <row r="135" spans="2:9">
      <c r="B135" s="84" t="s">
        <v>376</v>
      </c>
      <c r="C135" s="66">
        <f t="shared" ref="C135:E135" si="59">+C127+C129</f>
        <v>3971707000</v>
      </c>
      <c r="D135" s="66">
        <f t="shared" si="59"/>
        <v>6490676000</v>
      </c>
      <c r="E135" s="66">
        <f t="shared" si="59"/>
        <v>2680194000</v>
      </c>
      <c r="F135" s="66">
        <f>+F127+F129</f>
        <v>6808233000</v>
      </c>
      <c r="G135" s="66">
        <f>+G127+G129</f>
        <v>8473755000</v>
      </c>
      <c r="H135" s="131">
        <f>+H127+H129</f>
        <v>5672124000</v>
      </c>
      <c r="I135" s="277">
        <f t="shared" ref="I135" si="60">+I127-I129</f>
        <v>0</v>
      </c>
    </row>
  </sheetData>
  <conditionalFormatting sqref="C63:H65 D66:H67 C68:H92 C94:H97 C98:D98 F98:H98 C99:H101">
    <cfRule type="cellIs" dxfId="234" priority="5" operator="lessThan">
      <formula>0</formula>
    </cfRule>
  </conditionalFormatting>
  <conditionalFormatting sqref="C102:I102">
    <cfRule type="cellIs" dxfId="233" priority="8" operator="lessThan">
      <formula>0</formula>
    </cfRule>
  </conditionalFormatting>
  <conditionalFormatting sqref="C106:I113 C114:F114 H114:I114 C115:I123">
    <cfRule type="cellIs" dxfId="232" priority="3" operator="lessThan">
      <formula>0</formula>
    </cfRule>
  </conditionalFormatting>
  <conditionalFormatting sqref="C127:I135">
    <cfRule type="cellIs" dxfId="231" priority="1" operator="lessThan">
      <formula>0</formula>
    </cfRule>
  </conditionalFormatting>
  <conditionalFormatting sqref="I63:I92 I94:I101">
    <cfRule type="cellIs" dxfId="230" priority="4" operator="lessThan">
      <formula>0</formula>
    </cfRule>
  </conditionalFormatting>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D6F54-5B7D-49E3-973E-E73097879AD8}">
  <dimension ref="B2:P147"/>
  <sheetViews>
    <sheetView zoomScale="80" zoomScaleNormal="80" workbookViewId="0">
      <pane xSplit="2" ySplit="6" topLeftCell="C54" activePane="bottomRight" state="frozen"/>
      <selection pane="bottomRight" activeCell="C54" sqref="C54"/>
      <selection pane="bottomLeft" activeCell="A7" sqref="A7"/>
      <selection pane="topRight" activeCell="C1" sqref="C1"/>
    </sheetView>
  </sheetViews>
  <sheetFormatPr defaultColWidth="10.7109375" defaultRowHeight="14.25"/>
  <cols>
    <col min="1" max="1" width="4.42578125" customWidth="1"/>
    <col min="2" max="2" width="47.28515625" customWidth="1"/>
    <col min="3" max="6" width="33.28515625" customWidth="1"/>
    <col min="7" max="7" width="36.28515625" customWidth="1"/>
    <col min="8" max="8" width="35.7109375" customWidth="1"/>
    <col min="9" max="9" width="37.5703125" customWidth="1"/>
    <col min="10" max="14" width="25.42578125" bestFit="1" customWidth="1"/>
  </cols>
  <sheetData>
    <row r="2" spans="2:14" ht="21">
      <c r="B2" s="313">
        <f ca="1">TODAY()-1</f>
        <v>46105</v>
      </c>
      <c r="C2" s="314"/>
      <c r="D2" s="344" t="s">
        <v>518</v>
      </c>
      <c r="E2" s="345" t="s">
        <v>266</v>
      </c>
      <c r="G2" t="s">
        <v>584</v>
      </c>
      <c r="H2" s="524">
        <v>1000000</v>
      </c>
    </row>
    <row r="3" spans="2:14" ht="25.5">
      <c r="B3" s="376" cm="1">
        <f t="array" aca="1" ref="B3" ca="1">_FV(B6,"Precio")</f>
        <v>6460</v>
      </c>
      <c r="C3" s="316"/>
      <c r="D3" s="365">
        <f>AVERAGE(C48:J48)</f>
        <v>570.91599999999994</v>
      </c>
      <c r="E3" s="365">
        <f>AVERAGE(C47:J47)</f>
        <v>658.85950000000003</v>
      </c>
    </row>
    <row r="4" spans="2:14" ht="28.5">
      <c r="B4" s="319"/>
      <c r="C4" s="320"/>
      <c r="D4" s="328"/>
      <c r="E4" s="328"/>
    </row>
    <row r="6" spans="2:14" ht="33.4">
      <c r="B6" s="3" t="e" vm="15">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+C64</f>
        <v>1343360000</v>
      </c>
      <c r="D7" s="5">
        <f t="shared" ref="D7:N7" si="0">+D64</f>
        <v>1198600000</v>
      </c>
      <c r="E7" s="5">
        <f t="shared" si="0"/>
        <v>1241150000</v>
      </c>
      <c r="F7" s="5">
        <f t="shared" si="0"/>
        <v>1485180000</v>
      </c>
      <c r="G7" s="5">
        <f t="shared" si="0"/>
        <v>1983260000</v>
      </c>
      <c r="H7" s="5">
        <f t="shared" si="0"/>
        <v>1684840000</v>
      </c>
      <c r="I7" s="5">
        <f>+I64</f>
        <v>2015010000</v>
      </c>
      <c r="J7" s="5">
        <f t="shared" si="0"/>
        <v>0</v>
      </c>
      <c r="K7" s="5">
        <f t="shared" si="0"/>
        <v>0</v>
      </c>
      <c r="L7" s="5">
        <f t="shared" si="0"/>
        <v>0</v>
      </c>
      <c r="M7" s="5">
        <f t="shared" si="0"/>
        <v>0</v>
      </c>
      <c r="N7" s="5">
        <f t="shared" si="0"/>
        <v>0</v>
      </c>
    </row>
    <row r="8" spans="2:14" ht="25.5">
      <c r="B8" s="146" t="s">
        <v>377</v>
      </c>
      <c r="C8" s="147">
        <f>+C68</f>
        <v>274680000</v>
      </c>
      <c r="D8" s="147">
        <f t="shared" ref="D8:N8" si="1">+D68</f>
        <v>221010000</v>
      </c>
      <c r="E8" s="147">
        <f t="shared" si="1"/>
        <v>281140000</v>
      </c>
      <c r="F8" s="147">
        <f t="shared" si="1"/>
        <v>528610000</v>
      </c>
      <c r="G8" s="147">
        <f t="shared" si="1"/>
        <v>323810000</v>
      </c>
      <c r="H8" s="147">
        <f t="shared" si="1"/>
        <v>421320000</v>
      </c>
      <c r="I8" s="147">
        <f t="shared" si="1"/>
        <v>452360000</v>
      </c>
      <c r="J8" s="147">
        <f t="shared" si="1"/>
        <v>0</v>
      </c>
      <c r="K8" s="147">
        <f t="shared" si="1"/>
        <v>0</v>
      </c>
      <c r="L8" s="147">
        <f t="shared" si="1"/>
        <v>0</v>
      </c>
      <c r="M8" s="147">
        <f t="shared" si="1"/>
        <v>0</v>
      </c>
      <c r="N8" s="147">
        <f t="shared" si="1"/>
        <v>0</v>
      </c>
    </row>
    <row r="9" spans="2:14" ht="25.5">
      <c r="B9" s="146" t="s">
        <v>378</v>
      </c>
      <c r="C9" s="147">
        <f>+C70</f>
        <v>277020000</v>
      </c>
      <c r="D9" s="147">
        <f t="shared" ref="D9:N9" si="2">+D70</f>
        <v>402790000</v>
      </c>
      <c r="E9" s="147">
        <f t="shared" si="2"/>
        <v>512169999.99999994</v>
      </c>
      <c r="F9" s="147">
        <f t="shared" si="2"/>
        <v>308860000</v>
      </c>
      <c r="G9" s="147">
        <f t="shared" si="2"/>
        <v>601930000</v>
      </c>
      <c r="H9" s="147">
        <f t="shared" si="2"/>
        <v>768960000</v>
      </c>
      <c r="I9" s="147">
        <f t="shared" si="2"/>
        <v>749600000</v>
      </c>
      <c r="J9" s="147">
        <f t="shared" si="2"/>
        <v>0</v>
      </c>
      <c r="K9" s="147">
        <f t="shared" si="2"/>
        <v>0</v>
      </c>
      <c r="L9" s="147">
        <f t="shared" si="2"/>
        <v>0</v>
      </c>
      <c r="M9" s="147">
        <f t="shared" si="2"/>
        <v>0</v>
      </c>
      <c r="N9" s="147">
        <f t="shared" si="2"/>
        <v>0</v>
      </c>
    </row>
    <row r="10" spans="2:14" ht="25.5">
      <c r="B10" s="4" t="s">
        <v>379</v>
      </c>
      <c r="C10" s="5">
        <f>+C73</f>
        <v>4206940000.0000005</v>
      </c>
      <c r="D10" s="5">
        <f t="shared" ref="D10:N10" si="3">+D73</f>
        <v>4142889999.9999995</v>
      </c>
      <c r="E10" s="5">
        <f t="shared" si="3"/>
        <v>4237590000</v>
      </c>
      <c r="F10" s="5">
        <f t="shared" si="3"/>
        <v>4424020000</v>
      </c>
      <c r="G10" s="5">
        <f t="shared" si="3"/>
        <v>4629080000</v>
      </c>
      <c r="H10" s="5">
        <f t="shared" si="3"/>
        <v>4876880000</v>
      </c>
      <c r="I10" s="5">
        <f t="shared" si="3"/>
        <v>4991530000</v>
      </c>
      <c r="J10" s="5">
        <f t="shared" si="3"/>
        <v>0</v>
      </c>
      <c r="K10" s="5">
        <f t="shared" si="3"/>
        <v>0</v>
      </c>
      <c r="L10" s="5">
        <f t="shared" si="3"/>
        <v>0</v>
      </c>
      <c r="M10" s="5">
        <f t="shared" si="3"/>
        <v>0</v>
      </c>
      <c r="N10" s="5">
        <f t="shared" si="3"/>
        <v>0</v>
      </c>
    </row>
    <row r="11" spans="2:14" ht="25.5">
      <c r="B11" s="8" t="s">
        <v>272</v>
      </c>
      <c r="C11" s="9">
        <f>+C10+C7</f>
        <v>5550300000</v>
      </c>
      <c r="D11" s="9">
        <f t="shared" ref="D11:N11" si="4">+D10+D7</f>
        <v>5341490000</v>
      </c>
      <c r="E11" s="9">
        <f t="shared" si="4"/>
        <v>5478740000</v>
      </c>
      <c r="F11" s="9">
        <f t="shared" si="4"/>
        <v>5909200000</v>
      </c>
      <c r="G11" s="9">
        <f t="shared" si="4"/>
        <v>6612340000</v>
      </c>
      <c r="H11" s="9">
        <f t="shared" si="4"/>
        <v>6561720000</v>
      </c>
      <c r="I11" s="9">
        <f t="shared" si="4"/>
        <v>7006540000</v>
      </c>
      <c r="J11" s="9">
        <f t="shared" si="4"/>
        <v>0</v>
      </c>
      <c r="K11" s="9">
        <f t="shared" si="4"/>
        <v>0</v>
      </c>
      <c r="L11" s="9">
        <f t="shared" si="4"/>
        <v>0</v>
      </c>
      <c r="M11" s="9">
        <f t="shared" si="4"/>
        <v>0</v>
      </c>
      <c r="N11" s="9">
        <f t="shared" si="4"/>
        <v>0</v>
      </c>
    </row>
    <row r="12" spans="2:14" ht="25.5">
      <c r="B12" s="10" t="s">
        <v>273</v>
      </c>
      <c r="C12" s="11">
        <f>+C87</f>
        <v>1065359999.9999999</v>
      </c>
      <c r="D12" s="11">
        <f t="shared" ref="D12:N12" si="5">+D87</f>
        <v>872840000</v>
      </c>
      <c r="E12" s="11">
        <f t="shared" si="5"/>
        <v>1144830000</v>
      </c>
      <c r="F12" s="11">
        <f t="shared" si="5"/>
        <v>1564380000</v>
      </c>
      <c r="G12" s="11">
        <f t="shared" si="5"/>
        <v>1620070000</v>
      </c>
      <c r="H12" s="11">
        <f t="shared" si="5"/>
        <v>1495200000</v>
      </c>
      <c r="I12" s="11">
        <f t="shared" si="5"/>
        <v>1409960000</v>
      </c>
      <c r="J12" s="11">
        <f t="shared" si="5"/>
        <v>0</v>
      </c>
      <c r="K12" s="11">
        <f t="shared" si="5"/>
        <v>0</v>
      </c>
      <c r="L12" s="11">
        <f t="shared" si="5"/>
        <v>0</v>
      </c>
      <c r="M12" s="11">
        <f t="shared" si="5"/>
        <v>0</v>
      </c>
      <c r="N12" s="11">
        <f t="shared" si="5"/>
        <v>0</v>
      </c>
    </row>
    <row r="13" spans="2:14" ht="25.5">
      <c r="B13" s="10" t="s">
        <v>274</v>
      </c>
      <c r="C13" s="11">
        <f>+C97</f>
        <v>1221150000.0000002</v>
      </c>
      <c r="D13" s="11">
        <f t="shared" ref="D13:N13" si="6">+D97</f>
        <v>1126389999.9999998</v>
      </c>
      <c r="E13" s="11">
        <f t="shared" si="6"/>
        <v>1090650000</v>
      </c>
      <c r="F13" s="11">
        <f t="shared" si="6"/>
        <v>881319999.99999976</v>
      </c>
      <c r="G13" s="11">
        <f t="shared" si="6"/>
        <v>1324950000</v>
      </c>
      <c r="H13" s="11">
        <f t="shared" si="6"/>
        <v>1384530000</v>
      </c>
      <c r="I13" s="11">
        <f t="shared" si="6"/>
        <v>1935469999.9999998</v>
      </c>
      <c r="J13" s="11">
        <f t="shared" si="6"/>
        <v>0</v>
      </c>
      <c r="K13" s="11">
        <f t="shared" si="6"/>
        <v>0</v>
      </c>
      <c r="L13" s="11">
        <f t="shared" si="6"/>
        <v>0</v>
      </c>
      <c r="M13" s="11">
        <f t="shared" si="6"/>
        <v>0</v>
      </c>
      <c r="N13" s="11">
        <f t="shared" si="6"/>
        <v>0</v>
      </c>
    </row>
    <row r="14" spans="2:14" ht="25.5">
      <c r="B14" s="12" t="s">
        <v>275</v>
      </c>
      <c r="C14" s="13">
        <f>+C12+C13</f>
        <v>2286510000</v>
      </c>
      <c r="D14" s="13">
        <f t="shared" ref="D14:N14" si="7">+D12+D13</f>
        <v>1999229999.9999998</v>
      </c>
      <c r="E14" s="13">
        <f t="shared" si="7"/>
        <v>2235480000</v>
      </c>
      <c r="F14" s="13">
        <f t="shared" si="7"/>
        <v>2445700000</v>
      </c>
      <c r="G14" s="13">
        <f t="shared" si="7"/>
        <v>2945020000</v>
      </c>
      <c r="H14" s="13">
        <f t="shared" si="7"/>
        <v>2879730000</v>
      </c>
      <c r="I14" s="13">
        <f t="shared" si="7"/>
        <v>3345430000</v>
      </c>
      <c r="J14" s="13">
        <f t="shared" si="7"/>
        <v>0</v>
      </c>
      <c r="K14" s="13">
        <f t="shared" si="7"/>
        <v>0</v>
      </c>
      <c r="L14" s="13">
        <f t="shared" si="7"/>
        <v>0</v>
      </c>
      <c r="M14" s="13">
        <f t="shared" si="7"/>
        <v>0</v>
      </c>
      <c r="N14" s="13">
        <f t="shared" si="7"/>
        <v>0</v>
      </c>
    </row>
    <row r="15" spans="2:14" ht="25.5">
      <c r="B15" s="14" t="s">
        <v>276</v>
      </c>
      <c r="C15" s="15">
        <f>+C111</f>
        <v>1966780000</v>
      </c>
      <c r="D15" s="15">
        <f t="shared" ref="D15:N15" si="8">+D111</f>
        <v>2027260000</v>
      </c>
      <c r="E15" s="15">
        <f t="shared" si="8"/>
        <v>1920150000</v>
      </c>
      <c r="F15" s="15">
        <f t="shared" si="8"/>
        <v>2060450000</v>
      </c>
      <c r="G15" s="15">
        <f t="shared" si="8"/>
        <v>2242710000</v>
      </c>
      <c r="H15" s="15">
        <f t="shared" si="8"/>
        <v>2277310000</v>
      </c>
      <c r="I15" s="15">
        <f t="shared" si="8"/>
        <v>2266170000</v>
      </c>
      <c r="J15" s="15">
        <f t="shared" si="8"/>
        <v>0</v>
      </c>
      <c r="K15" s="15">
        <f t="shared" si="8"/>
        <v>0</v>
      </c>
      <c r="L15" s="15">
        <f t="shared" si="8"/>
        <v>0</v>
      </c>
      <c r="M15" s="15">
        <f t="shared" si="8"/>
        <v>0</v>
      </c>
      <c r="N15" s="15">
        <f t="shared" si="8"/>
        <v>0</v>
      </c>
    </row>
    <row r="16" spans="2:14" ht="25.5">
      <c r="B16" s="79" t="s">
        <v>278</v>
      </c>
      <c r="C16" s="180">
        <v>149448112</v>
      </c>
      <c r="D16" s="180">
        <v>149448112</v>
      </c>
      <c r="E16" s="180">
        <v>149448112</v>
      </c>
      <c r="F16" s="180">
        <v>149448112</v>
      </c>
      <c r="G16" s="180">
        <v>149448112</v>
      </c>
      <c r="H16" s="180">
        <v>149448112</v>
      </c>
      <c r="I16" s="180">
        <v>149448112</v>
      </c>
      <c r="J16" s="80"/>
      <c r="K16" s="80"/>
      <c r="L16" s="80"/>
      <c r="M16" s="80"/>
      <c r="N16" s="80"/>
    </row>
    <row r="18" spans="2:14" ht="25.5">
      <c r="B18" s="18" t="s">
        <v>597</v>
      </c>
      <c r="C18" s="19">
        <f t="shared" ref="C18:N18" si="9">(C15/C16)</f>
        <v>13.160286695358186</v>
      </c>
      <c r="D18" s="19">
        <f t="shared" si="9"/>
        <v>13.564975648538136</v>
      </c>
      <c r="E18" s="19">
        <f t="shared" si="9"/>
        <v>12.848272047759291</v>
      </c>
      <c r="F18" s="19">
        <f t="shared" si="9"/>
        <v>13.787059417652596</v>
      </c>
      <c r="G18" s="19">
        <f t="shared" si="9"/>
        <v>15.006613131385695</v>
      </c>
      <c r="H18" s="19">
        <f t="shared" si="9"/>
        <v>15.238131613198298</v>
      </c>
      <c r="I18" s="19">
        <f t="shared" si="9"/>
        <v>15.163590691597362</v>
      </c>
      <c r="J18" s="19" t="e">
        <f t="shared" si="9"/>
        <v>#DIV/0!</v>
      </c>
      <c r="K18" s="19" t="e">
        <f t="shared" si="9"/>
        <v>#DIV/0!</v>
      </c>
      <c r="L18" s="19" t="e">
        <f t="shared" si="9"/>
        <v>#DIV/0!</v>
      </c>
      <c r="M18" s="19" t="e">
        <f t="shared" si="9"/>
        <v>#DIV/0!</v>
      </c>
      <c r="N18" s="19" t="e">
        <f t="shared" si="9"/>
        <v>#DIV/0!</v>
      </c>
    </row>
    <row r="19" spans="2:14" ht="25.5">
      <c r="B19" s="18" t="s">
        <v>656</v>
      </c>
      <c r="C19" s="19">
        <f>+C18*C43</f>
        <v>8801.5997418555544</v>
      </c>
      <c r="D19" s="19">
        <f t="shared" ref="D19:N19" si="10">+D18*D43</f>
        <v>9224.1834410059328</v>
      </c>
      <c r="E19" s="19">
        <f t="shared" si="10"/>
        <v>8916.7008011449489</v>
      </c>
      <c r="F19" s="19">
        <f t="shared" si="10"/>
        <v>10533.313395086583</v>
      </c>
      <c r="G19" s="19">
        <f t="shared" si="10"/>
        <v>12785.634387940612</v>
      </c>
      <c r="H19" s="19">
        <f t="shared" si="10"/>
        <v>12925.745140895457</v>
      </c>
      <c r="I19" s="19">
        <f t="shared" si="10"/>
        <v>13413.560689880111</v>
      </c>
      <c r="J19" s="19" t="e">
        <f t="shared" si="10"/>
        <v>#DIV/0!</v>
      </c>
      <c r="K19" s="19" t="e">
        <f t="shared" si="10"/>
        <v>#DIV/0!</v>
      </c>
      <c r="L19" s="19" t="e">
        <f t="shared" si="10"/>
        <v>#DIV/0!</v>
      </c>
      <c r="M19" s="19" t="e">
        <f t="shared" si="10"/>
        <v>#DIV/0!</v>
      </c>
      <c r="N19" s="19" t="e">
        <f t="shared" si="10"/>
        <v>#DIV/0!</v>
      </c>
    </row>
    <row r="20" spans="2:14" ht="25.5">
      <c r="B20" s="76" t="s">
        <v>657</v>
      </c>
      <c r="C20" s="180">
        <v>7879</v>
      </c>
      <c r="D20" s="180">
        <v>6088</v>
      </c>
      <c r="E20" s="180">
        <v>5699</v>
      </c>
      <c r="F20" s="180">
        <v>9578</v>
      </c>
      <c r="G20" s="180">
        <v>8291</v>
      </c>
      <c r="H20" s="180">
        <v>6954</v>
      </c>
      <c r="I20" s="180">
        <v>7211</v>
      </c>
      <c r="J20" s="78"/>
      <c r="K20" s="78"/>
      <c r="L20" s="78"/>
      <c r="M20" s="78"/>
      <c r="N20" s="78"/>
    </row>
    <row r="21" spans="2:14" ht="25.5">
      <c r="B21" s="18" t="s">
        <v>283</v>
      </c>
      <c r="C21" s="22">
        <f>+C20/C42</f>
        <v>13.541151075180114</v>
      </c>
      <c r="D21" s="22">
        <f t="shared" ref="D21:N21" si="11">+D20/D42</f>
        <v>10.786676116229625</v>
      </c>
      <c r="E21" s="22">
        <f t="shared" si="11"/>
        <v>-11.731165088513793</v>
      </c>
      <c r="F21" s="22">
        <f t="shared" si="11"/>
        <v>6.2371389127660137</v>
      </c>
      <c r="G21" s="22">
        <f t="shared" si="11"/>
        <v>1.9619396486445555</v>
      </c>
      <c r="H21" s="22">
        <f t="shared" si="11"/>
        <v>5.429175376651969</v>
      </c>
      <c r="I21" s="22">
        <f t="shared" si="11"/>
        <v>-163.03598277167953</v>
      </c>
      <c r="J21" s="22" t="e">
        <f t="shared" si="11"/>
        <v>#DIV/0!</v>
      </c>
      <c r="K21" s="22" t="e">
        <f t="shared" si="11"/>
        <v>#DIV/0!</v>
      </c>
      <c r="L21" s="22" t="e">
        <f t="shared" si="11"/>
        <v>#DIV/0!</v>
      </c>
      <c r="M21" s="22" t="e">
        <f t="shared" si="11"/>
        <v>#DIV/0!</v>
      </c>
      <c r="N21" s="22" t="e">
        <f t="shared" si="11"/>
        <v>#DIV/0!</v>
      </c>
    </row>
    <row r="22" spans="2:14" ht="25.5">
      <c r="B22" s="18" t="s">
        <v>380</v>
      </c>
      <c r="C22" s="22">
        <f t="shared" ref="C22:N22" si="12">+C20/C18</f>
        <v>598.69516389631781</v>
      </c>
      <c r="D22" s="22">
        <f t="shared" si="12"/>
        <v>448.80286981245621</v>
      </c>
      <c r="E22" s="22">
        <f t="shared" si="12"/>
        <v>443.56159169231574</v>
      </c>
      <c r="F22" s="22">
        <f t="shared" si="12"/>
        <v>694.70941626149624</v>
      </c>
      <c r="G22" s="22">
        <f t="shared" si="12"/>
        <v>552.48975417775819</v>
      </c>
      <c r="H22" s="22">
        <f t="shared" si="12"/>
        <v>456.35516062723127</v>
      </c>
      <c r="I22" s="22">
        <f t="shared" si="12"/>
        <v>475.54699587056575</v>
      </c>
      <c r="J22" s="22" t="e">
        <f t="shared" si="12"/>
        <v>#DIV/0!</v>
      </c>
      <c r="K22" s="22" t="e">
        <f t="shared" si="12"/>
        <v>#DIV/0!</v>
      </c>
      <c r="L22" s="22" t="e">
        <f t="shared" si="12"/>
        <v>#DIV/0!</v>
      </c>
      <c r="M22" s="22" t="e">
        <f t="shared" si="12"/>
        <v>#DIV/0!</v>
      </c>
      <c r="N22" s="22" t="e">
        <f t="shared" si="12"/>
        <v>#DIV/0!</v>
      </c>
    </row>
    <row r="23" spans="2:14" ht="25.5">
      <c r="B23" s="18" t="s">
        <v>285</v>
      </c>
      <c r="C23" s="22">
        <f>+C21*C22</f>
        <v>8107.0216622997586</v>
      </c>
      <c r="D23" s="22">
        <f t="shared" ref="D23:N23" si="13">+D21*D22</f>
        <v>4841.0911967013353</v>
      </c>
      <c r="E23" s="22">
        <f t="shared" si="13"/>
        <v>-5203.4942590665041</v>
      </c>
      <c r="F23" s="22">
        <f t="shared" si="13"/>
        <v>4332.9991332295403</v>
      </c>
      <c r="G23" s="22">
        <f t="shared" si="13"/>
        <v>1083.9515541912278</v>
      </c>
      <c r="H23" s="22">
        <f t="shared" si="13"/>
        <v>2477.6322010854183</v>
      </c>
      <c r="I23" s="22">
        <f t="shared" si="13"/>
        <v>-77531.271825877513</v>
      </c>
      <c r="J23" s="22" t="e">
        <f t="shared" si="13"/>
        <v>#DIV/0!</v>
      </c>
      <c r="K23" s="22" t="e">
        <f t="shared" si="13"/>
        <v>#DIV/0!</v>
      </c>
      <c r="L23" s="22" t="e">
        <f t="shared" si="13"/>
        <v>#DIV/0!</v>
      </c>
      <c r="M23" s="22" t="e">
        <f t="shared" si="13"/>
        <v>#DIV/0!</v>
      </c>
      <c r="N23" s="22" t="e">
        <f t="shared" si="13"/>
        <v>#DIV/0!</v>
      </c>
    </row>
    <row r="24" spans="2:14" ht="25.5">
      <c r="B24" s="23" t="s">
        <v>286</v>
      </c>
      <c r="C24" s="24">
        <f>IF(C44&lt;10%,0,IF(15%&lt;C44,2,1))</f>
        <v>0</v>
      </c>
      <c r="D24" s="24">
        <f>IF(D44&lt;10%,0,IF(15%&lt;D44,2,1))</f>
        <v>0</v>
      </c>
      <c r="E24" s="24">
        <f t="shared" ref="E24:N24" si="14">IF(E44&lt;10%,0,IF(15%&lt;E44,2,1))</f>
        <v>0</v>
      </c>
      <c r="F24" s="24">
        <f t="shared" si="14"/>
        <v>1</v>
      </c>
      <c r="G24" s="24">
        <f t="shared" si="14"/>
        <v>2</v>
      </c>
      <c r="H24" s="24">
        <f t="shared" si="14"/>
        <v>0</v>
      </c>
      <c r="I24" s="24">
        <f t="shared" si="14"/>
        <v>0</v>
      </c>
      <c r="J24" s="24" t="e">
        <f t="shared" si="14"/>
        <v>#DIV/0!</v>
      </c>
      <c r="K24" s="24" t="e">
        <f t="shared" si="14"/>
        <v>#DIV/0!</v>
      </c>
      <c r="L24" s="24" t="e">
        <f t="shared" si="14"/>
        <v>#DIV/0!</v>
      </c>
      <c r="M24" s="24" t="e">
        <f t="shared" si="14"/>
        <v>#DIV/0!</v>
      </c>
      <c r="N24" s="24" t="e">
        <f t="shared" si="14"/>
        <v>#DIV/0!</v>
      </c>
    </row>
    <row r="25" spans="2:14" ht="25.5">
      <c r="B25" s="23" t="s">
        <v>287</v>
      </c>
      <c r="C25" s="24">
        <f>IF(C44&lt;10%,1,IF(15%&lt;C44,2.5,2))</f>
        <v>1</v>
      </c>
      <c r="D25" s="24">
        <f t="shared" ref="D25:N25" si="15">IF(D44&lt;10%,1,IF(15%&lt;D44,2.5,2))</f>
        <v>1</v>
      </c>
      <c r="E25" s="24">
        <f t="shared" si="15"/>
        <v>1</v>
      </c>
      <c r="F25" s="24">
        <f t="shared" si="15"/>
        <v>2</v>
      </c>
      <c r="G25" s="24">
        <f t="shared" si="15"/>
        <v>2.5</v>
      </c>
      <c r="H25" s="24">
        <f t="shared" si="15"/>
        <v>1</v>
      </c>
      <c r="I25" s="24">
        <f t="shared" si="15"/>
        <v>1</v>
      </c>
      <c r="J25" s="24" t="e">
        <f t="shared" si="15"/>
        <v>#DIV/0!</v>
      </c>
      <c r="K25" s="24" t="e">
        <f t="shared" si="15"/>
        <v>#DIV/0!</v>
      </c>
      <c r="L25" s="24" t="e">
        <f t="shared" si="15"/>
        <v>#DIV/0!</v>
      </c>
      <c r="M25" s="24" t="e">
        <f t="shared" si="15"/>
        <v>#DIV/0!</v>
      </c>
      <c r="N25" s="24" t="e">
        <f t="shared" si="15"/>
        <v>#DIV/0!</v>
      </c>
    </row>
    <row r="26" spans="2:14" ht="25.5">
      <c r="B26" s="25" t="s">
        <v>288</v>
      </c>
      <c r="C26" s="26">
        <f t="shared" ref="C26:N26" si="16">+C24*C18</f>
        <v>0</v>
      </c>
      <c r="D26" s="26">
        <f t="shared" si="16"/>
        <v>0</v>
      </c>
      <c r="E26" s="26">
        <f t="shared" si="16"/>
        <v>0</v>
      </c>
      <c r="F26" s="26">
        <f t="shared" si="16"/>
        <v>13.787059417652596</v>
      </c>
      <c r="G26" s="26">
        <f t="shared" si="16"/>
        <v>30.01322626277139</v>
      </c>
      <c r="H26" s="26">
        <f t="shared" si="16"/>
        <v>0</v>
      </c>
      <c r="I26" s="26">
        <f t="shared" si="16"/>
        <v>0</v>
      </c>
      <c r="J26" s="26" t="e">
        <f t="shared" si="16"/>
        <v>#DIV/0!</v>
      </c>
      <c r="K26" s="26" t="e">
        <f t="shared" si="16"/>
        <v>#DIV/0!</v>
      </c>
      <c r="L26" s="26" t="e">
        <f t="shared" si="16"/>
        <v>#DIV/0!</v>
      </c>
      <c r="M26" s="26" t="e">
        <f t="shared" si="16"/>
        <v>#DIV/0!</v>
      </c>
      <c r="N26" s="26" t="e">
        <f t="shared" si="16"/>
        <v>#DIV/0!</v>
      </c>
    </row>
    <row r="27" spans="2:14" ht="25.5">
      <c r="B27" s="25" t="s">
        <v>289</v>
      </c>
      <c r="C27" s="26">
        <f>AVERAGE(C26,C28)</f>
        <v>6.5801433476790931</v>
      </c>
      <c r="D27" s="26">
        <f t="shared" ref="D27:N27" si="17">AVERAGE(D26,D28)</f>
        <v>6.7824878242690678</v>
      </c>
      <c r="E27" s="26">
        <f t="shared" si="17"/>
        <v>6.4241360238796457</v>
      </c>
      <c r="F27" s="26">
        <f t="shared" si="17"/>
        <v>20.680589126478893</v>
      </c>
      <c r="G27" s="26">
        <f t="shared" si="17"/>
        <v>33.764879545617816</v>
      </c>
      <c r="H27" s="26">
        <f t="shared" si="17"/>
        <v>7.6190658065991492</v>
      </c>
      <c r="I27" s="26">
        <f t="shared" si="17"/>
        <v>7.5817953457986809</v>
      </c>
      <c r="J27" s="26" t="e">
        <f t="shared" si="17"/>
        <v>#DIV/0!</v>
      </c>
      <c r="K27" s="26" t="e">
        <f t="shared" si="17"/>
        <v>#DIV/0!</v>
      </c>
      <c r="L27" s="26" t="e">
        <f t="shared" si="17"/>
        <v>#DIV/0!</v>
      </c>
      <c r="M27" s="26" t="e">
        <f t="shared" si="17"/>
        <v>#DIV/0!</v>
      </c>
      <c r="N27" s="26" t="e">
        <f t="shared" si="17"/>
        <v>#DIV/0!</v>
      </c>
    </row>
    <row r="28" spans="2:14" ht="25.5">
      <c r="B28" s="25" t="s">
        <v>290</v>
      </c>
      <c r="C28" s="26">
        <f t="shared" ref="C28:N28" si="18">+C18*C25</f>
        <v>13.160286695358186</v>
      </c>
      <c r="D28" s="26">
        <f t="shared" si="18"/>
        <v>13.564975648538136</v>
      </c>
      <c r="E28" s="26">
        <f t="shared" si="18"/>
        <v>12.848272047759291</v>
      </c>
      <c r="F28" s="26">
        <f t="shared" si="18"/>
        <v>27.574118835305192</v>
      </c>
      <c r="G28" s="26">
        <f t="shared" si="18"/>
        <v>37.516532828464236</v>
      </c>
      <c r="H28" s="26">
        <f t="shared" si="18"/>
        <v>15.238131613198298</v>
      </c>
      <c r="I28" s="26">
        <f t="shared" si="18"/>
        <v>15.163590691597362</v>
      </c>
      <c r="J28" s="26" t="e">
        <f t="shared" si="18"/>
        <v>#DIV/0!</v>
      </c>
      <c r="K28" s="26" t="e">
        <f t="shared" si="18"/>
        <v>#DIV/0!</v>
      </c>
      <c r="L28" s="26" t="e">
        <f t="shared" si="18"/>
        <v>#DIV/0!</v>
      </c>
      <c r="M28" s="26" t="e">
        <f t="shared" si="18"/>
        <v>#DIV/0!</v>
      </c>
      <c r="N28" s="26" t="e">
        <f t="shared" si="18"/>
        <v>#DIV/0!</v>
      </c>
    </row>
    <row r="30" spans="2:14" ht="25.5">
      <c r="B30" s="243" t="s">
        <v>291</v>
      </c>
      <c r="C30" s="81">
        <f t="shared" ref="C30:N30" si="19">C7-C12</f>
        <v>278000000.00000012</v>
      </c>
      <c r="D30" s="81">
        <f t="shared" si="19"/>
        <v>325760000</v>
      </c>
      <c r="E30" s="81">
        <f t="shared" si="19"/>
        <v>96320000</v>
      </c>
      <c r="F30" s="81">
        <f t="shared" si="19"/>
        <v>-79200000</v>
      </c>
      <c r="G30" s="81">
        <f t="shared" si="19"/>
        <v>363190000</v>
      </c>
      <c r="H30" s="81">
        <f t="shared" si="19"/>
        <v>189640000</v>
      </c>
      <c r="I30" s="81">
        <f t="shared" si="19"/>
        <v>605050000</v>
      </c>
      <c r="J30" s="81">
        <f t="shared" si="19"/>
        <v>0</v>
      </c>
      <c r="K30" s="81">
        <f t="shared" si="19"/>
        <v>0</v>
      </c>
      <c r="L30" s="81">
        <f t="shared" si="19"/>
        <v>0</v>
      </c>
      <c r="M30" s="81">
        <f t="shared" si="19"/>
        <v>0</v>
      </c>
      <c r="N30" s="81">
        <f t="shared" si="19"/>
        <v>0</v>
      </c>
    </row>
    <row r="31" spans="2:14" ht="25.5">
      <c r="B31" s="30" t="s">
        <v>149</v>
      </c>
      <c r="C31" s="241">
        <f t="shared" ref="C31:N31" si="20">C7/C12</f>
        <v>1.2609446572050764</v>
      </c>
      <c r="D31" s="241">
        <f t="shared" si="20"/>
        <v>1.3732184592823427</v>
      </c>
      <c r="E31" s="241">
        <f t="shared" si="20"/>
        <v>1.084134762366465</v>
      </c>
      <c r="F31" s="241">
        <f t="shared" si="20"/>
        <v>0.94937291450926242</v>
      </c>
      <c r="G31" s="241">
        <f t="shared" si="20"/>
        <v>1.2241816711623572</v>
      </c>
      <c r="H31" s="242">
        <f t="shared" si="20"/>
        <v>1.126832530765115</v>
      </c>
      <c r="I31" s="242">
        <f t="shared" si="20"/>
        <v>1.4291256489545803</v>
      </c>
      <c r="J31" s="242" t="e">
        <f t="shared" si="20"/>
        <v>#DIV/0!</v>
      </c>
      <c r="K31" s="242" t="e">
        <f t="shared" si="20"/>
        <v>#DIV/0!</v>
      </c>
      <c r="L31" s="242" t="e">
        <f t="shared" si="20"/>
        <v>#DIV/0!</v>
      </c>
      <c r="M31" s="242" t="e">
        <f t="shared" si="20"/>
        <v>#DIV/0!</v>
      </c>
      <c r="N31" s="242" t="e">
        <f t="shared" si="20"/>
        <v>#DIV/0!</v>
      </c>
    </row>
    <row r="32" spans="2:14" ht="25.5">
      <c r="B32" s="30" t="s">
        <v>292</v>
      </c>
      <c r="C32" s="241">
        <f t="shared" ref="C32:N32" si="21">+(C7-C9)/C12</f>
        <v>1.0009198768491403</v>
      </c>
      <c r="D32" s="241">
        <f t="shared" si="21"/>
        <v>0.91174785756839738</v>
      </c>
      <c r="E32" s="241">
        <f t="shared" si="21"/>
        <v>0.63675829599154454</v>
      </c>
      <c r="F32" s="241">
        <f t="shared" si="21"/>
        <v>0.75194006571293415</v>
      </c>
      <c r="G32" s="241">
        <f t="shared" si="21"/>
        <v>0.85263599720999705</v>
      </c>
      <c r="H32" s="241">
        <f t="shared" si="21"/>
        <v>0.61254681647940079</v>
      </c>
      <c r="I32" s="241">
        <f t="shared" si="21"/>
        <v>0.89747936111662741</v>
      </c>
      <c r="J32" s="241" t="e">
        <f t="shared" si="21"/>
        <v>#DIV/0!</v>
      </c>
      <c r="K32" s="241" t="e">
        <f t="shared" si="21"/>
        <v>#DIV/0!</v>
      </c>
      <c r="L32" s="241" t="e">
        <f t="shared" si="21"/>
        <v>#DIV/0!</v>
      </c>
      <c r="M32" s="241" t="e">
        <f t="shared" si="21"/>
        <v>#DIV/0!</v>
      </c>
      <c r="N32" s="241" t="e">
        <f t="shared" si="21"/>
        <v>#DIV/0!</v>
      </c>
    </row>
    <row r="33" spans="2:14" ht="25.5">
      <c r="B33" s="32" t="s">
        <v>153</v>
      </c>
      <c r="C33" s="33">
        <f t="shared" ref="C33:N33" si="22">C14/C11</f>
        <v>0.41196151559375171</v>
      </c>
      <c r="D33" s="33">
        <f t="shared" si="22"/>
        <v>0.37428320562240119</v>
      </c>
      <c r="E33" s="33">
        <f t="shared" si="22"/>
        <v>0.40802812325461696</v>
      </c>
      <c r="F33" s="33">
        <f t="shared" si="22"/>
        <v>0.41388005144520407</v>
      </c>
      <c r="G33" s="33">
        <f t="shared" si="22"/>
        <v>0.44538242135159412</v>
      </c>
      <c r="H33" s="33">
        <f t="shared" si="22"/>
        <v>0.4388681626158995</v>
      </c>
      <c r="I33" s="33">
        <f t="shared" si="22"/>
        <v>0.47747247571554574</v>
      </c>
      <c r="J33" s="33" t="e">
        <f t="shared" si="22"/>
        <v>#DIV/0!</v>
      </c>
      <c r="K33" s="33" t="e">
        <f t="shared" si="22"/>
        <v>#DIV/0!</v>
      </c>
      <c r="L33" s="33" t="e">
        <f t="shared" si="22"/>
        <v>#DIV/0!</v>
      </c>
      <c r="M33" s="33" t="e">
        <f t="shared" si="22"/>
        <v>#DIV/0!</v>
      </c>
      <c r="N33" s="33" t="e">
        <f t="shared" si="22"/>
        <v>#DIV/0!</v>
      </c>
    </row>
    <row r="36" spans="2:14" ht="25.5">
      <c r="B36" s="35" t="s">
        <v>293</v>
      </c>
      <c r="C36" s="36">
        <f>+C116</f>
        <v>1931650000</v>
      </c>
      <c r="D36" s="36">
        <f t="shared" ref="D36:N36" si="23">+D116</f>
        <v>1917130000</v>
      </c>
      <c r="E36" s="36">
        <f t="shared" si="23"/>
        <v>1590250000</v>
      </c>
      <c r="F36" s="36">
        <f t="shared" si="23"/>
        <v>2679000000</v>
      </c>
      <c r="G36" s="36">
        <f t="shared" si="23"/>
        <v>3676880000</v>
      </c>
      <c r="H36" s="36">
        <f t="shared" si="23"/>
        <v>3006050000</v>
      </c>
      <c r="I36" s="36">
        <f t="shared" si="23"/>
        <v>2964900000</v>
      </c>
      <c r="J36" s="36">
        <f t="shared" si="23"/>
        <v>0</v>
      </c>
      <c r="K36" s="36">
        <f t="shared" si="23"/>
        <v>0</v>
      </c>
      <c r="L36" s="36">
        <f t="shared" si="23"/>
        <v>0</v>
      </c>
      <c r="M36" s="36">
        <f t="shared" si="23"/>
        <v>0</v>
      </c>
      <c r="N36" s="36">
        <f t="shared" si="23"/>
        <v>0</v>
      </c>
    </row>
    <row r="37" spans="2:14" ht="25.5">
      <c r="B37" s="39" t="s">
        <v>156</v>
      </c>
      <c r="C37" s="40">
        <f>+C123</f>
        <v>360160000</v>
      </c>
      <c r="D37" s="40">
        <f t="shared" ref="D37:N37" si="24">+D123</f>
        <v>318290000</v>
      </c>
      <c r="E37" s="40">
        <f t="shared" si="24"/>
        <v>-30100000</v>
      </c>
      <c r="F37" s="40">
        <f t="shared" si="24"/>
        <v>698570000</v>
      </c>
      <c r="G37" s="40">
        <f t="shared" si="24"/>
        <v>1491110000</v>
      </c>
      <c r="H37" s="40">
        <f t="shared" si="24"/>
        <v>586820000</v>
      </c>
      <c r="I37" s="40">
        <f t="shared" si="24"/>
        <v>486760000</v>
      </c>
      <c r="J37" s="40">
        <f t="shared" si="24"/>
        <v>0</v>
      </c>
      <c r="K37" s="40">
        <f t="shared" si="24"/>
        <v>0</v>
      </c>
      <c r="L37" s="40">
        <f t="shared" si="24"/>
        <v>0</v>
      </c>
      <c r="M37" s="40">
        <f t="shared" si="24"/>
        <v>0</v>
      </c>
      <c r="N37" s="40">
        <f t="shared" si="24"/>
        <v>0</v>
      </c>
    </row>
    <row r="38" spans="2:14" ht="25.5">
      <c r="B38" s="35" t="s">
        <v>381</v>
      </c>
      <c r="C38" s="41">
        <f>C37/C36</f>
        <v>0.18645199699738566</v>
      </c>
      <c r="D38" s="41">
        <f t="shared" ref="D38:N38" si="25">D37/D36</f>
        <v>0.16602421327713823</v>
      </c>
      <c r="E38" s="41">
        <f t="shared" si="25"/>
        <v>-1.8927841534349944E-2</v>
      </c>
      <c r="F38" s="41">
        <f t="shared" si="25"/>
        <v>0.26075774542739827</v>
      </c>
      <c r="G38" s="41">
        <f t="shared" si="25"/>
        <v>0.40553675942647027</v>
      </c>
      <c r="H38" s="41">
        <f t="shared" si="25"/>
        <v>0.19521298714259577</v>
      </c>
      <c r="I38" s="41">
        <f t="shared" si="25"/>
        <v>0.16417417113562008</v>
      </c>
      <c r="J38" s="41" t="e">
        <f t="shared" si="25"/>
        <v>#DIV/0!</v>
      </c>
      <c r="K38" s="41" t="e">
        <f t="shared" si="25"/>
        <v>#DIV/0!</v>
      </c>
      <c r="L38" s="41" t="e">
        <f t="shared" si="25"/>
        <v>#DIV/0!</v>
      </c>
      <c r="M38" s="41" t="e">
        <f t="shared" si="25"/>
        <v>#DIV/0!</v>
      </c>
      <c r="N38" s="41" t="e">
        <f t="shared" si="25"/>
        <v>#DIV/0!</v>
      </c>
    </row>
    <row r="39" spans="2:14" ht="25.5">
      <c r="B39" s="43" t="s">
        <v>295</v>
      </c>
      <c r="C39" s="44">
        <f>+C133</f>
        <v>130290000</v>
      </c>
      <c r="D39" s="44">
        <f t="shared" ref="D39:N39" si="26">+D133</f>
        <v>124640000</v>
      </c>
      <c r="E39" s="209">
        <f t="shared" si="26"/>
        <v>-104120000</v>
      </c>
      <c r="F39" s="44">
        <f t="shared" si="26"/>
        <v>300420000</v>
      </c>
      <c r="G39" s="44">
        <f t="shared" si="26"/>
        <v>741380000</v>
      </c>
      <c r="H39" s="44">
        <f t="shared" si="26"/>
        <v>225970000</v>
      </c>
      <c r="I39" s="209">
        <f t="shared" si="26"/>
        <v>-6990000</v>
      </c>
      <c r="J39" s="44">
        <f t="shared" si="26"/>
        <v>0</v>
      </c>
      <c r="K39" s="44">
        <f t="shared" si="26"/>
        <v>0</v>
      </c>
      <c r="L39" s="44">
        <f t="shared" si="26"/>
        <v>0</v>
      </c>
      <c r="M39" s="44">
        <f t="shared" si="26"/>
        <v>0</v>
      </c>
      <c r="N39" s="44">
        <f t="shared" si="26"/>
        <v>0</v>
      </c>
    </row>
    <row r="40" spans="2:14" ht="25.5">
      <c r="B40" s="30" t="s">
        <v>296</v>
      </c>
      <c r="C40" s="45">
        <f>C39/C36</f>
        <v>6.7450107421116665E-2</v>
      </c>
      <c r="D40" s="45">
        <f t="shared" ref="D40:N40" si="27">D39/D36</f>
        <v>6.501384882610986E-2</v>
      </c>
      <c r="E40" s="527">
        <f t="shared" si="27"/>
        <v>-6.5473982078289583E-2</v>
      </c>
      <c r="F40" s="45">
        <f t="shared" si="27"/>
        <v>0.11213885778275476</v>
      </c>
      <c r="G40" s="45">
        <f t="shared" si="27"/>
        <v>0.20163290615957008</v>
      </c>
      <c r="H40" s="45">
        <f t="shared" si="27"/>
        <v>7.5171736997055941E-2</v>
      </c>
      <c r="I40" s="527">
        <f t="shared" si="27"/>
        <v>-2.3575837296367498E-3</v>
      </c>
      <c r="J40" s="45" t="e">
        <f t="shared" si="27"/>
        <v>#DIV/0!</v>
      </c>
      <c r="K40" s="45" t="e">
        <f t="shared" si="27"/>
        <v>#DIV/0!</v>
      </c>
      <c r="L40" s="45" t="e">
        <f t="shared" si="27"/>
        <v>#DIV/0!</v>
      </c>
      <c r="M40" s="45" t="e">
        <f t="shared" si="27"/>
        <v>#DIV/0!</v>
      </c>
      <c r="N40" s="45" t="e">
        <f t="shared" si="27"/>
        <v>#DIV/0!</v>
      </c>
    </row>
    <row r="41" spans="2:14" ht="25.5">
      <c r="B41" s="46" t="s">
        <v>658</v>
      </c>
      <c r="C41" s="121">
        <f>+C134</f>
        <v>0.87</v>
      </c>
      <c r="D41" s="121">
        <f t="shared" ref="D41:N41" si="28">+D134</f>
        <v>0.83</v>
      </c>
      <c r="E41" s="121">
        <f t="shared" si="28"/>
        <v>-0.7</v>
      </c>
      <c r="F41" s="121">
        <f t="shared" si="28"/>
        <v>2.0099999999999998</v>
      </c>
      <c r="G41" s="121">
        <f t="shared" si="28"/>
        <v>4.96</v>
      </c>
      <c r="H41" s="121">
        <f t="shared" si="28"/>
        <v>1.51</v>
      </c>
      <c r="I41" s="121">
        <f t="shared" si="28"/>
        <v>-0.05</v>
      </c>
      <c r="J41" s="121">
        <f t="shared" si="28"/>
        <v>0</v>
      </c>
      <c r="K41" s="121">
        <f t="shared" si="28"/>
        <v>0</v>
      </c>
      <c r="L41" s="121">
        <f t="shared" si="28"/>
        <v>0</v>
      </c>
      <c r="M41" s="121">
        <f t="shared" si="28"/>
        <v>0</v>
      </c>
      <c r="N41" s="121">
        <f t="shared" si="28"/>
        <v>0</v>
      </c>
    </row>
    <row r="42" spans="2:14" ht="25.5">
      <c r="B42" s="46" t="s">
        <v>659</v>
      </c>
      <c r="C42" s="181">
        <f>+C41*C43</f>
        <v>581.85599999999999</v>
      </c>
      <c r="D42" s="181">
        <f t="shared" ref="D42:N42" si="29">+D41*D43</f>
        <v>564.4</v>
      </c>
      <c r="E42" s="528">
        <f t="shared" si="29"/>
        <v>-485.79999999999995</v>
      </c>
      <c r="F42" s="181">
        <f t="shared" si="29"/>
        <v>1535.6399999999999</v>
      </c>
      <c r="G42" s="181">
        <f t="shared" si="29"/>
        <v>4225.92</v>
      </c>
      <c r="H42" s="181">
        <f t="shared" si="29"/>
        <v>1280.8575000000001</v>
      </c>
      <c r="I42" s="528">
        <f t="shared" si="29"/>
        <v>-44.229500000000002</v>
      </c>
      <c r="J42" s="181">
        <f t="shared" si="29"/>
        <v>0</v>
      </c>
      <c r="K42" s="181">
        <f t="shared" si="29"/>
        <v>0</v>
      </c>
      <c r="L42" s="181">
        <f t="shared" si="29"/>
        <v>0</v>
      </c>
      <c r="M42" s="181">
        <f t="shared" si="29"/>
        <v>0</v>
      </c>
      <c r="N42" s="181">
        <f t="shared" si="29"/>
        <v>0</v>
      </c>
    </row>
    <row r="43" spans="2:14" ht="25.5">
      <c r="B43" s="79" t="s">
        <v>600</v>
      </c>
      <c r="C43" s="173">
        <v>668.8</v>
      </c>
      <c r="D43" s="173">
        <v>680</v>
      </c>
      <c r="E43" s="173">
        <v>694</v>
      </c>
      <c r="F43" s="173">
        <v>764</v>
      </c>
      <c r="G43" s="173">
        <v>852</v>
      </c>
      <c r="H43" s="173">
        <v>848.25</v>
      </c>
      <c r="I43" s="173">
        <v>884.59</v>
      </c>
      <c r="J43" s="174"/>
      <c r="K43" s="174"/>
      <c r="L43" s="174"/>
      <c r="M43" s="174"/>
      <c r="N43" s="174"/>
    </row>
    <row r="44" spans="2:14" ht="25.5">
      <c r="B44" s="48" t="s">
        <v>160</v>
      </c>
      <c r="C44" s="49">
        <f t="shared" ref="C44:N44" si="30">C39/C15</f>
        <v>6.6245335014592385E-2</v>
      </c>
      <c r="D44" s="49">
        <f t="shared" si="30"/>
        <v>6.1482000335428118E-2</v>
      </c>
      <c r="E44" s="529">
        <f t="shared" si="30"/>
        <v>-5.4224930343983541E-2</v>
      </c>
      <c r="F44" s="49">
        <f t="shared" si="30"/>
        <v>0.14580310126428692</v>
      </c>
      <c r="G44" s="49">
        <f t="shared" si="30"/>
        <v>0.33057327964828265</v>
      </c>
      <c r="H44" s="49">
        <f t="shared" si="30"/>
        <v>9.9226719243317774E-2</v>
      </c>
      <c r="I44" s="529">
        <f t="shared" si="30"/>
        <v>-3.0844993976621347E-3</v>
      </c>
      <c r="J44" s="49" t="e">
        <f t="shared" si="30"/>
        <v>#DIV/0!</v>
      </c>
      <c r="K44" s="49" t="e">
        <f t="shared" si="30"/>
        <v>#DIV/0!</v>
      </c>
      <c r="L44" s="49" t="e">
        <f t="shared" si="30"/>
        <v>#DIV/0!</v>
      </c>
      <c r="M44" s="49" t="e">
        <f t="shared" si="30"/>
        <v>#DIV/0!</v>
      </c>
      <c r="N44" s="49" t="e">
        <f t="shared" si="30"/>
        <v>#DIV/0!</v>
      </c>
    </row>
    <row r="45" spans="2:14" ht="25.5">
      <c r="B45" s="48" t="s">
        <v>382</v>
      </c>
      <c r="C45" s="49">
        <f>AVERAGE(C44:I44)</f>
        <v>9.2288715109180325E-2</v>
      </c>
      <c r="D45" s="49"/>
      <c r="E45" s="49"/>
      <c r="F45" s="49"/>
      <c r="G45" s="49"/>
      <c r="H45" s="49"/>
      <c r="I45" s="49"/>
      <c r="J45" s="49"/>
      <c r="K45" s="49"/>
      <c r="L45" s="49"/>
      <c r="M45" s="49"/>
      <c r="N45" s="49"/>
    </row>
    <row r="46" spans="2:14" ht="25.5">
      <c r="B46" s="48" t="s">
        <v>298</v>
      </c>
      <c r="C46" s="50">
        <f t="shared" ref="C46:H46" si="31">+C147</f>
        <v>394830000</v>
      </c>
      <c r="D46" s="50">
        <f t="shared" si="31"/>
        <v>191720000</v>
      </c>
      <c r="E46" s="50">
        <f t="shared" si="31"/>
        <v>-156700000</v>
      </c>
      <c r="F46" s="50">
        <f t="shared" si="31"/>
        <v>630030000</v>
      </c>
      <c r="G46" s="50">
        <f t="shared" si="31"/>
        <v>1011060000</v>
      </c>
      <c r="H46" s="50">
        <f t="shared" si="31"/>
        <v>-174110000</v>
      </c>
      <c r="I46" s="50">
        <f>+I147</f>
        <v>-56180000</v>
      </c>
      <c r="J46" s="50">
        <f t="shared" ref="J46:N46" si="32">+J147</f>
        <v>0</v>
      </c>
      <c r="K46" s="50">
        <f t="shared" si="32"/>
        <v>0</v>
      </c>
      <c r="L46" s="50">
        <f t="shared" si="32"/>
        <v>0</v>
      </c>
      <c r="M46" s="50">
        <f t="shared" si="32"/>
        <v>0</v>
      </c>
      <c r="N46" s="50">
        <f t="shared" si="32"/>
        <v>0</v>
      </c>
    </row>
    <row r="47" spans="2:14" ht="25.5">
      <c r="B47" s="51" t="s">
        <v>119</v>
      </c>
      <c r="C47" s="51">
        <f>SUM(C49:C52)</f>
        <v>247.33</v>
      </c>
      <c r="D47" s="51">
        <f t="shared" ref="D47:F47" si="33">SUM(D49:D52)</f>
        <v>302.60000000000002</v>
      </c>
      <c r="E47" s="51">
        <f t="shared" si="33"/>
        <v>171.167</v>
      </c>
      <c r="F47" s="51">
        <f t="shared" si="33"/>
        <v>250</v>
      </c>
      <c r="G47" s="51">
        <f>SUM(G49:G52)</f>
        <v>1781.614</v>
      </c>
      <c r="H47" s="51">
        <f>SUM(H49:H52)</f>
        <v>2238.6489999999999</v>
      </c>
      <c r="I47" s="51">
        <f t="shared" ref="I47:N47" si="34">SUM(I49:I51)</f>
        <v>279.51600000000002</v>
      </c>
      <c r="J47" s="51">
        <f t="shared" si="34"/>
        <v>0</v>
      </c>
      <c r="K47" s="51">
        <f t="shared" si="34"/>
        <v>0</v>
      </c>
      <c r="L47" s="51">
        <f t="shared" si="34"/>
        <v>0</v>
      </c>
      <c r="M47" s="51">
        <f t="shared" si="34"/>
        <v>0</v>
      </c>
      <c r="N47" s="51">
        <f t="shared" si="34"/>
        <v>0</v>
      </c>
    </row>
    <row r="48" spans="2:14" ht="25.5">
      <c r="B48" s="51" t="s">
        <v>383</v>
      </c>
      <c r="C48" s="51">
        <f>+C49+C50</f>
        <v>247.33</v>
      </c>
      <c r="D48" s="51">
        <f t="shared" ref="D48:N48" si="35">+D49+D50</f>
        <v>302.60000000000002</v>
      </c>
      <c r="E48" s="51">
        <f t="shared" si="35"/>
        <v>171.167</v>
      </c>
      <c r="F48" s="51">
        <f t="shared" si="35"/>
        <v>250</v>
      </c>
      <c r="G48" s="51">
        <f t="shared" si="35"/>
        <v>1078.066</v>
      </c>
      <c r="H48" s="51">
        <f t="shared" si="35"/>
        <v>2238.6489999999999</v>
      </c>
      <c r="I48" s="51">
        <f t="shared" si="35"/>
        <v>279.51600000000002</v>
      </c>
      <c r="J48" s="51">
        <f t="shared" si="35"/>
        <v>0</v>
      </c>
      <c r="K48" s="51">
        <f t="shared" si="35"/>
        <v>0</v>
      </c>
      <c r="L48" s="51">
        <f t="shared" si="35"/>
        <v>0</v>
      </c>
      <c r="M48" s="51">
        <f t="shared" si="35"/>
        <v>0</v>
      </c>
      <c r="N48" s="51">
        <f t="shared" si="35"/>
        <v>0</v>
      </c>
    </row>
    <row r="49" spans="2:16" ht="18">
      <c r="B49" s="135" t="s">
        <v>121</v>
      </c>
      <c r="C49" s="94">
        <v>147.33000000000001</v>
      </c>
      <c r="D49" s="94"/>
      <c r="E49" s="94">
        <v>171.167</v>
      </c>
      <c r="F49" s="94"/>
      <c r="G49" s="94">
        <v>485.58100000000002</v>
      </c>
      <c r="H49" s="94">
        <v>1843.7</v>
      </c>
      <c r="I49" s="155">
        <v>279.51600000000002</v>
      </c>
      <c r="J49" s="155"/>
      <c r="K49" s="155"/>
      <c r="L49" s="155"/>
      <c r="M49" s="155"/>
      <c r="N49" s="155"/>
    </row>
    <row r="50" spans="2:16" ht="18">
      <c r="B50" s="135" t="s">
        <v>122</v>
      </c>
      <c r="C50" s="94">
        <v>100</v>
      </c>
      <c r="D50" s="94">
        <f>120+182.6</f>
        <v>302.60000000000002</v>
      </c>
      <c r="E50" s="94"/>
      <c r="F50" s="94">
        <f>150+100</f>
        <v>250</v>
      </c>
      <c r="G50" s="94">
        <v>592.48500000000001</v>
      </c>
      <c r="H50" s="94">
        <f>118.641+276.308</f>
        <v>394.94900000000001</v>
      </c>
      <c r="I50" s="155"/>
      <c r="J50" s="155"/>
      <c r="K50" s="155"/>
      <c r="L50" s="155"/>
      <c r="M50" s="155"/>
      <c r="N50" s="155"/>
    </row>
    <row r="51" spans="2:16" ht="18">
      <c r="B51" s="135" t="s">
        <v>123</v>
      </c>
      <c r="C51" s="94"/>
      <c r="D51" s="94"/>
      <c r="E51" s="94"/>
      <c r="F51" s="94"/>
      <c r="G51" s="94"/>
      <c r="H51" s="94"/>
      <c r="I51" s="155"/>
      <c r="J51" s="155"/>
      <c r="K51" s="155"/>
      <c r="L51" s="155"/>
      <c r="M51" s="155"/>
      <c r="N51" s="155"/>
    </row>
    <row r="52" spans="2:16" ht="18">
      <c r="B52" s="135" t="s">
        <v>124</v>
      </c>
      <c r="C52" s="94"/>
      <c r="D52" s="94"/>
      <c r="E52" s="94"/>
      <c r="F52" s="94"/>
      <c r="G52" s="94">
        <v>703.548</v>
      </c>
      <c r="H52" s="94"/>
      <c r="I52" s="94"/>
      <c r="J52" s="94"/>
      <c r="K52" s="94"/>
      <c r="L52" s="94"/>
      <c r="M52" s="94"/>
      <c r="N52" s="94"/>
    </row>
    <row r="53" spans="2:16" ht="25.5">
      <c r="B53" s="541" t="s">
        <v>167</v>
      </c>
      <c r="C53" s="99">
        <f>(C50+C51+D49)/C42</f>
        <v>0.17186382885112467</v>
      </c>
      <c r="D53" s="99">
        <f t="shared" ref="D53:N53" si="36">(D50+D51+E49)/D42</f>
        <v>0.83941708008504623</v>
      </c>
      <c r="E53" s="99">
        <f t="shared" si="36"/>
        <v>0</v>
      </c>
      <c r="F53" s="99">
        <f t="shared" si="36"/>
        <v>0.47900614727410074</v>
      </c>
      <c r="G53" s="99">
        <f t="shared" si="36"/>
        <v>0.576486303574133</v>
      </c>
      <c r="H53" s="99">
        <f t="shared" si="36"/>
        <v>0.52657301846614479</v>
      </c>
      <c r="I53" s="99">
        <f t="shared" si="36"/>
        <v>0</v>
      </c>
      <c r="J53" s="99" t="e">
        <f t="shared" si="36"/>
        <v>#DIV/0!</v>
      </c>
      <c r="K53" s="99" t="e">
        <f t="shared" si="36"/>
        <v>#DIV/0!</v>
      </c>
      <c r="L53" s="99" t="e">
        <f t="shared" si="36"/>
        <v>#DIV/0!</v>
      </c>
      <c r="M53" s="99" t="e">
        <f t="shared" si="36"/>
        <v>#DIV/0!</v>
      </c>
      <c r="N53" s="99" t="e">
        <f t="shared" si="36"/>
        <v>#DIV/0!</v>
      </c>
    </row>
    <row r="54" spans="2:16" ht="28.5">
      <c r="B54" s="540" t="s">
        <v>585</v>
      </c>
      <c r="C54" s="54">
        <f>AVERAGE(C53:I53)</f>
        <v>0.37047805403579276</v>
      </c>
      <c r="D54" s="54"/>
      <c r="E54" s="54"/>
      <c r="F54" s="54"/>
      <c r="G54" s="54"/>
      <c r="H54" s="54"/>
      <c r="I54" s="54"/>
      <c r="J54" s="54"/>
      <c r="K54" s="54"/>
      <c r="L54" s="54"/>
      <c r="M54" s="54"/>
      <c r="N54" s="54"/>
    </row>
    <row r="55" spans="2:16" ht="25.5">
      <c r="B55" s="541" t="s">
        <v>299</v>
      </c>
      <c r="C55" s="99">
        <f t="shared" ref="C55:N55" si="37">+C47/C20</f>
        <v>3.1391039472014215E-2</v>
      </c>
      <c r="D55" s="99">
        <f t="shared" si="37"/>
        <v>4.9704336399474379E-2</v>
      </c>
      <c r="E55" s="99">
        <f t="shared" si="37"/>
        <v>3.0034567467976839E-2</v>
      </c>
      <c r="F55" s="99">
        <f t="shared" si="37"/>
        <v>2.6101482564209647E-2</v>
      </c>
      <c r="G55" s="99">
        <f t="shared" si="37"/>
        <v>0.21488529731033651</v>
      </c>
      <c r="H55" s="99">
        <f t="shared" si="37"/>
        <v>0.32192249065286166</v>
      </c>
      <c r="I55" s="99">
        <f t="shared" si="37"/>
        <v>3.8762446262654279E-2</v>
      </c>
      <c r="J55" s="99" t="e">
        <f t="shared" si="37"/>
        <v>#DIV/0!</v>
      </c>
      <c r="K55" s="99" t="e">
        <f t="shared" si="37"/>
        <v>#DIV/0!</v>
      </c>
      <c r="L55" s="99" t="e">
        <f t="shared" si="37"/>
        <v>#DIV/0!</v>
      </c>
      <c r="M55" s="99" t="e">
        <f t="shared" si="37"/>
        <v>#DIV/0!</v>
      </c>
      <c r="N55" s="99" t="e">
        <f t="shared" si="37"/>
        <v>#DIV/0!</v>
      </c>
    </row>
    <row r="56" spans="2:16" ht="25.5">
      <c r="B56" s="542" t="s">
        <v>586</v>
      </c>
      <c r="C56" s="534">
        <f>AVERAGE(C55:I55)</f>
        <v>0.1018288085899325</v>
      </c>
      <c r="D56" s="534"/>
      <c r="E56" s="534"/>
      <c r="F56" s="534"/>
      <c r="G56" s="534"/>
      <c r="H56" s="534"/>
      <c r="I56" s="534"/>
      <c r="J56" s="534"/>
      <c r="K56" s="534"/>
      <c r="L56" s="534"/>
      <c r="M56" s="534"/>
      <c r="N56" s="534"/>
      <c r="O56" s="534"/>
      <c r="P56" s="534"/>
    </row>
    <row r="57" spans="2:16" ht="25.5">
      <c r="B57" s="543" t="s">
        <v>176</v>
      </c>
      <c r="C57" s="355">
        <f>+C44*(100%-C53)</f>
        <v>5.4860158095459056E-2</v>
      </c>
      <c r="D57" s="355">
        <f t="shared" ref="D57:N57" si="38">+D44*(100%-D53)</f>
        <v>9.8729591360752142E-3</v>
      </c>
      <c r="E57" s="355">
        <f t="shared" si="38"/>
        <v>-5.4224930343983541E-2</v>
      </c>
      <c r="F57" s="549">
        <f t="shared" si="38"/>
        <v>7.5962519467065268E-2</v>
      </c>
      <c r="G57" s="355">
        <f t="shared" si="38"/>
        <v>0.14000231160346602</v>
      </c>
      <c r="H57" s="355">
        <f t="shared" si="38"/>
        <v>4.6976606178871241E-2</v>
      </c>
      <c r="I57" s="355">
        <f t="shared" si="38"/>
        <v>-3.0844993976621347E-3</v>
      </c>
      <c r="J57" s="355" t="e">
        <f t="shared" si="38"/>
        <v>#DIV/0!</v>
      </c>
      <c r="K57" s="355" t="e">
        <f t="shared" si="38"/>
        <v>#DIV/0!</v>
      </c>
      <c r="L57" s="355" t="e">
        <f t="shared" si="38"/>
        <v>#DIV/0!</v>
      </c>
      <c r="M57" s="355" t="e">
        <f t="shared" si="38"/>
        <v>#DIV/0!</v>
      </c>
      <c r="N57" s="355" t="e">
        <f t="shared" si="38"/>
        <v>#DIV/0!</v>
      </c>
    </row>
    <row r="58" spans="2:16" ht="25.5">
      <c r="B58" s="542" t="s">
        <v>587</v>
      </c>
      <c r="C58" s="534">
        <f>AVERAGE(C57:I57)</f>
        <v>3.8623589248470154E-2</v>
      </c>
      <c r="D58" s="534"/>
      <c r="E58" s="534"/>
      <c r="F58" s="534"/>
      <c r="G58" s="534"/>
      <c r="H58" s="534"/>
      <c r="I58" s="534"/>
      <c r="J58" s="534"/>
      <c r="K58" s="534"/>
      <c r="L58" s="534"/>
      <c r="M58" s="534"/>
      <c r="N58" s="534"/>
      <c r="O58" s="534"/>
    </row>
    <row r="60" spans="2:16">
      <c r="B60" s="75" t="s">
        <v>307</v>
      </c>
    </row>
    <row r="61" spans="2:16" ht="14.65" thickBot="1"/>
    <row r="62" spans="2:16">
      <c r="B62" s="57" t="s">
        <v>385</v>
      </c>
      <c r="C62" s="158">
        <v>2017</v>
      </c>
      <c r="D62" s="158">
        <v>2018</v>
      </c>
      <c r="E62" s="158">
        <v>2019</v>
      </c>
      <c r="F62" s="158">
        <v>2020</v>
      </c>
      <c r="G62" s="158">
        <v>2021</v>
      </c>
      <c r="H62" s="158">
        <v>2022</v>
      </c>
      <c r="I62" s="158">
        <v>2023</v>
      </c>
      <c r="J62" s="158">
        <v>2024</v>
      </c>
      <c r="K62" s="158">
        <v>2025</v>
      </c>
      <c r="L62" s="158">
        <v>2026</v>
      </c>
      <c r="M62" s="158">
        <v>2027</v>
      </c>
      <c r="N62" s="158">
        <v>2028</v>
      </c>
    </row>
    <row r="63" spans="2:16">
      <c r="B63" s="157" t="s">
        <v>309</v>
      </c>
      <c r="C63" s="66"/>
      <c r="D63" s="66"/>
      <c r="E63" s="66"/>
      <c r="F63" s="66"/>
      <c r="G63" s="66"/>
      <c r="H63" s="66"/>
      <c r="I63" s="66"/>
      <c r="J63" s="66"/>
      <c r="K63" s="66"/>
      <c r="L63" s="66"/>
      <c r="M63" s="66"/>
      <c r="N63" s="66"/>
    </row>
    <row r="64" spans="2:16">
      <c r="B64" s="58" t="s">
        <v>310</v>
      </c>
      <c r="C64" s="64">
        <v>1343360000</v>
      </c>
      <c r="D64" s="64">
        <v>1198600000</v>
      </c>
      <c r="E64" s="64">
        <v>1241150000</v>
      </c>
      <c r="F64" s="64">
        <v>1485180000</v>
      </c>
      <c r="G64" s="64">
        <v>1983260000</v>
      </c>
      <c r="H64" s="64">
        <v>1684840000</v>
      </c>
      <c r="I64" s="64">
        <v>2015010000</v>
      </c>
      <c r="J64" s="64"/>
      <c r="K64" s="64"/>
      <c r="L64" s="64"/>
      <c r="M64" s="64"/>
      <c r="N64" s="64"/>
    </row>
    <row r="65" spans="2:14">
      <c r="B65" s="59" t="s">
        <v>386</v>
      </c>
      <c r="C65" s="66">
        <v>295340000</v>
      </c>
      <c r="D65" s="66">
        <v>194790000</v>
      </c>
      <c r="E65" s="66">
        <v>261220000.00000003</v>
      </c>
      <c r="F65" s="66">
        <v>421940000</v>
      </c>
      <c r="G65" s="66">
        <v>867550000</v>
      </c>
      <c r="H65" s="66">
        <v>271430000</v>
      </c>
      <c r="I65" s="66">
        <v>497080000</v>
      </c>
      <c r="J65" s="66"/>
      <c r="K65" s="66"/>
      <c r="L65" s="66"/>
      <c r="M65" s="66"/>
      <c r="N65" s="66"/>
    </row>
    <row r="66" spans="2:14">
      <c r="B66" s="59"/>
      <c r="C66" s="66"/>
      <c r="D66" s="66"/>
      <c r="E66" s="66"/>
      <c r="F66" s="66"/>
      <c r="G66" s="66"/>
      <c r="H66" s="160"/>
      <c r="I66" s="66"/>
      <c r="J66" s="66"/>
      <c r="K66" s="66"/>
      <c r="L66" s="66"/>
      <c r="M66" s="66"/>
      <c r="N66" s="66"/>
    </row>
    <row r="67" spans="2:14">
      <c r="B67" s="59"/>
      <c r="C67" s="66"/>
      <c r="D67" s="66"/>
      <c r="E67" s="66"/>
      <c r="F67" s="66"/>
      <c r="G67" s="66"/>
      <c r="H67" s="160"/>
      <c r="I67" s="66"/>
      <c r="J67" s="66"/>
      <c r="K67" s="66"/>
      <c r="L67" s="66"/>
      <c r="M67" s="66"/>
      <c r="N67" s="66"/>
    </row>
    <row r="68" spans="2:14">
      <c r="B68" s="59" t="s">
        <v>588</v>
      </c>
      <c r="C68" s="66">
        <v>274680000</v>
      </c>
      <c r="D68" s="66">
        <v>221010000</v>
      </c>
      <c r="E68" s="66">
        <v>281140000</v>
      </c>
      <c r="F68" s="66">
        <v>528610000</v>
      </c>
      <c r="G68" s="66">
        <v>323810000</v>
      </c>
      <c r="H68" s="66">
        <v>421320000</v>
      </c>
      <c r="I68" s="66">
        <v>452360000</v>
      </c>
      <c r="J68" s="66"/>
      <c r="K68" s="66"/>
      <c r="L68" s="66"/>
      <c r="M68" s="66"/>
      <c r="N68" s="66"/>
    </row>
    <row r="69" spans="2:14">
      <c r="B69" s="59" t="s">
        <v>589</v>
      </c>
      <c r="C69" s="66">
        <v>48270000</v>
      </c>
      <c r="D69" s="66">
        <v>49110000</v>
      </c>
      <c r="E69" s="66">
        <v>69120000</v>
      </c>
      <c r="F69" s="66">
        <v>40190000</v>
      </c>
      <c r="G69" s="66">
        <v>45410000</v>
      </c>
      <c r="H69" s="66">
        <v>52840000</v>
      </c>
      <c r="I69" s="66">
        <v>41850000</v>
      </c>
      <c r="J69" s="66"/>
      <c r="K69" s="66"/>
      <c r="L69" s="66"/>
      <c r="M69" s="66"/>
      <c r="N69" s="66"/>
    </row>
    <row r="70" spans="2:14">
      <c r="B70" s="59" t="s">
        <v>391</v>
      </c>
      <c r="C70" s="66">
        <v>277020000</v>
      </c>
      <c r="D70" s="66">
        <v>402790000</v>
      </c>
      <c r="E70" s="66">
        <v>512169999.99999994</v>
      </c>
      <c r="F70" s="66">
        <v>308860000</v>
      </c>
      <c r="G70" s="66">
        <v>601930000</v>
      </c>
      <c r="H70" s="66">
        <v>768960000</v>
      </c>
      <c r="I70" s="66">
        <v>749600000</v>
      </c>
      <c r="J70" s="66"/>
      <c r="K70" s="66"/>
      <c r="L70" s="66"/>
      <c r="M70" s="66"/>
      <c r="N70" s="66"/>
    </row>
    <row r="71" spans="2:14">
      <c r="B71" s="59"/>
      <c r="C71" s="66"/>
      <c r="D71" s="66"/>
      <c r="E71" s="66"/>
      <c r="F71" s="66"/>
      <c r="G71" s="66"/>
      <c r="H71" s="160"/>
      <c r="I71" s="66"/>
      <c r="J71" s="66"/>
      <c r="K71" s="66"/>
      <c r="L71" s="66"/>
      <c r="M71" s="66"/>
      <c r="N71" s="66"/>
    </row>
    <row r="72" spans="2:14">
      <c r="B72" s="59" t="s">
        <v>318</v>
      </c>
      <c r="C72" s="66">
        <v>448050000</v>
      </c>
      <c r="D72" s="66">
        <v>330900000</v>
      </c>
      <c r="E72" s="66">
        <v>117500000.00000006</v>
      </c>
      <c r="F72" s="66">
        <v>185580000</v>
      </c>
      <c r="G72" s="66">
        <v>144560000</v>
      </c>
      <c r="H72" s="66">
        <v>170290000</v>
      </c>
      <c r="I72" s="66">
        <v>274120000</v>
      </c>
      <c r="J72" s="66"/>
      <c r="K72" s="66"/>
      <c r="L72" s="66"/>
      <c r="M72" s="66"/>
      <c r="N72" s="66"/>
    </row>
    <row r="73" spans="2:14">
      <c r="B73" s="58" t="s">
        <v>319</v>
      </c>
      <c r="C73" s="64">
        <v>4206940000.0000005</v>
      </c>
      <c r="D73" s="64">
        <v>4142889999.9999995</v>
      </c>
      <c r="E73" s="64">
        <v>4237590000</v>
      </c>
      <c r="F73" s="64">
        <v>4424020000</v>
      </c>
      <c r="G73" s="64">
        <v>4629080000</v>
      </c>
      <c r="H73" s="64">
        <v>4876880000</v>
      </c>
      <c r="I73" s="64">
        <v>4991530000</v>
      </c>
      <c r="J73" s="64"/>
      <c r="K73" s="64"/>
      <c r="L73" s="64"/>
      <c r="M73" s="64"/>
      <c r="N73" s="64"/>
    </row>
    <row r="74" spans="2:14">
      <c r="B74" s="59" t="s">
        <v>393</v>
      </c>
      <c r="C74" s="66"/>
      <c r="D74" s="66"/>
      <c r="E74" s="66"/>
      <c r="F74" s="66"/>
      <c r="G74" s="66"/>
      <c r="H74" s="160"/>
      <c r="I74" s="66"/>
      <c r="J74" s="66"/>
      <c r="K74" s="66"/>
      <c r="L74" s="66"/>
      <c r="M74" s="66"/>
      <c r="N74" s="66"/>
    </row>
    <row r="75" spans="2:14">
      <c r="B75" s="59" t="s">
        <v>394</v>
      </c>
      <c r="C75" s="66"/>
      <c r="D75" s="66"/>
      <c r="E75" s="66"/>
      <c r="F75" s="66"/>
      <c r="G75" s="66"/>
      <c r="H75" s="160"/>
      <c r="I75" s="66"/>
      <c r="J75" s="66"/>
      <c r="K75" s="66"/>
      <c r="L75" s="66"/>
      <c r="M75" s="66"/>
      <c r="N75" s="66"/>
    </row>
    <row r="76" spans="2:14">
      <c r="B76" s="59" t="s">
        <v>590</v>
      </c>
      <c r="C76" s="66"/>
      <c r="D76" s="66"/>
      <c r="E76" s="66"/>
      <c r="F76" s="66"/>
      <c r="G76" s="66"/>
      <c r="H76" s="160"/>
      <c r="I76" s="66"/>
      <c r="J76" s="66"/>
      <c r="K76" s="66"/>
      <c r="L76" s="66"/>
      <c r="M76" s="66"/>
      <c r="N76" s="66"/>
    </row>
    <row r="77" spans="2:14">
      <c r="B77" s="59" t="s">
        <v>396</v>
      </c>
      <c r="C77" s="66"/>
      <c r="D77" s="66"/>
      <c r="E77" s="66"/>
      <c r="F77" s="66"/>
      <c r="G77" s="66"/>
      <c r="H77" s="160"/>
      <c r="I77" s="66"/>
      <c r="J77" s="66"/>
      <c r="K77" s="66"/>
      <c r="L77" s="66"/>
      <c r="M77" s="66"/>
      <c r="N77" s="66"/>
    </row>
    <row r="78" spans="2:14">
      <c r="B78" s="59" t="s">
        <v>397</v>
      </c>
      <c r="C78" s="66"/>
      <c r="D78" s="66"/>
      <c r="E78" s="66"/>
      <c r="F78" s="66"/>
      <c r="G78" s="66"/>
      <c r="H78" s="160"/>
      <c r="I78" s="66"/>
      <c r="J78" s="66"/>
      <c r="K78" s="66"/>
      <c r="L78" s="66"/>
      <c r="M78" s="66"/>
      <c r="N78" s="66"/>
    </row>
    <row r="79" spans="2:14">
      <c r="B79" s="59" t="s">
        <v>398</v>
      </c>
      <c r="C79" s="66"/>
      <c r="D79" s="66"/>
      <c r="E79" s="66"/>
      <c r="F79" s="66"/>
      <c r="G79" s="66"/>
      <c r="H79" s="160"/>
      <c r="I79" s="66"/>
      <c r="J79" s="66"/>
      <c r="K79" s="66"/>
      <c r="L79" s="66"/>
      <c r="M79" s="66"/>
      <c r="N79" s="66"/>
    </row>
    <row r="80" spans="2:14">
      <c r="B80" s="59" t="s">
        <v>399</v>
      </c>
      <c r="C80" s="66"/>
      <c r="D80" s="66"/>
      <c r="E80" s="66"/>
      <c r="F80" s="66"/>
      <c r="G80" s="66"/>
      <c r="H80" s="160"/>
      <c r="I80" s="66"/>
      <c r="J80" s="66"/>
      <c r="K80" s="66"/>
      <c r="L80" s="66"/>
      <c r="M80" s="66"/>
      <c r="N80" s="66"/>
    </row>
    <row r="81" spans="2:14">
      <c r="B81" s="59" t="s">
        <v>400</v>
      </c>
      <c r="C81" s="66"/>
      <c r="D81" s="66"/>
      <c r="E81" s="66"/>
      <c r="F81" s="161"/>
      <c r="G81" s="66"/>
      <c r="H81" s="160"/>
      <c r="I81" s="66"/>
      <c r="J81" s="66"/>
      <c r="K81" s="66"/>
      <c r="L81" s="66"/>
      <c r="M81" s="66"/>
      <c r="N81" s="66"/>
    </row>
    <row r="82" spans="2:14">
      <c r="B82" s="59" t="s">
        <v>401</v>
      </c>
      <c r="C82" s="66"/>
      <c r="D82" s="66"/>
      <c r="E82" s="66"/>
      <c r="F82" s="66"/>
      <c r="G82" s="66"/>
      <c r="H82" s="160"/>
      <c r="I82" s="66"/>
      <c r="J82" s="66"/>
      <c r="K82" s="66"/>
      <c r="L82" s="66"/>
      <c r="M82" s="66"/>
      <c r="N82" s="66"/>
    </row>
    <row r="83" spans="2:14">
      <c r="B83" s="59" t="s">
        <v>328</v>
      </c>
      <c r="C83" s="66">
        <v>4206940000.0000005</v>
      </c>
      <c r="D83" s="66">
        <v>4142889999.9999995</v>
      </c>
      <c r="E83" s="66">
        <v>4237590000</v>
      </c>
      <c r="F83" s="66">
        <v>4424020000</v>
      </c>
      <c r="G83" s="66">
        <v>4629080000</v>
      </c>
      <c r="H83" s="66">
        <v>4876880000</v>
      </c>
      <c r="I83" s="66">
        <v>4991530000</v>
      </c>
      <c r="J83" s="66">
        <f t="shared" ref="J83:N83" si="39">+J73-J80-J81-J79-J74-J82-J78-J77-J76-J75</f>
        <v>0</v>
      </c>
      <c r="K83" s="66">
        <f t="shared" si="39"/>
        <v>0</v>
      </c>
      <c r="L83" s="66">
        <f t="shared" si="39"/>
        <v>0</v>
      </c>
      <c r="M83" s="66">
        <f t="shared" si="39"/>
        <v>0</v>
      </c>
      <c r="N83" s="66">
        <f t="shared" si="39"/>
        <v>0</v>
      </c>
    </row>
    <row r="84" spans="2:14" ht="14.65" thickBot="1">
      <c r="B84" s="60" t="s">
        <v>329</v>
      </c>
      <c r="C84" s="70">
        <v>5550300000</v>
      </c>
      <c r="D84" s="70">
        <v>5341490000</v>
      </c>
      <c r="E84" s="70">
        <v>5478740000</v>
      </c>
      <c r="F84" s="70">
        <v>5909200000</v>
      </c>
      <c r="G84" s="70">
        <v>6612340000</v>
      </c>
      <c r="H84" s="162">
        <v>6561720000</v>
      </c>
      <c r="I84" s="162">
        <v>7006540000</v>
      </c>
      <c r="J84" s="162">
        <f t="shared" ref="J84:N84" si="40">+J73+J64</f>
        <v>0</v>
      </c>
      <c r="K84" s="162">
        <f t="shared" si="40"/>
        <v>0</v>
      </c>
      <c r="L84" s="162">
        <f t="shared" si="40"/>
        <v>0</v>
      </c>
      <c r="M84" s="162">
        <f t="shared" si="40"/>
        <v>0</v>
      </c>
      <c r="N84" s="162">
        <f t="shared" si="40"/>
        <v>0</v>
      </c>
    </row>
    <row r="85" spans="2:14" ht="14.65" thickBot="1">
      <c r="B85" s="61"/>
      <c r="C85" s="72"/>
      <c r="D85" s="72"/>
      <c r="E85" s="72"/>
      <c r="F85" s="72"/>
      <c r="G85" s="72"/>
      <c r="H85" s="163"/>
      <c r="I85" s="72"/>
      <c r="J85" s="72"/>
      <c r="K85" s="72"/>
      <c r="L85" s="72"/>
      <c r="M85" s="72"/>
      <c r="N85" s="72"/>
    </row>
    <row r="86" spans="2:14">
      <c r="B86" s="57" t="s">
        <v>330</v>
      </c>
      <c r="C86" s="62"/>
      <c r="D86" s="62"/>
      <c r="E86" s="62"/>
      <c r="F86" s="62"/>
      <c r="G86" s="62"/>
      <c r="H86" s="164"/>
      <c r="I86" s="62"/>
      <c r="J86" s="62"/>
      <c r="K86" s="62"/>
      <c r="L86" s="62"/>
      <c r="M86" s="62"/>
      <c r="N86" s="62"/>
    </row>
    <row r="87" spans="2:14">
      <c r="B87" s="58" t="s">
        <v>310</v>
      </c>
      <c r="C87" s="64">
        <v>1065359999.9999999</v>
      </c>
      <c r="D87" s="64">
        <v>872840000</v>
      </c>
      <c r="E87" s="64">
        <v>1144830000</v>
      </c>
      <c r="F87" s="64">
        <v>1564380000</v>
      </c>
      <c r="G87" s="64">
        <v>1620070000</v>
      </c>
      <c r="H87" s="64">
        <v>1495200000</v>
      </c>
      <c r="I87" s="64">
        <v>1409960000</v>
      </c>
      <c r="J87" s="64"/>
      <c r="K87" s="64"/>
      <c r="L87" s="64"/>
      <c r="M87" s="64"/>
      <c r="N87" s="64"/>
    </row>
    <row r="88" spans="2:14">
      <c r="B88" s="59" t="s">
        <v>402</v>
      </c>
      <c r="C88" s="66"/>
      <c r="D88" s="66"/>
      <c r="E88" s="66"/>
      <c r="F88" s="66"/>
      <c r="G88" s="66"/>
      <c r="H88" s="160"/>
      <c r="I88" s="66"/>
      <c r="J88" s="66"/>
      <c r="K88" s="66"/>
      <c r="L88" s="66"/>
      <c r="M88" s="66"/>
      <c r="N88" s="66"/>
    </row>
    <row r="89" spans="2:14">
      <c r="B89" s="59" t="s">
        <v>403</v>
      </c>
      <c r="C89" s="66"/>
      <c r="D89" s="66"/>
      <c r="E89" s="66"/>
      <c r="F89" s="66"/>
      <c r="G89" s="66"/>
      <c r="H89" s="160"/>
      <c r="I89" s="66"/>
      <c r="J89" s="66"/>
      <c r="K89" s="66"/>
      <c r="L89" s="66"/>
      <c r="M89" s="66"/>
      <c r="N89" s="66"/>
    </row>
    <row r="90" spans="2:14">
      <c r="B90" s="59" t="s">
        <v>404</v>
      </c>
      <c r="C90" s="66"/>
      <c r="D90" s="66"/>
      <c r="E90" s="66"/>
      <c r="F90" s="66"/>
      <c r="G90" s="66"/>
      <c r="H90" s="160"/>
      <c r="I90" s="66"/>
      <c r="J90" s="66"/>
      <c r="K90" s="66"/>
      <c r="L90" s="66"/>
      <c r="M90" s="66"/>
      <c r="N90" s="66"/>
    </row>
    <row r="91" spans="2:14">
      <c r="B91" s="59" t="s">
        <v>405</v>
      </c>
      <c r="C91" s="66"/>
      <c r="D91" s="66"/>
      <c r="E91" s="66"/>
      <c r="F91" s="66"/>
      <c r="G91" s="66"/>
      <c r="H91" s="160"/>
      <c r="I91" s="66"/>
      <c r="J91" s="66"/>
      <c r="K91" s="66"/>
      <c r="L91" s="66"/>
      <c r="M91" s="66"/>
      <c r="N91" s="66"/>
    </row>
    <row r="92" spans="2:14">
      <c r="B92" s="59" t="s">
        <v>406</v>
      </c>
      <c r="C92" s="66"/>
      <c r="D92" s="66"/>
      <c r="E92" s="66"/>
      <c r="F92" s="66"/>
      <c r="G92" s="66"/>
      <c r="H92" s="160"/>
      <c r="I92" s="66"/>
      <c r="J92" s="66"/>
      <c r="K92" s="66"/>
      <c r="L92" s="66"/>
      <c r="M92" s="66"/>
      <c r="N92" s="66"/>
    </row>
    <row r="93" spans="2:14">
      <c r="B93" s="59" t="s">
        <v>407</v>
      </c>
      <c r="C93" s="66"/>
      <c r="D93" s="66"/>
      <c r="E93" s="66"/>
      <c r="F93" s="66"/>
      <c r="G93" s="66"/>
      <c r="H93" s="160"/>
      <c r="I93" s="66"/>
      <c r="J93" s="66"/>
      <c r="K93" s="66"/>
      <c r="L93" s="66"/>
      <c r="M93" s="66"/>
      <c r="N93" s="66"/>
    </row>
    <row r="94" spans="2:14">
      <c r="B94" s="59" t="s">
        <v>408</v>
      </c>
      <c r="C94" s="66"/>
      <c r="D94" s="66"/>
      <c r="E94" s="66"/>
      <c r="F94" s="66"/>
      <c r="G94" s="66"/>
      <c r="H94" s="160"/>
      <c r="I94" s="66"/>
      <c r="J94" s="66"/>
      <c r="K94" s="66"/>
      <c r="L94" s="66"/>
      <c r="M94" s="66"/>
      <c r="N94" s="66"/>
    </row>
    <row r="95" spans="2:14">
      <c r="B95" s="59" t="s">
        <v>409</v>
      </c>
      <c r="C95" s="66"/>
      <c r="D95" s="66"/>
      <c r="E95" s="66"/>
      <c r="F95" s="66"/>
      <c r="G95" s="66"/>
      <c r="H95" s="160"/>
      <c r="I95" s="66"/>
      <c r="J95" s="66"/>
      <c r="K95" s="66"/>
      <c r="L95" s="66"/>
      <c r="M95" s="66"/>
      <c r="N95" s="66"/>
    </row>
    <row r="96" spans="2:14">
      <c r="B96" s="59" t="s">
        <v>410</v>
      </c>
      <c r="C96" s="66">
        <v>1065359999.9999999</v>
      </c>
      <c r="D96" s="66">
        <v>872840000</v>
      </c>
      <c r="E96" s="66">
        <v>1144830000</v>
      </c>
      <c r="F96" s="66">
        <v>1564380000</v>
      </c>
      <c r="G96" s="66">
        <v>1620070000</v>
      </c>
      <c r="H96" s="66">
        <v>1495200000</v>
      </c>
      <c r="I96" s="66">
        <v>1409960000</v>
      </c>
      <c r="J96" s="66">
        <f t="shared" ref="J96:N96" si="41">+J87-J88-J94-J95-J93-J92-J91-J90-J89</f>
        <v>0</v>
      </c>
      <c r="K96" s="66">
        <f t="shared" si="41"/>
        <v>0</v>
      </c>
      <c r="L96" s="66">
        <f t="shared" si="41"/>
        <v>0</v>
      </c>
      <c r="M96" s="66">
        <f t="shared" si="41"/>
        <v>0</v>
      </c>
      <c r="N96" s="66">
        <f t="shared" si="41"/>
        <v>0</v>
      </c>
    </row>
    <row r="97" spans="2:14">
      <c r="B97" s="58" t="s">
        <v>319</v>
      </c>
      <c r="C97" s="141">
        <v>1221150000.0000002</v>
      </c>
      <c r="D97" s="141">
        <v>1126389999.9999998</v>
      </c>
      <c r="E97" s="141">
        <v>1090650000</v>
      </c>
      <c r="F97" s="141">
        <v>881319999.99999976</v>
      </c>
      <c r="G97" s="141">
        <v>1324950000</v>
      </c>
      <c r="H97" s="141">
        <v>1384530000</v>
      </c>
      <c r="I97" s="141">
        <v>1935469999.9999998</v>
      </c>
      <c r="J97" s="141"/>
      <c r="K97" s="141"/>
      <c r="L97" s="141"/>
      <c r="M97" s="141"/>
      <c r="N97" s="141"/>
    </row>
    <row r="98" spans="2:14">
      <c r="B98" s="59" t="s">
        <v>411</v>
      </c>
      <c r="C98" s="66"/>
      <c r="D98" s="66"/>
      <c r="E98" s="66"/>
      <c r="F98" s="66"/>
      <c r="G98" s="66"/>
      <c r="H98" s="160"/>
      <c r="I98" s="160"/>
      <c r="J98" s="160"/>
      <c r="K98" s="160"/>
      <c r="L98" s="160"/>
      <c r="M98" s="160"/>
      <c r="N98" s="160"/>
    </row>
    <row r="99" spans="2:14">
      <c r="B99" s="59" t="s">
        <v>412</v>
      </c>
      <c r="C99" s="66"/>
      <c r="D99" s="66"/>
      <c r="E99" s="66"/>
      <c r="F99" s="66"/>
      <c r="G99" s="66"/>
      <c r="H99" s="160"/>
      <c r="I99" s="160"/>
      <c r="J99" s="160"/>
      <c r="K99" s="160"/>
      <c r="L99" s="160"/>
      <c r="M99" s="160"/>
      <c r="N99" s="160"/>
    </row>
    <row r="100" spans="2:14">
      <c r="B100" s="59" t="s">
        <v>413</v>
      </c>
      <c r="C100" s="66"/>
      <c r="D100" s="66"/>
      <c r="E100" s="66"/>
      <c r="F100" s="66"/>
      <c r="G100" s="66"/>
      <c r="H100" s="160"/>
      <c r="I100" s="160"/>
      <c r="J100" s="160"/>
      <c r="K100" s="160"/>
      <c r="L100" s="160"/>
      <c r="M100" s="160"/>
      <c r="N100" s="160"/>
    </row>
    <row r="101" spans="2:14">
      <c r="B101" s="59" t="s">
        <v>414</v>
      </c>
      <c r="C101" s="66"/>
      <c r="D101" s="66"/>
      <c r="E101" s="66"/>
      <c r="F101" s="66"/>
      <c r="G101" s="66"/>
      <c r="H101" s="160"/>
      <c r="I101" s="160"/>
      <c r="J101" s="160"/>
      <c r="K101" s="160"/>
      <c r="L101" s="160"/>
      <c r="M101" s="160"/>
      <c r="N101" s="160"/>
    </row>
    <row r="102" spans="2:14">
      <c r="B102" s="59" t="s">
        <v>341</v>
      </c>
      <c r="C102" s="66">
        <v>1221150000.0000002</v>
      </c>
      <c r="D102" s="66">
        <v>1126389999.9999998</v>
      </c>
      <c r="E102" s="66">
        <v>1090650000</v>
      </c>
      <c r="F102" s="66">
        <v>881319999.99999976</v>
      </c>
      <c r="G102" s="66">
        <v>1324950000</v>
      </c>
      <c r="H102" s="66">
        <v>1384530000</v>
      </c>
      <c r="I102" s="66">
        <v>1935469999.9999998</v>
      </c>
      <c r="J102" s="66">
        <f t="shared" ref="J102:N102" si="42">+J97-J98-J100-J101-J99</f>
        <v>0</v>
      </c>
      <c r="K102" s="66">
        <f t="shared" si="42"/>
        <v>0</v>
      </c>
      <c r="L102" s="66">
        <f t="shared" si="42"/>
        <v>0</v>
      </c>
      <c r="M102" s="66">
        <f t="shared" si="42"/>
        <v>0</v>
      </c>
      <c r="N102" s="66">
        <f t="shared" si="42"/>
        <v>0</v>
      </c>
    </row>
    <row r="103" spans="2:14" ht="14.65" thickBot="1">
      <c r="B103" s="60" t="s">
        <v>342</v>
      </c>
      <c r="C103" s="70">
        <v>2286510000</v>
      </c>
      <c r="D103" s="70">
        <v>1999229999.9999998</v>
      </c>
      <c r="E103" s="70">
        <v>2235480000</v>
      </c>
      <c r="F103" s="70">
        <v>2445700000</v>
      </c>
      <c r="G103" s="70">
        <v>2945020000</v>
      </c>
      <c r="H103" s="162">
        <v>2879730000</v>
      </c>
      <c r="I103" s="162">
        <v>3345430000</v>
      </c>
      <c r="J103" s="162">
        <f t="shared" ref="J103:N103" si="43">+J97+J87</f>
        <v>0</v>
      </c>
      <c r="K103" s="162">
        <f t="shared" si="43"/>
        <v>0</v>
      </c>
      <c r="L103" s="162">
        <f t="shared" si="43"/>
        <v>0</v>
      </c>
      <c r="M103" s="162">
        <f t="shared" si="43"/>
        <v>0</v>
      </c>
      <c r="N103" s="162">
        <f t="shared" si="43"/>
        <v>0</v>
      </c>
    </row>
    <row r="104" spans="2:14" ht="14.65" thickBot="1">
      <c r="B104" s="61"/>
      <c r="C104" s="61"/>
      <c r="D104" s="61"/>
      <c r="E104" s="61"/>
      <c r="F104" s="61"/>
      <c r="G104" s="61"/>
      <c r="H104" s="61"/>
      <c r="I104" s="61"/>
      <c r="J104" s="61"/>
      <c r="K104" s="61"/>
      <c r="L104" s="61"/>
      <c r="M104" s="61"/>
      <c r="N104" s="61"/>
    </row>
    <row r="105" spans="2:14">
      <c r="B105" s="57" t="s">
        <v>343</v>
      </c>
      <c r="C105" s="62"/>
      <c r="D105" s="62"/>
      <c r="E105" s="62"/>
      <c r="F105" s="62"/>
      <c r="G105" s="62"/>
      <c r="H105" s="164"/>
      <c r="I105" s="62"/>
      <c r="J105" s="62"/>
      <c r="K105" s="62"/>
      <c r="L105" s="62"/>
      <c r="M105" s="62"/>
      <c r="N105" s="62"/>
    </row>
    <row r="106" spans="2:14">
      <c r="B106" s="59" t="s">
        <v>415</v>
      </c>
      <c r="C106" s="160">
        <v>379440000</v>
      </c>
      <c r="D106" s="160">
        <v>379440000</v>
      </c>
      <c r="E106" s="160">
        <v>379440000</v>
      </c>
      <c r="F106" s="160">
        <v>379440000</v>
      </c>
      <c r="G106" s="160">
        <v>379440000</v>
      </c>
      <c r="H106" s="160">
        <v>379440000</v>
      </c>
      <c r="I106" s="160">
        <v>379440000</v>
      </c>
      <c r="J106" s="160"/>
      <c r="K106" s="160"/>
      <c r="L106" s="160"/>
      <c r="M106" s="160"/>
      <c r="N106" s="160"/>
    </row>
    <row r="107" spans="2:14">
      <c r="B107" s="59" t="s">
        <v>591</v>
      </c>
      <c r="C107" s="160">
        <v>0</v>
      </c>
      <c r="D107" s="160">
        <v>0</v>
      </c>
      <c r="E107" s="160">
        <v>0</v>
      </c>
      <c r="F107" s="160">
        <v>0</v>
      </c>
      <c r="G107" s="160">
        <v>0</v>
      </c>
      <c r="H107" s="160">
        <v>0</v>
      </c>
      <c r="I107" s="160">
        <v>0</v>
      </c>
      <c r="J107" s="160"/>
      <c r="K107" s="160"/>
      <c r="L107" s="160"/>
      <c r="M107" s="160"/>
      <c r="N107" s="160"/>
    </row>
    <row r="108" spans="2:14">
      <c r="B108" s="59" t="s">
        <v>416</v>
      </c>
      <c r="C108" s="66">
        <v>1572800000</v>
      </c>
      <c r="D108" s="66">
        <v>1632130000</v>
      </c>
      <c r="E108" s="66">
        <v>1528010000</v>
      </c>
      <c r="F108" s="66">
        <v>1671880000</v>
      </c>
      <c r="G108" s="66">
        <v>1889050000</v>
      </c>
      <c r="H108" s="66">
        <v>1923730000</v>
      </c>
      <c r="I108" s="66">
        <v>1916740000</v>
      </c>
      <c r="J108" s="66"/>
      <c r="K108" s="66"/>
      <c r="L108" s="66"/>
      <c r="M108" s="66"/>
      <c r="N108" s="66"/>
    </row>
    <row r="109" spans="2:14">
      <c r="B109" s="59" t="s">
        <v>345</v>
      </c>
      <c r="C109" s="66">
        <v>14540000</v>
      </c>
      <c r="D109" s="66">
        <v>15690000</v>
      </c>
      <c r="E109" s="66">
        <v>12700000</v>
      </c>
      <c r="F109" s="66">
        <v>9130000</v>
      </c>
      <c r="G109" s="66">
        <v>-25780000</v>
      </c>
      <c r="H109" s="66">
        <v>-25860000</v>
      </c>
      <c r="I109" s="66">
        <v>-30010000</v>
      </c>
      <c r="J109" s="66"/>
      <c r="K109" s="66"/>
      <c r="L109" s="66"/>
      <c r="M109" s="66"/>
      <c r="N109" s="66"/>
    </row>
    <row r="110" spans="2:14">
      <c r="B110" s="59" t="s">
        <v>419</v>
      </c>
      <c r="C110" s="66">
        <v>1297010000</v>
      </c>
      <c r="D110" s="66">
        <v>1314990000</v>
      </c>
      <c r="E110" s="66">
        <v>1323100000</v>
      </c>
      <c r="F110" s="66">
        <v>1403030000</v>
      </c>
      <c r="G110" s="66">
        <v>1424610000</v>
      </c>
      <c r="H110" s="66">
        <v>1404680000</v>
      </c>
      <c r="I110" s="66">
        <v>1394950000</v>
      </c>
      <c r="J110" s="66"/>
      <c r="K110" s="66"/>
      <c r="L110" s="66"/>
      <c r="M110" s="66"/>
      <c r="N110" s="66"/>
    </row>
    <row r="111" spans="2:14" ht="14.65" thickBot="1">
      <c r="B111" s="60" t="s">
        <v>420</v>
      </c>
      <c r="C111" s="70">
        <v>1966780000</v>
      </c>
      <c r="D111" s="70">
        <v>2027260000</v>
      </c>
      <c r="E111" s="70">
        <v>1920150000</v>
      </c>
      <c r="F111" s="70">
        <v>2060450000</v>
      </c>
      <c r="G111" s="70">
        <v>2242710000</v>
      </c>
      <c r="H111" s="70">
        <v>2277310000</v>
      </c>
      <c r="I111" s="70">
        <v>2266170000</v>
      </c>
      <c r="J111" s="70">
        <f t="shared" ref="J111:N111" si="44">+J106+J109+J108+J107</f>
        <v>0</v>
      </c>
      <c r="K111" s="70">
        <f t="shared" si="44"/>
        <v>0</v>
      </c>
      <c r="L111" s="70">
        <f t="shared" si="44"/>
        <v>0</v>
      </c>
      <c r="M111" s="70">
        <f t="shared" si="44"/>
        <v>0</v>
      </c>
      <c r="N111" s="70">
        <f t="shared" si="44"/>
        <v>0</v>
      </c>
    </row>
    <row r="112" spans="2:14" ht="14.65" thickBot="1">
      <c r="B112" s="60" t="s">
        <v>347</v>
      </c>
      <c r="C112" s="70">
        <v>3263790000</v>
      </c>
      <c r="D112" s="70">
        <v>3342250000</v>
      </c>
      <c r="E112" s="70">
        <v>3243250000</v>
      </c>
      <c r="F112" s="70">
        <v>3463480000</v>
      </c>
      <c r="G112" s="70">
        <v>3667320000</v>
      </c>
      <c r="H112" s="70">
        <v>3681990000</v>
      </c>
      <c r="I112" s="70">
        <v>3661120000</v>
      </c>
      <c r="J112" s="70">
        <f t="shared" ref="J112:N112" si="45">+J111+J110</f>
        <v>0</v>
      </c>
      <c r="K112" s="70">
        <f t="shared" si="45"/>
        <v>0</v>
      </c>
      <c r="L112" s="70">
        <f t="shared" si="45"/>
        <v>0</v>
      </c>
      <c r="M112" s="70">
        <f t="shared" si="45"/>
        <v>0</v>
      </c>
      <c r="N112" s="70">
        <f t="shared" si="45"/>
        <v>0</v>
      </c>
    </row>
    <row r="114" spans="2:14" ht="14.65" thickBot="1">
      <c r="B114" s="75" t="s">
        <v>348</v>
      </c>
    </row>
    <row r="115" spans="2:14" ht="14.65" thickBot="1">
      <c r="B115" s="82" t="s">
        <v>308</v>
      </c>
      <c r="C115" s="88">
        <v>2017</v>
      </c>
      <c r="D115" s="88">
        <v>2018</v>
      </c>
      <c r="E115" s="88">
        <v>2019</v>
      </c>
      <c r="F115" s="88">
        <v>2020</v>
      </c>
      <c r="G115" s="88">
        <v>2021</v>
      </c>
      <c r="H115" s="88">
        <v>2022</v>
      </c>
      <c r="I115" s="88">
        <v>2023</v>
      </c>
      <c r="J115" s="88">
        <v>2024</v>
      </c>
      <c r="K115" s="88">
        <v>2025</v>
      </c>
      <c r="L115" s="88">
        <v>2026</v>
      </c>
      <c r="M115" s="88">
        <v>2027</v>
      </c>
      <c r="N115" s="88">
        <v>2028</v>
      </c>
    </row>
    <row r="116" spans="2:14">
      <c r="B116" s="525" t="s">
        <v>349</v>
      </c>
      <c r="C116" s="90">
        <v>1931650000</v>
      </c>
      <c r="D116" s="90">
        <v>1917130000</v>
      </c>
      <c r="E116" s="90">
        <v>1590250000</v>
      </c>
      <c r="F116" s="90">
        <v>2679000000</v>
      </c>
      <c r="G116" s="90">
        <v>3676880000</v>
      </c>
      <c r="H116" s="90">
        <v>3006050000</v>
      </c>
      <c r="I116" s="90">
        <v>2964900000</v>
      </c>
      <c r="J116" s="90"/>
      <c r="K116" s="90"/>
      <c r="L116" s="90"/>
      <c r="M116" s="90"/>
      <c r="N116" s="90"/>
    </row>
    <row r="117" spans="2:14">
      <c r="B117" s="85" t="s">
        <v>534</v>
      </c>
      <c r="C117" s="66"/>
      <c r="D117" s="66"/>
      <c r="E117" s="66"/>
      <c r="F117" s="66"/>
      <c r="G117" s="66"/>
      <c r="H117" s="66"/>
      <c r="I117" s="66"/>
      <c r="J117" s="66"/>
      <c r="K117" s="66"/>
      <c r="L117" s="66"/>
      <c r="M117" s="66"/>
      <c r="N117" s="66"/>
    </row>
    <row r="118" spans="2:14">
      <c r="B118" s="86" t="s">
        <v>422</v>
      </c>
      <c r="C118" s="64"/>
      <c r="D118" s="64"/>
      <c r="E118" s="64"/>
      <c r="F118" s="64"/>
      <c r="G118" s="64"/>
      <c r="H118" s="64"/>
      <c r="I118" s="64"/>
      <c r="J118" s="64">
        <f t="shared" ref="J118:N118" si="46">+J116+J117</f>
        <v>0</v>
      </c>
      <c r="K118" s="64">
        <f t="shared" si="46"/>
        <v>0</v>
      </c>
      <c r="L118" s="64">
        <f t="shared" si="46"/>
        <v>0</v>
      </c>
      <c r="M118" s="64">
        <f t="shared" si="46"/>
        <v>0</v>
      </c>
      <c r="N118" s="64">
        <f t="shared" si="46"/>
        <v>0</v>
      </c>
    </row>
    <row r="119" spans="2:14">
      <c r="B119" s="85" t="s">
        <v>592</v>
      </c>
      <c r="C119" s="64"/>
      <c r="D119" s="64"/>
      <c r="E119" s="64"/>
      <c r="F119" s="117"/>
      <c r="G119" s="117"/>
      <c r="H119" s="117"/>
      <c r="I119" s="117"/>
      <c r="J119" s="117"/>
      <c r="K119" s="117"/>
      <c r="L119" s="117"/>
      <c r="M119" s="117"/>
      <c r="N119" s="117"/>
    </row>
    <row r="120" spans="2:14">
      <c r="B120" s="85" t="s">
        <v>536</v>
      </c>
      <c r="C120" s="64"/>
      <c r="D120" s="64"/>
      <c r="E120" s="64"/>
      <c r="F120" s="117"/>
      <c r="G120" s="117"/>
      <c r="H120" s="117"/>
      <c r="I120" s="117"/>
      <c r="J120" s="117"/>
      <c r="K120" s="117"/>
      <c r="L120" s="117"/>
      <c r="M120" s="117"/>
      <c r="N120" s="117"/>
    </row>
    <row r="121" spans="2:14">
      <c r="B121" s="85" t="s">
        <v>537</v>
      </c>
      <c r="C121" s="64"/>
      <c r="D121" s="64"/>
      <c r="E121" s="64"/>
      <c r="F121" s="117"/>
      <c r="G121" s="117"/>
      <c r="H121" s="117"/>
      <c r="I121" s="117"/>
      <c r="J121" s="117"/>
      <c r="K121" s="117"/>
      <c r="L121" s="117"/>
      <c r="M121" s="117"/>
      <c r="N121" s="117"/>
    </row>
    <row r="122" spans="2:14">
      <c r="B122" s="85" t="s">
        <v>593</v>
      </c>
      <c r="C122" s="66"/>
      <c r="D122" s="66"/>
      <c r="E122" s="66"/>
      <c r="F122" s="117"/>
      <c r="G122" s="117"/>
      <c r="H122" s="117"/>
      <c r="I122" s="117"/>
      <c r="J122" s="117"/>
      <c r="K122" s="117"/>
      <c r="L122" s="117"/>
      <c r="M122" s="117"/>
      <c r="N122" s="117"/>
    </row>
    <row r="123" spans="2:14">
      <c r="B123" s="526" t="s">
        <v>594</v>
      </c>
      <c r="C123" s="64">
        <v>360160000</v>
      </c>
      <c r="D123" s="64">
        <v>318290000</v>
      </c>
      <c r="E123" s="64">
        <v>-30100000</v>
      </c>
      <c r="F123" s="64">
        <v>698570000</v>
      </c>
      <c r="G123" s="64">
        <v>1491110000</v>
      </c>
      <c r="H123" s="64">
        <v>586820000</v>
      </c>
      <c r="I123" s="64">
        <v>486760000</v>
      </c>
      <c r="J123" s="64">
        <f t="shared" ref="J123:N123" si="47">+J118+J122+J119+J120+J121</f>
        <v>0</v>
      </c>
      <c r="K123" s="64">
        <f t="shared" si="47"/>
        <v>0</v>
      </c>
      <c r="L123" s="64">
        <f t="shared" si="47"/>
        <v>0</v>
      </c>
      <c r="M123" s="64">
        <f t="shared" si="47"/>
        <v>0</v>
      </c>
      <c r="N123" s="64">
        <f t="shared" si="47"/>
        <v>0</v>
      </c>
    </row>
    <row r="124" spans="2:14">
      <c r="B124" s="85" t="s">
        <v>429</v>
      </c>
      <c r="C124" s="66"/>
      <c r="D124" s="66"/>
      <c r="E124" s="66"/>
      <c r="F124" s="66"/>
      <c r="G124" s="131"/>
      <c r="H124" s="131"/>
      <c r="I124" s="131"/>
      <c r="J124" s="131"/>
      <c r="K124" s="131"/>
      <c r="L124" s="131"/>
      <c r="M124" s="131"/>
      <c r="N124" s="131"/>
    </row>
    <row r="125" spans="2:14">
      <c r="B125" s="85" t="s">
        <v>430</v>
      </c>
      <c r="C125" s="66"/>
      <c r="D125" s="66"/>
      <c r="E125" s="66"/>
      <c r="F125" s="66"/>
      <c r="G125" s="131"/>
      <c r="H125" s="131"/>
      <c r="I125" s="131"/>
      <c r="J125" s="131"/>
      <c r="K125" s="131"/>
      <c r="L125" s="131"/>
      <c r="M125" s="131"/>
      <c r="N125" s="131"/>
    </row>
    <row r="126" spans="2:14">
      <c r="B126" s="85" t="s">
        <v>431</v>
      </c>
      <c r="C126" s="66"/>
      <c r="D126" s="66"/>
      <c r="E126" s="66"/>
      <c r="F126" s="66"/>
      <c r="G126" s="131"/>
      <c r="H126" s="131"/>
      <c r="I126" s="131"/>
      <c r="J126" s="131"/>
      <c r="K126" s="131"/>
      <c r="L126" s="131"/>
      <c r="M126" s="131"/>
      <c r="N126" s="131"/>
    </row>
    <row r="127" spans="2:14">
      <c r="B127" s="85" t="s">
        <v>432</v>
      </c>
      <c r="C127" s="66"/>
      <c r="D127" s="66"/>
      <c r="E127" s="66"/>
      <c r="F127" s="66"/>
      <c r="G127" s="131"/>
      <c r="H127" s="131"/>
      <c r="I127" s="131"/>
      <c r="J127" s="131"/>
      <c r="K127" s="131"/>
      <c r="L127" s="131"/>
      <c r="M127" s="131"/>
      <c r="N127" s="131"/>
    </row>
    <row r="128" spans="2:14">
      <c r="B128" s="85" t="s">
        <v>433</v>
      </c>
      <c r="C128" s="66"/>
      <c r="D128" s="66"/>
      <c r="E128" s="66"/>
      <c r="F128" s="66"/>
      <c r="G128" s="131"/>
      <c r="H128" s="131"/>
      <c r="I128" s="131"/>
      <c r="J128" s="131"/>
      <c r="K128" s="131"/>
      <c r="L128" s="131"/>
      <c r="M128" s="131"/>
      <c r="N128" s="131"/>
    </row>
    <row r="129" spans="2:14">
      <c r="B129" s="86" t="s">
        <v>362</v>
      </c>
      <c r="C129" s="64">
        <v>280000000</v>
      </c>
      <c r="D129" s="64">
        <v>253010000</v>
      </c>
      <c r="E129" s="64">
        <v>-120760000</v>
      </c>
      <c r="F129" s="64">
        <v>620810000</v>
      </c>
      <c r="G129" s="64">
        <v>1474030000</v>
      </c>
      <c r="H129" s="64">
        <v>509520000</v>
      </c>
      <c r="I129" s="64">
        <v>234490000</v>
      </c>
      <c r="J129" s="64">
        <f t="shared" ref="J129:N129" si="48">+J123+J124+J125+J126+J127+J128</f>
        <v>0</v>
      </c>
      <c r="K129" s="64">
        <f t="shared" si="48"/>
        <v>0</v>
      </c>
      <c r="L129" s="64">
        <f t="shared" si="48"/>
        <v>0</v>
      </c>
      <c r="M129" s="64">
        <f t="shared" si="48"/>
        <v>0</v>
      </c>
      <c r="N129" s="64">
        <f t="shared" si="48"/>
        <v>0</v>
      </c>
    </row>
    <row r="130" spans="2:14">
      <c r="B130" s="85" t="s">
        <v>363</v>
      </c>
      <c r="C130" s="91">
        <v>-87910000</v>
      </c>
      <c r="D130" s="91">
        <v>-78540000</v>
      </c>
      <c r="E130" s="91">
        <v>31380000</v>
      </c>
      <c r="F130" s="91">
        <v>-188770000</v>
      </c>
      <c r="G130" s="91">
        <v>-480870000</v>
      </c>
      <c r="H130" s="91">
        <v>-174520000</v>
      </c>
      <c r="I130" s="91">
        <v>-146520000</v>
      </c>
      <c r="J130" s="91"/>
      <c r="K130" s="91"/>
      <c r="L130" s="91"/>
      <c r="M130" s="91"/>
      <c r="N130" s="91"/>
    </row>
    <row r="131" spans="2:14">
      <c r="B131" s="84" t="s">
        <v>365</v>
      </c>
      <c r="C131" s="130">
        <v>192090000</v>
      </c>
      <c r="D131" s="130">
        <v>174470000</v>
      </c>
      <c r="E131" s="130">
        <v>-89380000</v>
      </c>
      <c r="F131" s="130">
        <v>432040000</v>
      </c>
      <c r="G131" s="130">
        <v>993160000</v>
      </c>
      <c r="H131" s="130">
        <v>335000000</v>
      </c>
      <c r="I131" s="130">
        <v>87970000</v>
      </c>
      <c r="J131" s="130">
        <f t="shared" ref="J131:N131" si="49">+J129+J130</f>
        <v>0</v>
      </c>
      <c r="K131" s="130">
        <f t="shared" si="49"/>
        <v>0</v>
      </c>
      <c r="L131" s="130">
        <f t="shared" si="49"/>
        <v>0</v>
      </c>
      <c r="M131" s="130">
        <f t="shared" si="49"/>
        <v>0</v>
      </c>
      <c r="N131" s="130">
        <f t="shared" si="49"/>
        <v>0</v>
      </c>
    </row>
    <row r="132" spans="2:14" ht="28.5">
      <c r="B132" s="87" t="s">
        <v>435</v>
      </c>
      <c r="C132" s="91">
        <v>-61800000</v>
      </c>
      <c r="D132" s="91">
        <v>-49830000</v>
      </c>
      <c r="E132" s="91">
        <v>-14740000</v>
      </c>
      <c r="F132" s="91">
        <v>-131620000</v>
      </c>
      <c r="G132" s="91">
        <v>-251780000</v>
      </c>
      <c r="H132" s="91">
        <v>-109030000</v>
      </c>
      <c r="I132" s="91">
        <v>-94960000</v>
      </c>
      <c r="J132" s="91"/>
      <c r="K132" s="91"/>
      <c r="L132" s="91"/>
      <c r="M132" s="91"/>
      <c r="N132" s="91"/>
    </row>
    <row r="133" spans="2:14">
      <c r="B133" s="84" t="s">
        <v>436</v>
      </c>
      <c r="C133" s="66">
        <v>130290000</v>
      </c>
      <c r="D133" s="66">
        <v>124640000</v>
      </c>
      <c r="E133" s="66">
        <v>-104120000</v>
      </c>
      <c r="F133" s="66">
        <v>300420000</v>
      </c>
      <c r="G133" s="66">
        <v>741380000</v>
      </c>
      <c r="H133" s="66">
        <v>225970000</v>
      </c>
      <c r="I133" s="66">
        <v>-6990000</v>
      </c>
      <c r="J133" s="66">
        <f t="shared" ref="J133:N133" si="50">+J131-J132</f>
        <v>0</v>
      </c>
      <c r="K133" s="66">
        <f t="shared" si="50"/>
        <v>0</v>
      </c>
      <c r="L133" s="66">
        <f t="shared" si="50"/>
        <v>0</v>
      </c>
      <c r="M133" s="66">
        <f t="shared" si="50"/>
        <v>0</v>
      </c>
      <c r="N133" s="66">
        <f t="shared" si="50"/>
        <v>0</v>
      </c>
    </row>
    <row r="134" spans="2:14">
      <c r="B134" s="84" t="s">
        <v>366</v>
      </c>
      <c r="C134" s="134">
        <v>0.87</v>
      </c>
      <c r="D134" s="134">
        <v>0.83</v>
      </c>
      <c r="E134" s="134">
        <v>-0.7</v>
      </c>
      <c r="F134" s="134">
        <v>2.0099999999999998</v>
      </c>
      <c r="G134" s="134">
        <v>4.96</v>
      </c>
      <c r="H134" s="134">
        <v>1.51</v>
      </c>
      <c r="I134" s="134">
        <v>-0.05</v>
      </c>
      <c r="J134" s="134"/>
      <c r="K134" s="134"/>
      <c r="L134" s="134"/>
      <c r="M134" s="134"/>
      <c r="N134" s="134"/>
    </row>
    <row r="136" spans="2:14" ht="14.65" thickBot="1">
      <c r="B136" s="75" t="s">
        <v>367</v>
      </c>
    </row>
    <row r="137" spans="2:14" ht="14.65" thickBot="1">
      <c r="B137" s="82" t="s">
        <v>308</v>
      </c>
      <c r="C137" s="88">
        <v>2017</v>
      </c>
      <c r="D137" s="88">
        <v>2018</v>
      </c>
      <c r="E137" s="88">
        <v>2019</v>
      </c>
      <c r="F137" s="88">
        <v>2020</v>
      </c>
      <c r="G137" s="88">
        <v>2021</v>
      </c>
      <c r="H137" s="88">
        <v>2022</v>
      </c>
      <c r="I137" s="88">
        <v>2023</v>
      </c>
      <c r="J137" s="88">
        <v>2024</v>
      </c>
      <c r="K137" s="88">
        <v>2025</v>
      </c>
      <c r="L137" s="88">
        <v>2026</v>
      </c>
      <c r="M137" s="88">
        <v>2027</v>
      </c>
      <c r="N137" s="88">
        <v>2028</v>
      </c>
    </row>
    <row r="138" spans="2:14">
      <c r="B138" s="83" t="s">
        <v>368</v>
      </c>
      <c r="C138" s="90">
        <v>494060000</v>
      </c>
      <c r="D138" s="90">
        <v>334370000</v>
      </c>
      <c r="E138" s="90">
        <v>92010000</v>
      </c>
      <c r="F138" s="90">
        <v>878880000</v>
      </c>
      <c r="G138" s="90">
        <v>1415970000</v>
      </c>
      <c r="H138" s="90">
        <v>248470000</v>
      </c>
      <c r="I138" s="90">
        <v>460240000</v>
      </c>
      <c r="J138" s="90"/>
      <c r="K138" s="90"/>
      <c r="L138" s="90"/>
      <c r="M138" s="90"/>
      <c r="N138" s="90"/>
    </row>
    <row r="139" spans="2:14">
      <c r="B139" s="86" t="s">
        <v>369</v>
      </c>
      <c r="C139" s="66">
        <v>63540000</v>
      </c>
      <c r="D139" s="66">
        <v>-38360000</v>
      </c>
      <c r="E139" s="66">
        <v>-59680000</v>
      </c>
      <c r="F139" s="66">
        <v>-312160000</v>
      </c>
      <c r="G139" s="66">
        <v>-385660000</v>
      </c>
      <c r="H139" s="66">
        <v>-401530000</v>
      </c>
      <c r="I139" s="66">
        <v>-524110000</v>
      </c>
      <c r="J139" s="66"/>
      <c r="K139" s="66"/>
      <c r="L139" s="66"/>
      <c r="M139" s="66"/>
      <c r="N139" s="66"/>
    </row>
    <row r="140" spans="2:14">
      <c r="B140" s="85" t="s">
        <v>370</v>
      </c>
      <c r="C140" s="93">
        <v>-99230000</v>
      </c>
      <c r="D140" s="93">
        <v>-142650000</v>
      </c>
      <c r="E140" s="93">
        <v>-248710000</v>
      </c>
      <c r="F140" s="93">
        <v>-248860000</v>
      </c>
      <c r="G140" s="93">
        <v>-404910000</v>
      </c>
      <c r="H140" s="93">
        <v>-422580000</v>
      </c>
      <c r="I140" s="93">
        <v>-516419999.99999994</v>
      </c>
      <c r="J140" s="93"/>
      <c r="K140" s="93"/>
      <c r="L140" s="93"/>
      <c r="M140" s="93"/>
      <c r="N140" s="93"/>
    </row>
    <row r="141" spans="2:14">
      <c r="B141" s="86" t="s">
        <v>372</v>
      </c>
      <c r="C141" s="120">
        <v>-488480000</v>
      </c>
      <c r="D141" s="120">
        <v>-388500000</v>
      </c>
      <c r="E141" s="120">
        <v>36910000</v>
      </c>
      <c r="F141" s="120">
        <v>-410260000</v>
      </c>
      <c r="G141" s="120">
        <v>-574690000</v>
      </c>
      <c r="H141" s="120">
        <v>-439550000</v>
      </c>
      <c r="I141" s="120">
        <v>292400000</v>
      </c>
      <c r="J141" s="120"/>
      <c r="K141" s="120"/>
      <c r="L141" s="120"/>
      <c r="M141" s="120"/>
      <c r="N141" s="120"/>
    </row>
    <row r="142" spans="2:14">
      <c r="B142" s="85" t="s">
        <v>373</v>
      </c>
      <c r="C142" s="93">
        <v>-81050000</v>
      </c>
      <c r="D142" s="93">
        <v>-113480000</v>
      </c>
      <c r="E142" s="93">
        <v>-41990000</v>
      </c>
      <c r="F142" s="93">
        <v>-82740000</v>
      </c>
      <c r="G142" s="93">
        <v>-462260000</v>
      </c>
      <c r="H142" s="93">
        <v>-602990000</v>
      </c>
      <c r="I142" s="93">
        <v>-218990000</v>
      </c>
      <c r="J142" s="93"/>
      <c r="K142" s="93"/>
      <c r="L142" s="93"/>
      <c r="M142" s="93"/>
      <c r="N142" s="93"/>
    </row>
    <row r="143" spans="2:14">
      <c r="B143" s="85" t="s">
        <v>437</v>
      </c>
      <c r="C143" s="93">
        <v>-53230000</v>
      </c>
      <c r="D143" s="93">
        <v>-50780000</v>
      </c>
      <c r="E143" s="93">
        <v>-53390000</v>
      </c>
      <c r="F143" s="93">
        <v>-65200000</v>
      </c>
      <c r="G143" s="93">
        <v>-41140000</v>
      </c>
      <c r="H143" s="93">
        <v>-68270000</v>
      </c>
      <c r="I143" s="93">
        <v>-94370000</v>
      </c>
      <c r="J143" s="93"/>
      <c r="K143" s="93"/>
      <c r="L143" s="93"/>
      <c r="M143" s="93"/>
      <c r="N143" s="93"/>
    </row>
    <row r="144" spans="2:14">
      <c r="B144" s="86" t="s">
        <v>375</v>
      </c>
      <c r="C144" s="64"/>
      <c r="D144" s="64"/>
      <c r="E144" s="64"/>
      <c r="F144" s="64"/>
      <c r="G144" s="64"/>
      <c r="H144" s="64"/>
      <c r="I144" s="64"/>
      <c r="J144" s="64"/>
      <c r="K144" s="64"/>
      <c r="L144" s="64"/>
      <c r="M144" s="64"/>
      <c r="N144" s="64"/>
    </row>
    <row r="145" spans="2:14">
      <c r="B145" s="85"/>
      <c r="C145" s="66"/>
      <c r="D145" s="66"/>
      <c r="E145" s="66"/>
      <c r="F145" s="66"/>
      <c r="G145" s="66"/>
      <c r="H145" s="66"/>
      <c r="I145" s="66"/>
      <c r="J145" s="66"/>
      <c r="K145" s="66"/>
      <c r="L145" s="66"/>
      <c r="M145" s="66"/>
      <c r="N145" s="66"/>
    </row>
    <row r="146" spans="2:14">
      <c r="B146" s="84" t="s">
        <v>595</v>
      </c>
      <c r="C146" s="131">
        <v>341600000</v>
      </c>
      <c r="D146" s="131">
        <v>140940000</v>
      </c>
      <c r="E146" s="131">
        <v>-210090000</v>
      </c>
      <c r="F146" s="131">
        <v>564820000</v>
      </c>
      <c r="G146" s="131">
        <v>969920000</v>
      </c>
      <c r="H146" s="131">
        <v>-242380000</v>
      </c>
      <c r="I146" s="131">
        <v>-150549999.99999994</v>
      </c>
      <c r="J146" s="131">
        <f t="shared" ref="J146:N146" si="51">+J138+J140+J143</f>
        <v>0</v>
      </c>
      <c r="K146" s="131">
        <f t="shared" si="51"/>
        <v>0</v>
      </c>
      <c r="L146" s="131">
        <f t="shared" si="51"/>
        <v>0</v>
      </c>
      <c r="M146" s="131">
        <f t="shared" si="51"/>
        <v>0</v>
      </c>
      <c r="N146" s="131">
        <f t="shared" si="51"/>
        <v>0</v>
      </c>
    </row>
    <row r="147" spans="2:14">
      <c r="B147" s="219" t="s">
        <v>596</v>
      </c>
      <c r="C147" s="131">
        <v>394830000</v>
      </c>
      <c r="D147" s="131">
        <v>191720000</v>
      </c>
      <c r="E147" s="131">
        <v>-156700000</v>
      </c>
      <c r="F147" s="131">
        <v>630030000</v>
      </c>
      <c r="G147" s="131">
        <v>1011060000</v>
      </c>
      <c r="H147" s="131">
        <v>-174110000</v>
      </c>
      <c r="I147" s="131">
        <v>-56180000</v>
      </c>
    </row>
  </sheetData>
  <conditionalFormatting sqref="C147:I147">
    <cfRule type="cellIs" dxfId="229" priority="1" operator="lessThan">
      <formula>0</formula>
    </cfRule>
  </conditionalFormatting>
  <conditionalFormatting sqref="C63:N103 C105:N112">
    <cfRule type="cellIs" dxfId="228" priority="4" operator="lessThan">
      <formula>0</formula>
    </cfRule>
  </conditionalFormatting>
  <conditionalFormatting sqref="C116:N134">
    <cfRule type="cellIs" dxfId="227" priority="3" operator="lessThan">
      <formula>0</formula>
    </cfRule>
  </conditionalFormatting>
  <conditionalFormatting sqref="C138:N146">
    <cfRule type="cellIs" dxfId="226" priority="2" operator="lessThan">
      <formula>0</formula>
    </cfRule>
  </conditionalFormatting>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542C6-DD08-413A-BA6F-33DB1A4449AB}">
  <sheetPr codeName="Hoja15"/>
  <dimension ref="B2:P157"/>
  <sheetViews>
    <sheetView zoomScale="70" zoomScaleNormal="70" workbookViewId="0">
      <pane xSplit="2" ySplit="6" topLeftCell="F22" activePane="bottomRight" state="frozen"/>
      <selection pane="bottomRight" activeCell="K58" sqref="K58"/>
      <selection pane="bottomLeft" activeCell="A7" sqref="A7"/>
      <selection pane="topRight" activeCell="C1" sqref="C1"/>
    </sheetView>
  </sheetViews>
  <sheetFormatPr defaultColWidth="10.7109375" defaultRowHeight="14.25"/>
  <cols>
    <col min="1" max="1" width="4.42578125" customWidth="1"/>
    <col min="2" max="2" width="45.28515625" customWidth="1"/>
    <col min="3" max="6" width="35.7109375" bestFit="1" customWidth="1"/>
    <col min="7" max="7" width="36.28515625" customWidth="1"/>
    <col min="8" max="8" width="35.7109375" customWidth="1"/>
    <col min="9" max="14" width="35.7109375" bestFit="1" customWidth="1"/>
  </cols>
  <sheetData>
    <row r="2" spans="2:14" ht="21">
      <c r="B2" s="313">
        <f ca="1">TODAY()-1</f>
        <v>46105</v>
      </c>
      <c r="C2" s="314"/>
      <c r="D2" s="344" t="s">
        <v>518</v>
      </c>
      <c r="E2" s="345" t="s">
        <v>266</v>
      </c>
    </row>
    <row r="3" spans="2:14" ht="25.5">
      <c r="B3" s="1211" cm="1">
        <f t="array" aca="1" ref="B3" ca="1">_FV(B6,"Precio")</f>
        <v>5045</v>
      </c>
      <c r="C3" s="316"/>
      <c r="D3" s="346" t="e">
        <f>AVERAGE(#REF!)</f>
        <v>#REF!</v>
      </c>
      <c r="E3" s="346" t="e">
        <f>AVERAGE(#REF!)</f>
        <v>#REF!</v>
      </c>
      <c r="G3" s="957"/>
    </row>
    <row r="4" spans="2:14" ht="28.5">
      <c r="B4" s="319"/>
      <c r="C4" s="321"/>
      <c r="D4" s="328"/>
      <c r="E4" s="328"/>
    </row>
    <row r="6" spans="2:14" ht="33.4">
      <c r="B6" t="e" vm="16">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+C68</f>
        <v>729106553000</v>
      </c>
      <c r="D7" s="5">
        <f t="shared" ref="D7:I7" si="0">+D68</f>
        <v>941007259000</v>
      </c>
      <c r="E7" s="5">
        <f t="shared" si="0"/>
        <v>789281758000</v>
      </c>
      <c r="F7" s="5">
        <f t="shared" si="0"/>
        <v>960006128000</v>
      </c>
      <c r="G7" s="5">
        <f t="shared" si="0"/>
        <v>1091372374000</v>
      </c>
      <c r="H7" s="5">
        <f t="shared" si="0"/>
        <v>1661948432000</v>
      </c>
      <c r="I7" s="5">
        <f t="shared" si="0"/>
        <v>1601683087000</v>
      </c>
      <c r="J7" s="5">
        <f t="shared" ref="J7:N7" si="1">+J68</f>
        <v>1771266840000</v>
      </c>
      <c r="K7" s="5">
        <f t="shared" si="1"/>
        <v>1511097013</v>
      </c>
      <c r="L7" s="5">
        <f t="shared" si="1"/>
        <v>0</v>
      </c>
      <c r="M7" s="5">
        <f t="shared" si="1"/>
        <v>0</v>
      </c>
      <c r="N7" s="5">
        <f t="shared" si="1"/>
        <v>0</v>
      </c>
    </row>
    <row r="8" spans="2:14" ht="25.5">
      <c r="B8" s="146" t="s">
        <v>377</v>
      </c>
      <c r="C8" s="147">
        <f>+C72</f>
        <v>286213598000</v>
      </c>
      <c r="D8" s="147">
        <f t="shared" ref="D8:I8" si="2">+D72</f>
        <v>320702339000</v>
      </c>
      <c r="E8" s="147">
        <f t="shared" si="2"/>
        <v>300013940000</v>
      </c>
      <c r="F8" s="147">
        <f t="shared" si="2"/>
        <v>275387923000</v>
      </c>
      <c r="G8" s="147">
        <f t="shared" si="2"/>
        <v>372995729000</v>
      </c>
      <c r="H8" s="147">
        <f t="shared" si="2"/>
        <v>445263536000</v>
      </c>
      <c r="I8" s="147">
        <f t="shared" si="2"/>
        <v>446486753000</v>
      </c>
      <c r="J8" s="147">
        <f t="shared" ref="J8:N8" si="3">+J72</f>
        <v>506711173000</v>
      </c>
      <c r="K8" s="147">
        <f t="shared" si="3"/>
        <v>473691412</v>
      </c>
      <c r="L8" s="147">
        <f t="shared" si="3"/>
        <v>0</v>
      </c>
      <c r="M8" s="147">
        <f t="shared" si="3"/>
        <v>0</v>
      </c>
      <c r="N8" s="147">
        <f t="shared" si="3"/>
        <v>0</v>
      </c>
    </row>
    <row r="9" spans="2:14" ht="25.5">
      <c r="B9" s="146" t="s">
        <v>378</v>
      </c>
      <c r="C9" s="147">
        <f>+C74</f>
        <v>201987891000</v>
      </c>
      <c r="D9" s="147">
        <f t="shared" ref="D9:I9" si="4">+D74</f>
        <v>228062237000</v>
      </c>
      <c r="E9" s="147">
        <f t="shared" si="4"/>
        <v>232434461000</v>
      </c>
      <c r="F9" s="147">
        <f t="shared" si="4"/>
        <v>231843261000</v>
      </c>
      <c r="G9" s="147">
        <f t="shared" si="4"/>
        <v>353427061000</v>
      </c>
      <c r="H9" s="147">
        <f t="shared" si="4"/>
        <v>480799534000</v>
      </c>
      <c r="I9" s="147">
        <f t="shared" si="4"/>
        <v>425728432000</v>
      </c>
      <c r="J9" s="147">
        <f t="shared" ref="J9:N9" si="5">+J74</f>
        <v>459384555000</v>
      </c>
      <c r="K9" s="147">
        <f t="shared" si="5"/>
        <v>424300960</v>
      </c>
      <c r="L9" s="147">
        <f t="shared" si="5"/>
        <v>0</v>
      </c>
      <c r="M9" s="147">
        <f t="shared" si="5"/>
        <v>0</v>
      </c>
      <c r="N9" s="147">
        <f t="shared" si="5"/>
        <v>0</v>
      </c>
    </row>
    <row r="10" spans="2:14" ht="25.5">
      <c r="B10" s="4" t="s">
        <v>379</v>
      </c>
      <c r="C10" s="5">
        <f>+C79</f>
        <v>1247122534000</v>
      </c>
      <c r="D10" s="5">
        <f t="shared" ref="D10:I10" si="6">+D79</f>
        <v>1464857657000</v>
      </c>
      <c r="E10" s="5">
        <f t="shared" si="6"/>
        <v>1564408956000</v>
      </c>
      <c r="F10" s="5">
        <f t="shared" si="6"/>
        <v>1565330404000</v>
      </c>
      <c r="G10" s="5">
        <f t="shared" si="6"/>
        <v>1755378263000</v>
      </c>
      <c r="H10" s="5">
        <f t="shared" si="6"/>
        <v>1933130547000</v>
      </c>
      <c r="I10" s="5">
        <f t="shared" si="6"/>
        <v>1822263193000</v>
      </c>
      <c r="J10" s="5">
        <f t="shared" ref="J10:N10" si="7">+J79</f>
        <v>2218450150000</v>
      </c>
      <c r="K10" s="5">
        <f t="shared" si="7"/>
        <v>2134289956</v>
      </c>
      <c r="L10" s="5">
        <f t="shared" si="7"/>
        <v>0</v>
      </c>
      <c r="M10" s="5">
        <f t="shared" si="7"/>
        <v>0</v>
      </c>
      <c r="N10" s="5">
        <f t="shared" si="7"/>
        <v>0</v>
      </c>
    </row>
    <row r="11" spans="2:14" ht="25.5">
      <c r="B11" s="8" t="s">
        <v>272</v>
      </c>
      <c r="C11" s="9">
        <f t="shared" ref="C11" si="8">+C10+C7</f>
        <v>1976229087000</v>
      </c>
      <c r="D11" s="9">
        <f t="shared" ref="D11:I11" si="9">+D10+D7</f>
        <v>2405864916000</v>
      </c>
      <c r="E11" s="9">
        <f t="shared" si="9"/>
        <v>2353690714000</v>
      </c>
      <c r="F11" s="9">
        <f t="shared" si="9"/>
        <v>2525336532000</v>
      </c>
      <c r="G11" s="9">
        <f t="shared" si="9"/>
        <v>2846750637000</v>
      </c>
      <c r="H11" s="9">
        <f t="shared" si="9"/>
        <v>3595078979000</v>
      </c>
      <c r="I11" s="9">
        <f t="shared" si="9"/>
        <v>3423946280000</v>
      </c>
      <c r="J11" s="9">
        <f t="shared" ref="J11:N11" si="10">+J10+J7</f>
        <v>3989716990000</v>
      </c>
      <c r="K11" s="9">
        <f t="shared" si="10"/>
        <v>3645386969</v>
      </c>
      <c r="L11" s="9">
        <f t="shared" si="10"/>
        <v>0</v>
      </c>
      <c r="M11" s="9">
        <f t="shared" si="10"/>
        <v>0</v>
      </c>
      <c r="N11" s="9">
        <f t="shared" si="10"/>
        <v>0</v>
      </c>
    </row>
    <row r="12" spans="2:14" ht="25.5">
      <c r="B12" s="10" t="s">
        <v>273</v>
      </c>
      <c r="C12" s="11">
        <f>+C96</f>
        <v>468749455000</v>
      </c>
      <c r="D12" s="11">
        <f t="shared" ref="D12:I12" si="11">+D96</f>
        <v>645724245000</v>
      </c>
      <c r="E12" s="11">
        <f t="shared" si="11"/>
        <v>483281996000</v>
      </c>
      <c r="F12" s="11">
        <f t="shared" si="11"/>
        <v>521524086000</v>
      </c>
      <c r="G12" s="11">
        <f t="shared" si="11"/>
        <v>781115264000</v>
      </c>
      <c r="H12" s="11">
        <f t="shared" si="11"/>
        <v>797152420000</v>
      </c>
      <c r="I12" s="11">
        <f t="shared" si="11"/>
        <v>687482634000</v>
      </c>
      <c r="J12" s="11">
        <f t="shared" ref="J12:N12" si="12">+J96</f>
        <v>860006211000</v>
      </c>
      <c r="K12" s="11">
        <f t="shared" si="12"/>
        <v>795650399</v>
      </c>
      <c r="L12" s="11">
        <f t="shared" si="12"/>
        <v>0</v>
      </c>
      <c r="M12" s="11">
        <f t="shared" si="12"/>
        <v>0</v>
      </c>
      <c r="N12" s="11">
        <f t="shared" si="12"/>
        <v>0</v>
      </c>
    </row>
    <row r="13" spans="2:14" ht="25.5">
      <c r="B13" s="10" t="s">
        <v>274</v>
      </c>
      <c r="C13" s="11">
        <f>+C106</f>
        <v>280651024000</v>
      </c>
      <c r="D13" s="11">
        <f t="shared" ref="D13:I13" si="13">+D106</f>
        <v>371024728000</v>
      </c>
      <c r="E13" s="11">
        <f t="shared" si="13"/>
        <v>427481495000</v>
      </c>
      <c r="F13" s="11">
        <f t="shared" si="13"/>
        <v>594993771000</v>
      </c>
      <c r="G13" s="11">
        <f t="shared" si="13"/>
        <v>640120070000</v>
      </c>
      <c r="H13" s="11">
        <f t="shared" si="13"/>
        <v>1361957506000</v>
      </c>
      <c r="I13" s="11">
        <f t="shared" si="13"/>
        <v>1399081065000</v>
      </c>
      <c r="J13" s="11">
        <f t="shared" ref="J13:N13" si="14">+J106</f>
        <v>1457195469000</v>
      </c>
      <c r="K13" s="11">
        <f t="shared" si="14"/>
        <v>1233276067</v>
      </c>
      <c r="L13" s="11">
        <f t="shared" si="14"/>
        <v>0</v>
      </c>
      <c r="M13" s="11">
        <f t="shared" si="14"/>
        <v>0</v>
      </c>
      <c r="N13" s="11">
        <f t="shared" si="14"/>
        <v>0</v>
      </c>
    </row>
    <row r="14" spans="2:14" ht="25.5">
      <c r="B14" s="12" t="s">
        <v>275</v>
      </c>
      <c r="C14" s="13">
        <f t="shared" ref="C14:I14" si="15">+C13+C12</f>
        <v>749400479000</v>
      </c>
      <c r="D14" s="13">
        <f t="shared" si="15"/>
        <v>1016748973000</v>
      </c>
      <c r="E14" s="13">
        <f t="shared" si="15"/>
        <v>910763491000</v>
      </c>
      <c r="F14" s="13">
        <f t="shared" si="15"/>
        <v>1116517857000</v>
      </c>
      <c r="G14" s="13">
        <f t="shared" si="15"/>
        <v>1421235334000</v>
      </c>
      <c r="H14" s="13">
        <f t="shared" si="15"/>
        <v>2159109926000</v>
      </c>
      <c r="I14" s="13">
        <f t="shared" si="15"/>
        <v>2086563699000</v>
      </c>
      <c r="J14" s="13">
        <f t="shared" ref="J14:N14" si="16">+J13+J12</f>
        <v>2317201680000</v>
      </c>
      <c r="K14" s="13">
        <f t="shared" si="16"/>
        <v>2028926466</v>
      </c>
      <c r="L14" s="13">
        <f t="shared" si="16"/>
        <v>0</v>
      </c>
      <c r="M14" s="13">
        <f t="shared" si="16"/>
        <v>0</v>
      </c>
      <c r="N14" s="13">
        <f t="shared" si="16"/>
        <v>0</v>
      </c>
    </row>
    <row r="15" spans="2:14" ht="25.5">
      <c r="B15" s="14" t="s">
        <v>276</v>
      </c>
      <c r="C15" s="15">
        <f>+C120</f>
        <v>1101077057000</v>
      </c>
      <c r="D15" s="15">
        <f t="shared" ref="D15:I15" si="17">+D120</f>
        <v>1280126708000</v>
      </c>
      <c r="E15" s="15">
        <f t="shared" si="17"/>
        <v>1328054170000</v>
      </c>
      <c r="F15" s="15">
        <f t="shared" si="17"/>
        <v>1296574455000</v>
      </c>
      <c r="G15" s="15">
        <f t="shared" si="17"/>
        <v>1307618232000</v>
      </c>
      <c r="H15" s="15">
        <f t="shared" si="17"/>
        <v>1315026066000</v>
      </c>
      <c r="I15" s="15">
        <f t="shared" si="17"/>
        <v>1218364732000</v>
      </c>
      <c r="J15" s="15">
        <f t="shared" ref="J15:N15" si="18">+J120</f>
        <v>1525183185000</v>
      </c>
      <c r="K15" s="15">
        <f t="shared" si="18"/>
        <v>1471929546</v>
      </c>
      <c r="L15" s="15">
        <f t="shared" si="18"/>
        <v>0</v>
      </c>
      <c r="M15" s="15">
        <f t="shared" si="18"/>
        <v>0</v>
      </c>
      <c r="N15" s="15">
        <f t="shared" si="18"/>
        <v>0</v>
      </c>
    </row>
    <row r="16" spans="2:14" ht="25.5">
      <c r="B16" s="79" t="s">
        <v>278</v>
      </c>
      <c r="C16" s="180">
        <v>369502872</v>
      </c>
      <c r="D16" s="180">
        <v>369502872</v>
      </c>
      <c r="E16" s="180">
        <v>369502872</v>
      </c>
      <c r="F16" s="180">
        <v>369502872</v>
      </c>
      <c r="G16" s="180">
        <v>369502872</v>
      </c>
      <c r="H16" s="180">
        <v>369502872</v>
      </c>
      <c r="I16" s="180">
        <v>369502872</v>
      </c>
      <c r="J16" s="180">
        <v>369502872</v>
      </c>
      <c r="K16" s="180">
        <v>369502872</v>
      </c>
      <c r="L16" s="180"/>
      <c r="M16" s="180"/>
      <c r="N16" s="180"/>
    </row>
    <row r="18" spans="2:14" ht="25.5">
      <c r="B18" s="18" t="s">
        <v>279</v>
      </c>
      <c r="C18" s="19">
        <f t="shared" ref="C18:I18" si="19">(C15/C16)</f>
        <v>2979.8876827133295</v>
      </c>
      <c r="D18" s="19">
        <f t="shared" si="19"/>
        <v>3464.4567201090658</v>
      </c>
      <c r="E18" s="19">
        <f t="shared" si="19"/>
        <v>3594.1646753966234</v>
      </c>
      <c r="F18" s="19">
        <f t="shared" si="19"/>
        <v>3508.9698978036631</v>
      </c>
      <c r="G18" s="19">
        <f t="shared" si="19"/>
        <v>3538.8581012165992</v>
      </c>
      <c r="H18" s="19">
        <f t="shared" si="19"/>
        <v>3558.9062106126203</v>
      </c>
      <c r="I18" s="19">
        <f t="shared" si="19"/>
        <v>3297.3078812767658</v>
      </c>
      <c r="J18" s="19">
        <f t="shared" ref="J18:N18" si="20">(J15/J16)</f>
        <v>4127.6625990609355</v>
      </c>
      <c r="K18" s="19">
        <f>(K15/K16)</f>
        <v>3.9835402037145737</v>
      </c>
      <c r="L18" s="19" t="e">
        <f t="shared" si="20"/>
        <v>#DIV/0!</v>
      </c>
      <c r="M18" s="19" t="e">
        <f t="shared" si="20"/>
        <v>#DIV/0!</v>
      </c>
      <c r="N18" s="19" t="e">
        <f t="shared" si="20"/>
        <v>#DIV/0!</v>
      </c>
    </row>
    <row r="19" spans="2:14" ht="25.5">
      <c r="B19" s="76" t="s">
        <v>282</v>
      </c>
      <c r="C19" s="101">
        <v>9231</v>
      </c>
      <c r="D19" s="101">
        <v>8915</v>
      </c>
      <c r="E19" s="101">
        <v>7371</v>
      </c>
      <c r="F19" s="101">
        <v>5248</v>
      </c>
      <c r="G19" s="101">
        <v>6932</v>
      </c>
      <c r="H19" s="101">
        <v>5665</v>
      </c>
      <c r="I19" s="101">
        <v>5607</v>
      </c>
      <c r="J19" s="101">
        <v>5739.9</v>
      </c>
      <c r="K19" s="101">
        <v>5885</v>
      </c>
      <c r="L19" s="101"/>
      <c r="M19" s="101"/>
      <c r="N19" s="101"/>
    </row>
    <row r="20" spans="2:14" ht="25.5">
      <c r="B20" s="18" t="s">
        <v>283</v>
      </c>
      <c r="C20" s="22">
        <f>+C19/C40</f>
        <v>26.317139924734864</v>
      </c>
      <c r="D20" s="22">
        <f t="shared" ref="D20:I20" si="21">+D19/D40</f>
        <v>10.733851062548913</v>
      </c>
      <c r="E20" s="22">
        <f t="shared" si="21"/>
        <v>20.927855540728544</v>
      </c>
      <c r="F20" s="22">
        <f t="shared" si="21"/>
        <v>20.167550534163396</v>
      </c>
      <c r="G20" s="22">
        <f t="shared" si="21"/>
        <v>12.860853432282005</v>
      </c>
      <c r="H20" s="22">
        <f t="shared" si="21"/>
        <v>17.714196372732957</v>
      </c>
      <c r="I20" s="22">
        <f t="shared" si="21"/>
        <v>19.60969468051621</v>
      </c>
      <c r="J20" s="22">
        <f t="shared" ref="J20:N20" si="22">+J19/J40</f>
        <v>13.177904814381154</v>
      </c>
      <c r="K20" s="22">
        <f t="shared" si="22"/>
        <v>18.561741050307521</v>
      </c>
      <c r="L20" s="22" t="e">
        <f t="shared" si="22"/>
        <v>#DIV/0!</v>
      </c>
      <c r="M20" s="22" t="e">
        <f t="shared" si="22"/>
        <v>#DIV/0!</v>
      </c>
      <c r="N20" s="22" t="e">
        <f t="shared" si="22"/>
        <v>#DIV/0!</v>
      </c>
    </row>
    <row r="21" spans="2:14" ht="25.5">
      <c r="B21" s="18" t="s">
        <v>540</v>
      </c>
      <c r="C21" s="22">
        <f t="shared" ref="C21:I21" si="23">+C19/C18</f>
        <v>3.0977677627080009</v>
      </c>
      <c r="D21" s="22">
        <f t="shared" si="23"/>
        <v>2.5732750385518868</v>
      </c>
      <c r="E21" s="22">
        <f t="shared" si="23"/>
        <v>2.0508242291893861</v>
      </c>
      <c r="F21" s="22">
        <f t="shared" si="23"/>
        <v>1.495595617188062</v>
      </c>
      <c r="G21" s="22">
        <f t="shared" si="23"/>
        <v>1.9588239487807935</v>
      </c>
      <c r="H21" s="22">
        <f t="shared" si="23"/>
        <v>1.5917812003887686</v>
      </c>
      <c r="I21" s="22">
        <f t="shared" si="23"/>
        <v>1.7004781482003699</v>
      </c>
      <c r="J21" s="22">
        <f t="shared" ref="J21:N21" si="24">+J19/J18</f>
        <v>1.3905933109227135</v>
      </c>
      <c r="K21" s="22">
        <f t="shared" si="24"/>
        <v>1477.3291341486531</v>
      </c>
      <c r="L21" s="22" t="e">
        <f t="shared" si="24"/>
        <v>#DIV/0!</v>
      </c>
      <c r="M21" s="22" t="e">
        <f t="shared" si="24"/>
        <v>#DIV/0!</v>
      </c>
      <c r="N21" s="22" t="e">
        <f t="shared" si="24"/>
        <v>#DIV/0!</v>
      </c>
    </row>
    <row r="22" spans="2:14" ht="25.5">
      <c r="B22" s="18" t="s">
        <v>541</v>
      </c>
      <c r="C22" s="22">
        <f>+C20*C21</f>
        <v>81.524387665519328</v>
      </c>
      <c r="D22" s="22">
        <f t="shared" ref="D22:I22" si="25">+D20*D21</f>
        <v>27.621151006790765</v>
      </c>
      <c r="E22" s="22">
        <f t="shared" si="25"/>
        <v>42.919353207901437</v>
      </c>
      <c r="F22" s="22">
        <f t="shared" si="25"/>
        <v>30.162500188313533</v>
      </c>
      <c r="G22" s="22">
        <f t="shared" si="25"/>
        <v>25.192147704913658</v>
      </c>
      <c r="H22" s="22">
        <f t="shared" si="25"/>
        <v>28.197124766111237</v>
      </c>
      <c r="I22" s="22">
        <f t="shared" si="25"/>
        <v>33.345857297098846</v>
      </c>
      <c r="J22" s="22">
        <f t="shared" ref="J22:N22" si="26">+J20*J21</f>
        <v>18.325106286854655</v>
      </c>
      <c r="K22" s="22">
        <f t="shared" si="26"/>
        <v>27421.800834142323</v>
      </c>
      <c r="L22" s="22" t="e">
        <f t="shared" si="26"/>
        <v>#DIV/0!</v>
      </c>
      <c r="M22" s="22" t="e">
        <f t="shared" si="26"/>
        <v>#DIV/0!</v>
      </c>
      <c r="N22" s="22" t="e">
        <f t="shared" si="26"/>
        <v>#DIV/0!</v>
      </c>
    </row>
    <row r="23" spans="2:14" ht="25.5">
      <c r="B23" s="23" t="s">
        <v>286</v>
      </c>
      <c r="C23" s="24">
        <f>IF(C41&lt;10%,0,IF(15%&lt;C41,2,1))</f>
        <v>1</v>
      </c>
      <c r="D23" s="24">
        <f>IF(D41&lt;10%,0,IF(15%&lt;D41,2,1))</f>
        <v>2</v>
      </c>
      <c r="E23" s="24">
        <f t="shared" ref="E23:F23" si="27">IF(E41&lt;10%,0,IF(15%&lt;E41,2,1))</f>
        <v>0</v>
      </c>
      <c r="F23" s="24">
        <f t="shared" si="27"/>
        <v>0</v>
      </c>
      <c r="G23" s="24">
        <f t="shared" ref="G23:I23" si="28">IF(G41&lt;10%,0,IF(15%&lt;G41,2,1))</f>
        <v>2</v>
      </c>
      <c r="H23" s="24">
        <f t="shared" si="28"/>
        <v>0</v>
      </c>
      <c r="I23" s="24">
        <f t="shared" si="28"/>
        <v>0</v>
      </c>
      <c r="J23" s="24">
        <f t="shared" ref="J23:N23" si="29">IF(J41&lt;10%,0,IF(15%&lt;J41,2,1))</f>
        <v>1</v>
      </c>
      <c r="K23" s="24">
        <f t="shared" si="29"/>
        <v>1</v>
      </c>
      <c r="L23" s="24" t="e">
        <f t="shared" si="29"/>
        <v>#DIV/0!</v>
      </c>
      <c r="M23" s="24" t="e">
        <f t="shared" si="29"/>
        <v>#DIV/0!</v>
      </c>
      <c r="N23" s="24" t="e">
        <f t="shared" si="29"/>
        <v>#DIV/0!</v>
      </c>
    </row>
    <row r="24" spans="2:14" ht="25.5">
      <c r="B24" s="23" t="s">
        <v>287</v>
      </c>
      <c r="C24" s="24">
        <f>IF(C41&lt;10%,1,IF(15%&lt;C41,2.5,2))</f>
        <v>2</v>
      </c>
      <c r="D24" s="24">
        <f t="shared" ref="D24:F24" si="30">IF(D41&lt;10%,1,IF(15%&lt;D41,2.5,2))</f>
        <v>2.5</v>
      </c>
      <c r="E24" s="24">
        <f t="shared" si="30"/>
        <v>1</v>
      </c>
      <c r="F24" s="24">
        <f t="shared" si="30"/>
        <v>1</v>
      </c>
      <c r="G24" s="24">
        <f t="shared" ref="G24:I24" si="31">IF(G41&lt;10%,1,IF(15%&lt;G41,2.5,2))</f>
        <v>2.5</v>
      </c>
      <c r="H24" s="24">
        <f t="shared" si="31"/>
        <v>1</v>
      </c>
      <c r="I24" s="24">
        <f t="shared" si="31"/>
        <v>1</v>
      </c>
      <c r="J24" s="24">
        <f t="shared" ref="J24:N24" si="32">IF(J41&lt;10%,1,IF(15%&lt;J41,2.5,2))</f>
        <v>2</v>
      </c>
      <c r="K24" s="24">
        <f t="shared" si="32"/>
        <v>2</v>
      </c>
      <c r="L24" s="24" t="e">
        <f t="shared" si="32"/>
        <v>#DIV/0!</v>
      </c>
      <c r="M24" s="24" t="e">
        <f t="shared" si="32"/>
        <v>#DIV/0!</v>
      </c>
      <c r="N24" s="24" t="e">
        <f t="shared" si="32"/>
        <v>#DIV/0!</v>
      </c>
    </row>
    <row r="25" spans="2:14" ht="25.5">
      <c r="B25" s="25" t="s">
        <v>288</v>
      </c>
      <c r="C25" s="26">
        <f t="shared" ref="C25:I25" si="33">+C23*C18</f>
        <v>2979.8876827133295</v>
      </c>
      <c r="D25" s="26">
        <f t="shared" si="33"/>
        <v>6928.9134402181317</v>
      </c>
      <c r="E25" s="26">
        <f t="shared" si="33"/>
        <v>0</v>
      </c>
      <c r="F25" s="26">
        <f t="shared" si="33"/>
        <v>0</v>
      </c>
      <c r="G25" s="26">
        <f t="shared" si="33"/>
        <v>7077.7162024331983</v>
      </c>
      <c r="H25" s="26">
        <f t="shared" si="33"/>
        <v>0</v>
      </c>
      <c r="I25" s="26">
        <f t="shared" si="33"/>
        <v>0</v>
      </c>
      <c r="J25" s="26">
        <f t="shared" ref="J25:N25" si="34">+J23*J18</f>
        <v>4127.6625990609355</v>
      </c>
      <c r="K25" s="26">
        <f t="shared" si="34"/>
        <v>3.9835402037145737</v>
      </c>
      <c r="L25" s="26" t="e">
        <f t="shared" si="34"/>
        <v>#DIV/0!</v>
      </c>
      <c r="M25" s="26" t="e">
        <f t="shared" si="34"/>
        <v>#DIV/0!</v>
      </c>
      <c r="N25" s="26" t="e">
        <f t="shared" si="34"/>
        <v>#DIV/0!</v>
      </c>
    </row>
    <row r="26" spans="2:14" ht="25.5">
      <c r="B26" s="25" t="s">
        <v>289</v>
      </c>
      <c r="C26" s="26">
        <f>AVERAGE(C25,C27)</f>
        <v>4469.831524069994</v>
      </c>
      <c r="D26" s="26">
        <f t="shared" ref="D26:I26" si="35">AVERAGE(D25,D27)</f>
        <v>7795.0276202453979</v>
      </c>
      <c r="E26" s="26">
        <f t="shared" si="35"/>
        <v>1797.0823376983117</v>
      </c>
      <c r="F26" s="26">
        <f t="shared" si="35"/>
        <v>1754.4849489018316</v>
      </c>
      <c r="G26" s="26">
        <f t="shared" si="35"/>
        <v>7962.4307277373482</v>
      </c>
      <c r="H26" s="26">
        <f t="shared" si="35"/>
        <v>1779.4531053063101</v>
      </c>
      <c r="I26" s="26">
        <f t="shared" si="35"/>
        <v>1648.6539406383829</v>
      </c>
      <c r="J26" s="26">
        <f t="shared" ref="J26:N26" si="36">AVERAGE(J25,J27)</f>
        <v>6191.4938985914032</v>
      </c>
      <c r="K26" s="26">
        <f t="shared" si="36"/>
        <v>5.9753103055718606</v>
      </c>
      <c r="L26" s="26" t="e">
        <f t="shared" si="36"/>
        <v>#DIV/0!</v>
      </c>
      <c r="M26" s="26" t="e">
        <f t="shared" si="36"/>
        <v>#DIV/0!</v>
      </c>
      <c r="N26" s="26" t="e">
        <f t="shared" si="36"/>
        <v>#DIV/0!</v>
      </c>
    </row>
    <row r="27" spans="2:14" ht="25.5">
      <c r="B27" s="25" t="s">
        <v>290</v>
      </c>
      <c r="C27" s="26">
        <f t="shared" ref="C27:I27" si="37">+C18*C24</f>
        <v>5959.7753654266589</v>
      </c>
      <c r="D27" s="26">
        <f t="shared" si="37"/>
        <v>8661.1418002726641</v>
      </c>
      <c r="E27" s="26">
        <f t="shared" si="37"/>
        <v>3594.1646753966234</v>
      </c>
      <c r="F27" s="26">
        <f t="shared" si="37"/>
        <v>3508.9698978036631</v>
      </c>
      <c r="G27" s="26">
        <f t="shared" si="37"/>
        <v>8847.1452530414972</v>
      </c>
      <c r="H27" s="26">
        <f t="shared" si="37"/>
        <v>3558.9062106126203</v>
      </c>
      <c r="I27" s="26">
        <f t="shared" si="37"/>
        <v>3297.3078812767658</v>
      </c>
      <c r="J27" s="26">
        <f t="shared" ref="J27:N27" si="38">+J18*J24</f>
        <v>8255.3251981218709</v>
      </c>
      <c r="K27" s="26">
        <f t="shared" si="38"/>
        <v>7.9670804074291475</v>
      </c>
      <c r="L27" s="26" t="e">
        <f t="shared" si="38"/>
        <v>#DIV/0!</v>
      </c>
      <c r="M27" s="26" t="e">
        <f t="shared" si="38"/>
        <v>#DIV/0!</v>
      </c>
      <c r="N27" s="26" t="e">
        <f t="shared" si="38"/>
        <v>#DIV/0!</v>
      </c>
    </row>
    <row r="29" spans="2:14" ht="25.5">
      <c r="B29" s="243" t="s">
        <v>291</v>
      </c>
      <c r="C29" s="81">
        <f t="shared" ref="C29:I29" si="39">C7-C12</f>
        <v>260357098000</v>
      </c>
      <c r="D29" s="81">
        <f t="shared" si="39"/>
        <v>295283014000</v>
      </c>
      <c r="E29" s="81">
        <f t="shared" si="39"/>
        <v>305999762000</v>
      </c>
      <c r="F29" s="81">
        <f t="shared" si="39"/>
        <v>438482042000</v>
      </c>
      <c r="G29" s="81">
        <f t="shared" si="39"/>
        <v>310257110000</v>
      </c>
      <c r="H29" s="81">
        <f t="shared" si="39"/>
        <v>864796012000</v>
      </c>
      <c r="I29" s="81">
        <f t="shared" si="39"/>
        <v>914200453000</v>
      </c>
      <c r="J29" s="81">
        <f t="shared" ref="J29:N29" si="40">J7-J12</f>
        <v>911260629000</v>
      </c>
      <c r="K29" s="81">
        <f t="shared" si="40"/>
        <v>715446614</v>
      </c>
      <c r="L29" s="81">
        <f t="shared" si="40"/>
        <v>0</v>
      </c>
      <c r="M29" s="81">
        <f t="shared" si="40"/>
        <v>0</v>
      </c>
      <c r="N29" s="81">
        <f t="shared" si="40"/>
        <v>0</v>
      </c>
    </row>
    <row r="30" spans="2:14" ht="25.5">
      <c r="B30" s="30" t="s">
        <v>149</v>
      </c>
      <c r="C30" s="241">
        <f t="shared" ref="C30:H30" si="41">C7/C12</f>
        <v>1.5554291215122587</v>
      </c>
      <c r="D30" s="241">
        <f t="shared" si="41"/>
        <v>1.4572896500115153</v>
      </c>
      <c r="E30" s="241">
        <f t="shared" si="41"/>
        <v>1.6331702081448944</v>
      </c>
      <c r="F30" s="241">
        <f t="shared" si="41"/>
        <v>1.8407704529297617</v>
      </c>
      <c r="G30" s="241">
        <f t="shared" si="41"/>
        <v>1.3971976023246679</v>
      </c>
      <c r="H30" s="241">
        <f t="shared" si="41"/>
        <v>2.084856534713901</v>
      </c>
      <c r="I30" s="242">
        <f t="shared" ref="I30:N30" si="42">H7/I12</f>
        <v>2.4174406011250604</v>
      </c>
      <c r="J30" s="242">
        <f t="shared" si="42"/>
        <v>1.8624087436968522</v>
      </c>
      <c r="K30" s="242">
        <f t="shared" si="42"/>
        <v>2226.187333313962</v>
      </c>
      <c r="L30" s="242" t="e">
        <f t="shared" si="42"/>
        <v>#DIV/0!</v>
      </c>
      <c r="M30" s="242" t="e">
        <f t="shared" si="42"/>
        <v>#DIV/0!</v>
      </c>
      <c r="N30" s="242" t="e">
        <f t="shared" si="42"/>
        <v>#DIV/0!</v>
      </c>
    </row>
    <row r="31" spans="2:14" ht="25.5">
      <c r="B31" s="30" t="s">
        <v>292</v>
      </c>
      <c r="C31" s="241">
        <f t="shared" ref="C31:H31" si="43">+(C7-C9)/C12</f>
        <v>1.1245211197098886</v>
      </c>
      <c r="D31" s="241">
        <f t="shared" si="43"/>
        <v>1.1041013676046809</v>
      </c>
      <c r="E31" s="241">
        <f t="shared" si="43"/>
        <v>1.1522202391334271</v>
      </c>
      <c r="F31" s="241">
        <f t="shared" si="43"/>
        <v>1.396220973387603</v>
      </c>
      <c r="G31" s="241">
        <f t="shared" si="43"/>
        <v>0.94473293124636726</v>
      </c>
      <c r="H31" s="241">
        <f t="shared" si="43"/>
        <v>1.4817102330317207</v>
      </c>
      <c r="I31" s="241">
        <f t="shared" ref="I31:N31" si="44">+(H7-I9)/I12</f>
        <v>1.7981836032821157</v>
      </c>
      <c r="J31" s="241">
        <f t="shared" si="44"/>
        <v>1.3282445142713044</v>
      </c>
      <c r="K31" s="241">
        <f t="shared" si="44"/>
        <v>2225.6540576937487</v>
      </c>
      <c r="L31" s="241" t="e">
        <f t="shared" si="44"/>
        <v>#DIV/0!</v>
      </c>
      <c r="M31" s="241" t="e">
        <f t="shared" si="44"/>
        <v>#DIV/0!</v>
      </c>
      <c r="N31" s="241" t="e">
        <f t="shared" si="44"/>
        <v>#DIV/0!</v>
      </c>
    </row>
    <row r="32" spans="2:14" ht="25.5">
      <c r="B32" s="32" t="s">
        <v>153</v>
      </c>
      <c r="C32" s="33">
        <f t="shared" ref="C32:I32" si="45">C14/C11</f>
        <v>0.37920729126481073</v>
      </c>
      <c r="D32" s="33">
        <f t="shared" si="45"/>
        <v>0.42261266051896657</v>
      </c>
      <c r="E32" s="33">
        <f t="shared" si="45"/>
        <v>0.38695121902919655</v>
      </c>
      <c r="F32" s="33">
        <f t="shared" si="45"/>
        <v>0.44212636329928956</v>
      </c>
      <c r="G32" s="33">
        <f t="shared" si="45"/>
        <v>0.4992482711790116</v>
      </c>
      <c r="H32" s="33">
        <f t="shared" si="45"/>
        <v>0.60057371162415285</v>
      </c>
      <c r="I32" s="33">
        <f t="shared" si="45"/>
        <v>0.60940316475993306</v>
      </c>
      <c r="J32" s="33">
        <f t="shared" ref="J32:N32" si="46">J14/J11</f>
        <v>0.58079349633268096</v>
      </c>
      <c r="K32" s="33">
        <f t="shared" si="46"/>
        <v>0.55657368703344368</v>
      </c>
      <c r="L32" s="33" t="e">
        <f t="shared" si="46"/>
        <v>#DIV/0!</v>
      </c>
      <c r="M32" s="33" t="e">
        <f t="shared" si="46"/>
        <v>#DIV/0!</v>
      </c>
      <c r="N32" s="33" t="e">
        <f t="shared" si="46"/>
        <v>#DIV/0!</v>
      </c>
    </row>
    <row r="33" spans="2:14" ht="23.25" customHeight="1"/>
    <row r="35" spans="2:14" ht="25.5">
      <c r="B35" s="35" t="s">
        <v>293</v>
      </c>
      <c r="C35" s="36">
        <f>+C126</f>
        <v>1698360794000</v>
      </c>
      <c r="D35" s="36">
        <f t="shared" ref="D35:I35" si="47">+D126</f>
        <v>1783282337000</v>
      </c>
      <c r="E35" s="36">
        <f t="shared" si="47"/>
        <v>1822540697000</v>
      </c>
      <c r="F35" s="36">
        <f t="shared" si="47"/>
        <v>1857593678000</v>
      </c>
      <c r="G35" s="36">
        <f t="shared" si="47"/>
        <v>2484712280000</v>
      </c>
      <c r="H35" s="36">
        <f t="shared" si="47"/>
        <v>2711434948000</v>
      </c>
      <c r="I35" s="36">
        <f t="shared" si="47"/>
        <v>2565556067000</v>
      </c>
      <c r="J35" s="36">
        <f t="shared" ref="J35:N35" si="48">+J126</f>
        <v>2904566454000</v>
      </c>
      <c r="K35" s="36">
        <f t="shared" si="48"/>
        <v>2909625448</v>
      </c>
      <c r="L35" s="36">
        <f t="shared" si="48"/>
        <v>0</v>
      </c>
      <c r="M35" s="36">
        <f t="shared" si="48"/>
        <v>0</v>
      </c>
      <c r="N35" s="36">
        <f t="shared" si="48"/>
        <v>0</v>
      </c>
    </row>
    <row r="36" spans="2:14" ht="25.5">
      <c r="B36" s="39" t="s">
        <v>660</v>
      </c>
      <c r="C36" s="40">
        <f>+C134</f>
        <v>227177411000</v>
      </c>
      <c r="D36" s="40">
        <f t="shared" ref="D36:I36" si="49">+D134</f>
        <v>472751376000</v>
      </c>
      <c r="E36" s="40">
        <f t="shared" si="49"/>
        <v>233965051000</v>
      </c>
      <c r="F36" s="40">
        <f t="shared" si="49"/>
        <v>175180780000</v>
      </c>
      <c r="G36" s="40">
        <f t="shared" si="49"/>
        <v>330471299000</v>
      </c>
      <c r="H36" s="40">
        <f t="shared" si="49"/>
        <v>218761616000</v>
      </c>
      <c r="I36" s="40">
        <f t="shared" si="49"/>
        <v>239966967000</v>
      </c>
      <c r="J36" s="40">
        <f t="shared" ref="J36:N36" si="50">+J134</f>
        <v>262796827000</v>
      </c>
      <c r="K36" s="40">
        <f t="shared" si="50"/>
        <v>193176343</v>
      </c>
      <c r="L36" s="40">
        <f t="shared" si="50"/>
        <v>0</v>
      </c>
      <c r="M36" s="40">
        <f t="shared" si="50"/>
        <v>0</v>
      </c>
      <c r="N36" s="40">
        <f t="shared" si="50"/>
        <v>0</v>
      </c>
    </row>
    <row r="37" spans="2:14" ht="25.5">
      <c r="B37" s="35" t="s">
        <v>381</v>
      </c>
      <c r="C37" s="41">
        <f>C36/C35</f>
        <v>0.13376275041356142</v>
      </c>
      <c r="D37" s="41">
        <f t="shared" ref="D37:I37" si="51">D36/D35</f>
        <v>0.26510181040390129</v>
      </c>
      <c r="E37" s="41">
        <f t="shared" si="51"/>
        <v>0.12837301871234977</v>
      </c>
      <c r="F37" s="41">
        <f t="shared" si="51"/>
        <v>9.4305219744616295E-2</v>
      </c>
      <c r="G37" s="41">
        <f t="shared" si="51"/>
        <v>0.13300183754072323</v>
      </c>
      <c r="H37" s="41">
        <f t="shared" si="51"/>
        <v>8.0681122798598667E-2</v>
      </c>
      <c r="I37" s="41">
        <f t="shared" si="51"/>
        <v>9.3534095819079982E-2</v>
      </c>
      <c r="J37" s="41">
        <f t="shared" ref="J37:N37" si="52">J36/J35</f>
        <v>9.0477126676888897E-2</v>
      </c>
      <c r="K37" s="41">
        <f t="shared" si="52"/>
        <v>6.6392168494671486E-2</v>
      </c>
      <c r="L37" s="41" t="e">
        <f t="shared" si="52"/>
        <v>#DIV/0!</v>
      </c>
      <c r="M37" s="41" t="e">
        <f t="shared" si="52"/>
        <v>#DIV/0!</v>
      </c>
      <c r="N37" s="41" t="e">
        <f t="shared" si="52"/>
        <v>#DIV/0!</v>
      </c>
    </row>
    <row r="38" spans="2:14" ht="25.5">
      <c r="B38" s="43" t="s">
        <v>295</v>
      </c>
      <c r="C38" s="44">
        <f>+C144</f>
        <v>129607353000</v>
      </c>
      <c r="D38" s="44">
        <f t="shared" ref="D38:I38" si="53">+D144</f>
        <v>306890792000</v>
      </c>
      <c r="E38" s="44">
        <f t="shared" si="53"/>
        <v>130141692000</v>
      </c>
      <c r="F38" s="44">
        <f t="shared" si="53"/>
        <v>96152272000</v>
      </c>
      <c r="G38" s="44">
        <f t="shared" si="53"/>
        <v>199162731000</v>
      </c>
      <c r="H38" s="44">
        <f t="shared" si="53"/>
        <v>118168351000</v>
      </c>
      <c r="I38" s="44">
        <f t="shared" si="53"/>
        <v>105652728000</v>
      </c>
      <c r="J38" s="44">
        <f t="shared" ref="J38:N38" si="54">+J144</f>
        <v>161134012000</v>
      </c>
      <c r="K38" s="44">
        <f t="shared" si="54"/>
        <v>152414235</v>
      </c>
      <c r="L38" s="44">
        <f t="shared" si="54"/>
        <v>0</v>
      </c>
      <c r="M38" s="44">
        <f t="shared" si="54"/>
        <v>0</v>
      </c>
      <c r="N38" s="44">
        <f t="shared" si="54"/>
        <v>0</v>
      </c>
    </row>
    <row r="39" spans="2:14" ht="25.5">
      <c r="B39" s="30" t="s">
        <v>296</v>
      </c>
      <c r="C39" s="45">
        <f>C38/C35</f>
        <v>7.6313203565390356E-2</v>
      </c>
      <c r="D39" s="45">
        <f t="shared" ref="D39:I39" si="55">D38/D35</f>
        <v>0.17209321576990419</v>
      </c>
      <c r="E39" s="45">
        <f t="shared" si="55"/>
        <v>7.1406741267407758E-2</v>
      </c>
      <c r="F39" s="45">
        <f t="shared" si="55"/>
        <v>5.1761735162408319E-2</v>
      </c>
      <c r="G39" s="45">
        <f t="shared" si="55"/>
        <v>8.0155248800074352E-2</v>
      </c>
      <c r="H39" s="45">
        <f t="shared" si="55"/>
        <v>4.3581481122076327E-2</v>
      </c>
      <c r="I39" s="45">
        <f t="shared" si="55"/>
        <v>4.1181219681370541E-2</v>
      </c>
      <c r="J39" s="45">
        <f t="shared" ref="J39:N39" si="56">J38/J35</f>
        <v>5.5476097569775208E-2</v>
      </c>
      <c r="K39" s="45">
        <f t="shared" si="56"/>
        <v>5.2382768065479195E-2</v>
      </c>
      <c r="L39" s="45" t="e">
        <f t="shared" si="56"/>
        <v>#DIV/0!</v>
      </c>
      <c r="M39" s="45" t="e">
        <f t="shared" si="56"/>
        <v>#DIV/0!</v>
      </c>
      <c r="N39" s="45" t="e">
        <f t="shared" si="56"/>
        <v>#DIV/0!</v>
      </c>
    </row>
    <row r="40" spans="2:14" ht="25.5">
      <c r="B40" s="244" t="s">
        <v>159</v>
      </c>
      <c r="C40" s="121">
        <f>+C145</f>
        <v>350.76</v>
      </c>
      <c r="D40" s="121">
        <f t="shared" ref="D40:I40" si="57">+D145</f>
        <v>830.55</v>
      </c>
      <c r="E40" s="121">
        <f t="shared" si="57"/>
        <v>352.21</v>
      </c>
      <c r="F40" s="121">
        <f t="shared" si="57"/>
        <v>260.22000000000003</v>
      </c>
      <c r="G40" s="121">
        <f t="shared" si="57"/>
        <v>539</v>
      </c>
      <c r="H40" s="121">
        <f t="shared" si="57"/>
        <v>319.8</v>
      </c>
      <c r="I40" s="121">
        <f t="shared" si="57"/>
        <v>285.93</v>
      </c>
      <c r="J40" s="121">
        <f t="shared" ref="J40:N40" si="58">+J145</f>
        <v>435.57</v>
      </c>
      <c r="K40" s="121">
        <f t="shared" si="58"/>
        <v>317.05</v>
      </c>
      <c r="L40" s="121">
        <f t="shared" si="58"/>
        <v>0</v>
      </c>
      <c r="M40" s="121">
        <f t="shared" si="58"/>
        <v>0</v>
      </c>
      <c r="N40" s="121">
        <f t="shared" si="58"/>
        <v>0</v>
      </c>
    </row>
    <row r="41" spans="2:14" ht="25.5">
      <c r="B41" s="48" t="s">
        <v>160</v>
      </c>
      <c r="C41" s="49">
        <f t="shared" ref="C41" si="59">C38/C15</f>
        <v>0.11770961185326015</v>
      </c>
      <c r="D41" s="49">
        <f t="shared" ref="D41:I41" si="60">D38/D15</f>
        <v>0.23973469976223635</v>
      </c>
      <c r="E41" s="49">
        <f t="shared" si="60"/>
        <v>9.7994264797195738E-2</v>
      </c>
      <c r="F41" s="49">
        <f t="shared" si="60"/>
        <v>7.4158696887175676E-2</v>
      </c>
      <c r="G41" s="49">
        <f t="shared" si="60"/>
        <v>0.15230953968528024</v>
      </c>
      <c r="H41" s="49">
        <f t="shared" si="60"/>
        <v>8.9860082666984947E-2</v>
      </c>
      <c r="I41" s="49">
        <f t="shared" si="60"/>
        <v>8.6716830539379078E-2</v>
      </c>
      <c r="J41" s="49">
        <f t="shared" ref="J41:N41" si="61">J38/J15</f>
        <v>0.10564895652190133</v>
      </c>
      <c r="K41" s="49">
        <f t="shared" si="61"/>
        <v>0.10354723526964245</v>
      </c>
      <c r="L41" s="49" t="e">
        <f t="shared" si="61"/>
        <v>#DIV/0!</v>
      </c>
      <c r="M41" s="49" t="e">
        <f t="shared" si="61"/>
        <v>#DIV/0!</v>
      </c>
      <c r="N41" s="49" t="e">
        <f t="shared" si="61"/>
        <v>#DIV/0!</v>
      </c>
    </row>
    <row r="42" spans="2:14" ht="25.5">
      <c r="B42" s="48" t="s">
        <v>382</v>
      </c>
      <c r="C42" s="49">
        <f>AVERAGE(G41:I41)</f>
        <v>0.10962881763054809</v>
      </c>
      <c r="D42" s="49"/>
      <c r="E42" s="49"/>
      <c r="F42" s="49"/>
      <c r="G42" s="49"/>
      <c r="H42" s="49"/>
      <c r="I42" s="49"/>
      <c r="J42" s="49"/>
      <c r="K42" s="49"/>
      <c r="L42" s="49"/>
      <c r="M42" s="49"/>
      <c r="N42" s="49"/>
    </row>
    <row r="43" spans="2:14" ht="25.5">
      <c r="B43" s="48" t="s">
        <v>298</v>
      </c>
      <c r="C43" s="50">
        <f>+C157</f>
        <v>138634653000</v>
      </c>
      <c r="D43" s="50">
        <f t="shared" ref="D43:I43" si="62">+D157</f>
        <v>300946606000</v>
      </c>
      <c r="E43" s="50">
        <f t="shared" si="62"/>
        <v>107651392000</v>
      </c>
      <c r="F43" s="50">
        <f t="shared" si="62"/>
        <v>163655855000</v>
      </c>
      <c r="G43" s="50">
        <f t="shared" si="62"/>
        <v>123688144000</v>
      </c>
      <c r="H43" s="50">
        <f t="shared" si="62"/>
        <v>-142732484000</v>
      </c>
      <c r="I43" s="50">
        <f t="shared" si="62"/>
        <v>169696789000</v>
      </c>
      <c r="J43" s="50">
        <f t="shared" ref="J43:N43" si="63">+J157</f>
        <v>134599831000</v>
      </c>
      <c r="K43" s="50">
        <f t="shared" si="63"/>
        <v>96671966</v>
      </c>
      <c r="L43" s="50">
        <f t="shared" si="63"/>
        <v>0</v>
      </c>
      <c r="M43" s="50">
        <f t="shared" si="63"/>
        <v>0</v>
      </c>
      <c r="N43" s="50">
        <f t="shared" si="63"/>
        <v>0</v>
      </c>
    </row>
    <row r="44" spans="2:14" s="855" customFormat="1" ht="12.75">
      <c r="B44" s="908" t="s">
        <v>111</v>
      </c>
      <c r="C44" s="908">
        <f>SUM(C46:C49)</f>
        <v>176.32300000000001</v>
      </c>
      <c r="D44" s="908">
        <f t="shared" ref="D44:F44" si="64">SUM(D46:D49)</f>
        <v>178.88800000000001</v>
      </c>
      <c r="E44" s="908">
        <f t="shared" si="64"/>
        <v>573.33000000000004</v>
      </c>
      <c r="F44" s="908">
        <f t="shared" si="64"/>
        <v>235.95099999999999</v>
      </c>
      <c r="G44" s="908">
        <f>SUM(G46:G49)</f>
        <v>786.16499999999996</v>
      </c>
      <c r="H44" s="908">
        <f>SUM(H46:H49)</f>
        <v>335.1</v>
      </c>
      <c r="I44" s="908">
        <f t="shared" ref="I44:N44" si="65">SUM(I46:I49)</f>
        <v>111.30099999999999</v>
      </c>
      <c r="J44" s="908">
        <f t="shared" si="65"/>
        <v>202.56</v>
      </c>
      <c r="K44" s="908">
        <f t="shared" si="65"/>
        <v>74.52</v>
      </c>
      <c r="L44" s="908">
        <f t="shared" si="65"/>
        <v>0</v>
      </c>
      <c r="M44" s="908">
        <f t="shared" si="65"/>
        <v>0</v>
      </c>
      <c r="N44" s="908">
        <f t="shared" si="65"/>
        <v>0</v>
      </c>
    </row>
    <row r="45" spans="2:14" s="855" customFormat="1" ht="12.75">
      <c r="B45" s="908" t="s">
        <v>112</v>
      </c>
      <c r="C45" s="908">
        <f>+C46+C47+C48</f>
        <v>176.32300000000001</v>
      </c>
      <c r="D45" s="908">
        <f t="shared" ref="D45:N45" si="66">+D46+D47+D48</f>
        <v>178.88800000000001</v>
      </c>
      <c r="E45" s="908">
        <f t="shared" si="66"/>
        <v>573.33000000000004</v>
      </c>
      <c r="F45" s="908">
        <f t="shared" si="66"/>
        <v>235.95099999999999</v>
      </c>
      <c r="G45" s="908">
        <f t="shared" si="66"/>
        <v>339.16500000000002</v>
      </c>
      <c r="H45" s="908">
        <f t="shared" si="66"/>
        <v>335.1</v>
      </c>
      <c r="I45" s="908">
        <f t="shared" si="66"/>
        <v>111.30099999999999</v>
      </c>
      <c r="J45" s="908">
        <f t="shared" si="66"/>
        <v>202.56</v>
      </c>
      <c r="K45" s="908">
        <f>+K46+K47+K48</f>
        <v>74.52</v>
      </c>
      <c r="L45" s="908">
        <v>74.52</v>
      </c>
      <c r="M45" s="908">
        <f t="shared" si="66"/>
        <v>0</v>
      </c>
      <c r="N45" s="908">
        <f t="shared" si="66"/>
        <v>0</v>
      </c>
    </row>
    <row r="46" spans="2:14" s="855" customFormat="1" ht="12.75">
      <c r="B46" s="909" t="s">
        <v>114</v>
      </c>
      <c r="C46" s="875">
        <v>30.175999999999998</v>
      </c>
      <c r="D46" s="875">
        <v>35.228000000000002</v>
      </c>
      <c r="E46" s="875">
        <v>109.16500000000001</v>
      </c>
      <c r="F46" s="875">
        <v>30.661999999999999</v>
      </c>
      <c r="G46" s="875">
        <v>22.065999999999999</v>
      </c>
      <c r="H46" s="875"/>
      <c r="I46" s="875"/>
      <c r="J46" s="875">
        <v>85.06</v>
      </c>
      <c r="K46" s="875">
        <v>74.52</v>
      </c>
      <c r="L46" s="875"/>
      <c r="M46" s="875"/>
      <c r="N46" s="875"/>
    </row>
    <row r="47" spans="2:14" s="855" customFormat="1" ht="12.75">
      <c r="B47" s="909" t="s">
        <v>115</v>
      </c>
      <c r="C47" s="875">
        <v>66</v>
      </c>
      <c r="D47" s="875">
        <v>70</v>
      </c>
      <c r="E47" s="875">
        <v>215</v>
      </c>
      <c r="F47" s="875">
        <v>56</v>
      </c>
      <c r="G47" s="875">
        <v>200</v>
      </c>
      <c r="H47" s="875">
        <v>135.1</v>
      </c>
      <c r="I47" s="875">
        <v>86.498999999999995</v>
      </c>
      <c r="J47" s="875">
        <v>117.5</v>
      </c>
      <c r="K47" s="875"/>
      <c r="L47" s="875"/>
      <c r="M47" s="875"/>
      <c r="N47" s="875"/>
    </row>
    <row r="48" spans="2:14" s="855" customFormat="1" ht="12.75">
      <c r="B48" s="909" t="s">
        <v>116</v>
      </c>
      <c r="C48" s="875">
        <v>80.147000000000006</v>
      </c>
      <c r="D48" s="875">
        <v>73.66</v>
      </c>
      <c r="E48" s="875">
        <v>249.16499999999999</v>
      </c>
      <c r="F48" s="875">
        <v>149.28899999999999</v>
      </c>
      <c r="G48" s="875">
        <v>117.099</v>
      </c>
      <c r="H48" s="875">
        <v>200</v>
      </c>
      <c r="I48" s="875">
        <v>24.802</v>
      </c>
      <c r="J48" s="875"/>
      <c r="K48" s="875"/>
      <c r="L48" s="875"/>
      <c r="M48" s="875"/>
      <c r="N48" s="875"/>
    </row>
    <row r="49" spans="2:16" s="855" customFormat="1" ht="12.75">
      <c r="B49" s="909" t="s">
        <v>117</v>
      </c>
      <c r="C49" s="875"/>
      <c r="D49" s="875"/>
      <c r="E49" s="875"/>
      <c r="F49" s="875"/>
      <c r="G49" s="875">
        <v>447</v>
      </c>
      <c r="H49" s="875"/>
      <c r="I49" s="875"/>
      <c r="J49" s="875"/>
      <c r="K49" s="875"/>
      <c r="L49" s="875"/>
      <c r="M49" s="875"/>
      <c r="N49" s="875"/>
    </row>
    <row r="50" spans="2:16" s="910" customFormat="1" ht="12.75">
      <c r="B50" s="908" t="s">
        <v>119</v>
      </c>
      <c r="C50" s="908">
        <f>SUM(C52:C55)</f>
        <v>174.88800000000001</v>
      </c>
      <c r="D50" s="908">
        <f t="shared" ref="D50:N50" si="67">SUM(D52:D55)</f>
        <v>428.33000000000004</v>
      </c>
      <c r="E50" s="908">
        <f t="shared" si="67"/>
        <v>394.95100000000002</v>
      </c>
      <c r="F50" s="908">
        <f t="shared" si="67"/>
        <v>195.16500000000002</v>
      </c>
      <c r="G50" s="908">
        <f t="shared" si="67"/>
        <v>847</v>
      </c>
      <c r="H50" s="908">
        <f t="shared" si="67"/>
        <v>159.90199999999999</v>
      </c>
      <c r="I50" s="908">
        <f>SUM(I52:I55)</f>
        <v>171.559</v>
      </c>
      <c r="J50" s="908">
        <f>SUM(J52:J55)</f>
        <v>217.785</v>
      </c>
      <c r="K50" s="908">
        <f t="shared" si="67"/>
        <v>158.51999999999998</v>
      </c>
      <c r="L50" s="908">
        <f t="shared" si="67"/>
        <v>0</v>
      </c>
      <c r="M50" s="908">
        <f t="shared" si="67"/>
        <v>0</v>
      </c>
      <c r="N50" s="908">
        <f t="shared" si="67"/>
        <v>0</v>
      </c>
    </row>
    <row r="51" spans="2:16" s="910" customFormat="1" ht="12.75">
      <c r="B51" s="908" t="s">
        <v>120</v>
      </c>
      <c r="C51" s="908">
        <f>+C52+C53+C54</f>
        <v>174.88800000000001</v>
      </c>
      <c r="D51" s="908">
        <f t="shared" ref="D51:N51" si="68">+D52+D53+D54</f>
        <v>428.33000000000004</v>
      </c>
      <c r="E51" s="908">
        <f t="shared" si="68"/>
        <v>394.95100000000002</v>
      </c>
      <c r="F51" s="908">
        <f t="shared" si="68"/>
        <v>195.16500000000002</v>
      </c>
      <c r="G51" s="908">
        <f t="shared" si="68"/>
        <v>400</v>
      </c>
      <c r="H51" s="908">
        <f t="shared" si="68"/>
        <v>159.90199999999999</v>
      </c>
      <c r="I51" s="908">
        <f>+I52+I53+I54</f>
        <v>171.559</v>
      </c>
      <c r="J51" s="908">
        <f>+J52+J53+J54</f>
        <v>217.785</v>
      </c>
      <c r="K51" s="908">
        <f>+K52+K53+K54</f>
        <v>158.51999999999998</v>
      </c>
      <c r="L51" s="908">
        <f t="shared" si="68"/>
        <v>0</v>
      </c>
      <c r="M51" s="908">
        <f t="shared" si="68"/>
        <v>0</v>
      </c>
      <c r="N51" s="908">
        <f t="shared" si="68"/>
        <v>0</v>
      </c>
    </row>
    <row r="52" spans="2:16" s="855" customFormat="1" ht="12.75">
      <c r="B52" s="909" t="s">
        <v>121</v>
      </c>
      <c r="C52" s="875">
        <v>35.228000000000002</v>
      </c>
      <c r="D52" s="875">
        <v>109.16500000000001</v>
      </c>
      <c r="E52" s="875">
        <v>30.661999999999999</v>
      </c>
      <c r="F52" s="875">
        <v>22.065999999999999</v>
      </c>
      <c r="G52" s="875"/>
      <c r="H52" s="875"/>
      <c r="I52" s="875">
        <v>85.06</v>
      </c>
      <c r="J52" s="875">
        <v>100.285</v>
      </c>
      <c r="K52" s="875">
        <v>74.52</v>
      </c>
      <c r="L52" s="875"/>
      <c r="M52" s="875"/>
      <c r="N52" s="875"/>
    </row>
    <row r="53" spans="2:16" s="855" customFormat="1" ht="12.75">
      <c r="B53" s="909" t="s">
        <v>122</v>
      </c>
      <c r="C53" s="875">
        <v>66</v>
      </c>
      <c r="D53" s="875">
        <v>70</v>
      </c>
      <c r="E53" s="875">
        <v>215</v>
      </c>
      <c r="F53" s="875">
        <v>56</v>
      </c>
      <c r="G53" s="875">
        <v>200</v>
      </c>
      <c r="H53" s="875">
        <v>135.1</v>
      </c>
      <c r="I53" s="875">
        <v>86.498999999999995</v>
      </c>
      <c r="J53" s="875">
        <v>117.5</v>
      </c>
      <c r="K53" s="875">
        <v>84</v>
      </c>
      <c r="L53" s="875"/>
      <c r="M53" s="875"/>
      <c r="N53" s="875"/>
    </row>
    <row r="54" spans="2:16" s="855" customFormat="1" ht="12.75">
      <c r="B54" s="909" t="s">
        <v>123</v>
      </c>
      <c r="C54" s="875">
        <v>73.66</v>
      </c>
      <c r="D54" s="875">
        <v>249.16499999999999</v>
      </c>
      <c r="E54" s="875">
        <v>149.28899999999999</v>
      </c>
      <c r="F54" s="875">
        <v>117.099</v>
      </c>
      <c r="G54" s="875">
        <v>200</v>
      </c>
      <c r="H54" s="875">
        <v>24.802</v>
      </c>
      <c r="I54" s="875"/>
      <c r="J54" s="875"/>
      <c r="K54" s="875"/>
      <c r="L54" s="875"/>
      <c r="M54" s="875"/>
      <c r="N54" s="875"/>
    </row>
    <row r="55" spans="2:16" s="855" customFormat="1" ht="12.75">
      <c r="B55" s="909" t="s">
        <v>124</v>
      </c>
      <c r="C55" s="875"/>
      <c r="D55" s="875"/>
      <c r="E55" s="875"/>
      <c r="F55" s="875"/>
      <c r="G55" s="875">
        <v>447</v>
      </c>
      <c r="H55" s="875"/>
      <c r="I55" s="875"/>
      <c r="J55" s="875"/>
      <c r="K55" s="875"/>
      <c r="L55" s="875"/>
      <c r="M55" s="875"/>
      <c r="N55" s="875"/>
    </row>
    <row r="56" spans="2:16" ht="25.5">
      <c r="B56" s="541" t="s">
        <v>167</v>
      </c>
      <c r="C56" s="99">
        <f t="shared" ref="C56:K56" si="69">(C52+C53+C54)/C40</f>
        <v>0.49859733150872393</v>
      </c>
      <c r="D56" s="99">
        <f t="shared" si="69"/>
        <v>0.51571849978929629</v>
      </c>
      <c r="E56" s="99">
        <f t="shared" si="69"/>
        <v>1.1213508986116238</v>
      </c>
      <c r="F56" s="99">
        <f t="shared" si="69"/>
        <v>0.75</v>
      </c>
      <c r="G56" s="99">
        <f t="shared" si="69"/>
        <v>0.74211502782931349</v>
      </c>
      <c r="H56" s="99">
        <f t="shared" si="69"/>
        <v>0.50000625390869291</v>
      </c>
      <c r="I56" s="99">
        <f t="shared" si="69"/>
        <v>0.60000349735949354</v>
      </c>
      <c r="J56" s="99">
        <f t="shared" si="69"/>
        <v>0.5</v>
      </c>
      <c r="K56" s="99">
        <f>(K52+K53+K54)/K40</f>
        <v>0.49998422961677963</v>
      </c>
      <c r="L56" s="99" t="e">
        <f>(#REF!+#REF!+#REF!)/L40</f>
        <v>#REF!</v>
      </c>
      <c r="M56" s="99" t="e">
        <f>(#REF!+#REF!+#REF!)/M40</f>
        <v>#REF!</v>
      </c>
      <c r="N56" s="99" t="e">
        <f>(#REF!+#REF!+#REF!)/N40</f>
        <v>#REF!</v>
      </c>
    </row>
    <row r="57" spans="2:16" ht="28.5">
      <c r="B57" s="540" t="s">
        <v>303</v>
      </c>
      <c r="C57" s="54">
        <f>AVERAGE(G56:I56)</f>
        <v>0.61404159303249994</v>
      </c>
      <c r="D57" s="54"/>
      <c r="E57" s="54"/>
      <c r="F57" s="54"/>
      <c r="G57" s="54"/>
      <c r="H57" s="54"/>
      <c r="I57" s="54"/>
      <c r="J57" s="54"/>
      <c r="K57" s="54"/>
      <c r="L57" s="54"/>
      <c r="M57" s="54"/>
      <c r="N57" s="54"/>
    </row>
    <row r="58" spans="2:16" ht="25.5">
      <c r="B58" s="541" t="s">
        <v>299</v>
      </c>
      <c r="C58" s="99">
        <f>D45/C19</f>
        <v>1.9379048857111905E-2</v>
      </c>
      <c r="D58" s="99">
        <f>E45/D19</f>
        <v>6.4310712282669658E-2</v>
      </c>
      <c r="E58" s="99">
        <f t="shared" ref="E58:N58" si="70">F45/E19</f>
        <v>3.2010717677384344E-2</v>
      </c>
      <c r="F58" s="99">
        <f t="shared" si="70"/>
        <v>6.4627477134146349E-2</v>
      </c>
      <c r="G58" s="99">
        <f t="shared" si="70"/>
        <v>4.8341027120600122E-2</v>
      </c>
      <c r="H58" s="99">
        <f t="shared" si="70"/>
        <v>1.9647131509267429E-2</v>
      </c>
      <c r="I58" s="99">
        <f t="shared" si="70"/>
        <v>3.6126270733012306E-2</v>
      </c>
      <c r="J58" s="99">
        <f t="shared" si="70"/>
        <v>1.2982804578476977E-2</v>
      </c>
      <c r="K58" s="99">
        <f>L45/K19</f>
        <v>1.266270178419711E-2</v>
      </c>
      <c r="L58" s="99" t="e">
        <f t="shared" si="70"/>
        <v>#DIV/0!</v>
      </c>
      <c r="M58" s="99" t="e">
        <f t="shared" si="70"/>
        <v>#DIV/0!</v>
      </c>
      <c r="N58" s="99" t="e">
        <f t="shared" si="70"/>
        <v>#DIV/0!</v>
      </c>
    </row>
    <row r="59" spans="2:16" ht="25.5">
      <c r="B59" s="542" t="s">
        <v>384</v>
      </c>
      <c r="C59" s="534">
        <f>AVERAGE(G58:I58)</f>
        <v>3.470480978762662E-2</v>
      </c>
      <c r="D59" s="534"/>
      <c r="E59" s="534"/>
      <c r="F59" s="534"/>
      <c r="G59" s="534"/>
      <c r="H59" s="534"/>
      <c r="I59" s="534"/>
      <c r="J59" s="534"/>
      <c r="K59" s="534"/>
      <c r="L59" s="534"/>
      <c r="M59" s="534"/>
      <c r="N59" s="534"/>
      <c r="O59" s="534"/>
      <c r="P59" s="534"/>
    </row>
    <row r="60" spans="2:16" ht="25.5">
      <c r="B60" s="543" t="s">
        <v>176</v>
      </c>
      <c r="C60" s="355">
        <f t="shared" ref="C60:N60" si="71">+C41*(100%-C56)</f>
        <v>5.901991349029697E-2</v>
      </c>
      <c r="D60" s="355">
        <f t="shared" si="71"/>
        <v>0.11609908005341846</v>
      </c>
      <c r="E60" s="355">
        <f t="shared" si="71"/>
        <v>-1.1891692091925119E-2</v>
      </c>
      <c r="F60" s="549">
        <f t="shared" si="71"/>
        <v>1.8539674221793919E-2</v>
      </c>
      <c r="G60" s="355">
        <f t="shared" si="71"/>
        <v>3.9278341403068566E-2</v>
      </c>
      <c r="H60" s="355">
        <f t="shared" si="71"/>
        <v>4.492947935674034E-2</v>
      </c>
      <c r="I60" s="355">
        <f t="shared" si="71"/>
        <v>3.4686428935821093E-2</v>
      </c>
      <c r="J60" s="355">
        <f t="shared" si="71"/>
        <v>5.2824478260950665E-2</v>
      </c>
      <c r="K60" s="355">
        <f t="shared" si="71"/>
        <v>5.1775250614402843E-2</v>
      </c>
      <c r="L60" s="355" t="e">
        <f t="shared" si="71"/>
        <v>#DIV/0!</v>
      </c>
      <c r="M60" s="355" t="e">
        <f t="shared" si="71"/>
        <v>#DIV/0!</v>
      </c>
      <c r="N60" s="355" t="e">
        <f t="shared" si="71"/>
        <v>#DIV/0!</v>
      </c>
    </row>
    <row r="61" spans="2:16" ht="25.5">
      <c r="B61" s="542" t="s">
        <v>306</v>
      </c>
      <c r="C61" s="534">
        <f>AVERAGE(G60:I60)</f>
        <v>3.963141656521E-2</v>
      </c>
      <c r="D61" s="534"/>
      <c r="E61" s="534"/>
      <c r="F61" s="534"/>
      <c r="G61" s="534"/>
      <c r="H61" s="534"/>
      <c r="I61" s="534"/>
      <c r="J61" s="534"/>
      <c r="K61" s="534"/>
      <c r="L61" s="534"/>
      <c r="M61" s="534"/>
      <c r="N61" s="534"/>
      <c r="O61" s="534"/>
    </row>
    <row r="62" spans="2:16" ht="25.5">
      <c r="B62" s="542" t="s">
        <v>300</v>
      </c>
      <c r="C62" s="1212">
        <f ca="1">B3</f>
        <v>5045</v>
      </c>
      <c r="D62" s="534"/>
      <c r="E62" s="534"/>
      <c r="F62" s="534"/>
      <c r="G62" s="534"/>
      <c r="H62" s="534"/>
      <c r="I62" s="534"/>
      <c r="J62" s="534"/>
      <c r="K62" s="534"/>
      <c r="L62" s="534"/>
      <c r="M62" s="534"/>
      <c r="N62" s="534"/>
      <c r="O62" s="534"/>
    </row>
    <row r="64" spans="2:16">
      <c r="B64" s="75" t="s">
        <v>307</v>
      </c>
    </row>
    <row r="65" spans="2:14" ht="14.65" thickBot="1"/>
    <row r="66" spans="2:14">
      <c r="B66" s="57" t="s">
        <v>385</v>
      </c>
      <c r="C66" s="158">
        <v>2017</v>
      </c>
      <c r="D66" s="158">
        <v>2018</v>
      </c>
      <c r="E66" s="158">
        <v>2019</v>
      </c>
      <c r="F66" s="158">
        <v>2020</v>
      </c>
      <c r="G66" s="158">
        <v>2021</v>
      </c>
      <c r="H66" s="158">
        <v>2022</v>
      </c>
      <c r="I66" s="158">
        <v>2023</v>
      </c>
      <c r="J66" s="158">
        <v>2024</v>
      </c>
      <c r="K66" s="158">
        <v>2025</v>
      </c>
      <c r="L66" s="158">
        <v>2026</v>
      </c>
      <c r="M66" s="158">
        <v>2027</v>
      </c>
      <c r="N66" s="158">
        <v>2028</v>
      </c>
    </row>
    <row r="67" spans="2:14">
      <c r="B67" s="157" t="s">
        <v>309</v>
      </c>
      <c r="C67" s="66"/>
      <c r="D67" s="66"/>
      <c r="E67" s="66"/>
      <c r="F67" s="66"/>
      <c r="G67" s="66"/>
      <c r="H67" s="66"/>
      <c r="I67" s="66"/>
      <c r="J67" s="66"/>
      <c r="K67" s="66"/>
      <c r="L67" s="66"/>
      <c r="M67" s="66"/>
      <c r="N67" s="66"/>
    </row>
    <row r="68" spans="2:14">
      <c r="B68" s="58" t="s">
        <v>310</v>
      </c>
      <c r="C68" s="64">
        <v>729106553000</v>
      </c>
      <c r="D68" s="64">
        <v>941007259000</v>
      </c>
      <c r="E68" s="64">
        <v>789281758000</v>
      </c>
      <c r="F68" s="159">
        <v>960006128000</v>
      </c>
      <c r="G68" s="64">
        <v>1091372374000</v>
      </c>
      <c r="H68" s="141">
        <v>1661948432000</v>
      </c>
      <c r="I68" s="64">
        <v>1601683087000</v>
      </c>
      <c r="J68" s="1210">
        <v>1771266840000</v>
      </c>
      <c r="K68" s="1210">
        <v>1511097013</v>
      </c>
      <c r="L68" s="64"/>
      <c r="M68" s="64"/>
      <c r="N68" s="64"/>
    </row>
    <row r="69" spans="2:14" ht="15">
      <c r="B69" s="59" t="s">
        <v>386</v>
      </c>
      <c r="C69" s="66">
        <v>170044602000</v>
      </c>
      <c r="D69" s="66">
        <v>319014050000</v>
      </c>
      <c r="E69" s="66">
        <v>196369224000</v>
      </c>
      <c r="F69" s="66">
        <v>396389016000</v>
      </c>
      <c r="G69" s="66">
        <v>265568125000</v>
      </c>
      <c r="H69" s="160">
        <v>597081675000</v>
      </c>
      <c r="I69" s="66">
        <v>618154016000</v>
      </c>
      <c r="J69" s="66">
        <v>707122815000</v>
      </c>
      <c r="K69" s="66">
        <v>519175929</v>
      </c>
      <c r="L69" s="66"/>
      <c r="M69" s="66"/>
      <c r="N69" s="66"/>
    </row>
    <row r="70" spans="2:14" ht="15">
      <c r="B70" s="59" t="s">
        <v>387</v>
      </c>
      <c r="C70" s="66">
        <v>10724196000</v>
      </c>
      <c r="D70" s="66">
        <v>22745469000</v>
      </c>
      <c r="E70" s="66">
        <v>9815358000</v>
      </c>
      <c r="F70" s="66">
        <v>12212588000</v>
      </c>
      <c r="G70" s="66">
        <v>23851496000</v>
      </c>
      <c r="H70" s="160">
        <v>45657992000</v>
      </c>
      <c r="I70" s="66">
        <v>7440650000</v>
      </c>
      <c r="J70" s="66">
        <v>11899281000</v>
      </c>
      <c r="K70" s="66">
        <v>9927288</v>
      </c>
      <c r="L70" s="66"/>
      <c r="M70" s="66"/>
      <c r="N70" s="66"/>
    </row>
    <row r="71" spans="2:14">
      <c r="B71" s="59" t="s">
        <v>388</v>
      </c>
      <c r="C71" s="66">
        <v>15834225000</v>
      </c>
      <c r="D71" s="66">
        <v>18861414000</v>
      </c>
      <c r="E71" s="66">
        <v>22395591000</v>
      </c>
      <c r="F71" s="66">
        <v>15278558000</v>
      </c>
      <c r="G71" s="66">
        <v>29330418000</v>
      </c>
      <c r="H71" s="160">
        <v>22037741000</v>
      </c>
      <c r="I71" s="66">
        <v>29674705000</v>
      </c>
      <c r="J71" s="66">
        <v>31143442000</v>
      </c>
      <c r="K71" s="66">
        <v>33297469</v>
      </c>
      <c r="L71" s="66"/>
      <c r="M71" s="66"/>
      <c r="N71" s="66"/>
    </row>
    <row r="72" spans="2:14" ht="15">
      <c r="B72" s="59" t="s">
        <v>389</v>
      </c>
      <c r="C72" s="66">
        <v>286213598000</v>
      </c>
      <c r="D72" s="66">
        <v>320702339000</v>
      </c>
      <c r="E72" s="66">
        <v>300013940000</v>
      </c>
      <c r="F72" s="66">
        <v>275387923000</v>
      </c>
      <c r="G72" s="66">
        <v>372995729000</v>
      </c>
      <c r="H72" s="160">
        <v>445263536000</v>
      </c>
      <c r="I72" s="66">
        <v>446486753000</v>
      </c>
      <c r="J72" s="66">
        <v>506711173000</v>
      </c>
      <c r="K72" s="66">
        <v>473691412</v>
      </c>
      <c r="L72" s="66"/>
      <c r="M72" s="66"/>
      <c r="N72" s="66"/>
    </row>
    <row r="73" spans="2:14" ht="15">
      <c r="B73" s="59" t="s">
        <v>390</v>
      </c>
      <c r="C73" s="66">
        <v>5810764000</v>
      </c>
      <c r="D73" s="66">
        <v>3048841000</v>
      </c>
      <c r="E73" s="66">
        <v>3278685000</v>
      </c>
      <c r="F73" s="66">
        <v>5313079000</v>
      </c>
      <c r="G73" s="66">
        <v>5307264000</v>
      </c>
      <c r="H73" s="160">
        <v>6204099000</v>
      </c>
      <c r="I73" s="66">
        <v>9040528000</v>
      </c>
      <c r="J73" s="66">
        <v>15501990000</v>
      </c>
      <c r="K73" s="66">
        <v>16123780</v>
      </c>
      <c r="L73" s="66"/>
      <c r="M73" s="66"/>
      <c r="N73" s="66"/>
    </row>
    <row r="74" spans="2:14" ht="15">
      <c r="B74" s="59" t="s">
        <v>391</v>
      </c>
      <c r="C74" s="161">
        <v>201987891000</v>
      </c>
      <c r="D74" s="66">
        <v>228062237000</v>
      </c>
      <c r="E74" s="66">
        <v>232434461000</v>
      </c>
      <c r="F74" s="66">
        <v>231843261000</v>
      </c>
      <c r="G74" s="66">
        <v>353427061000</v>
      </c>
      <c r="H74" s="160">
        <v>480799534000</v>
      </c>
      <c r="I74" s="66">
        <v>425728432000</v>
      </c>
      <c r="J74" s="66">
        <v>459384555000</v>
      </c>
      <c r="K74" s="66">
        <v>424300960</v>
      </c>
      <c r="L74" s="66"/>
      <c r="M74" s="66"/>
      <c r="N74" s="66"/>
    </row>
    <row r="75" spans="2:14" ht="15">
      <c r="B75" s="59" t="s">
        <v>661</v>
      </c>
      <c r="C75" s="161">
        <v>8157688000</v>
      </c>
      <c r="D75" s="66">
        <v>8489873000</v>
      </c>
      <c r="E75" s="66">
        <v>9459071000</v>
      </c>
      <c r="F75" s="66">
        <v>10595029000</v>
      </c>
      <c r="G75" s="66">
        <v>12546705000</v>
      </c>
      <c r="H75" s="160">
        <v>16180293000</v>
      </c>
      <c r="I75" s="66">
        <v>14764284000</v>
      </c>
      <c r="J75" s="66">
        <v>16883106000</v>
      </c>
      <c r="K75" s="66">
        <v>16709078</v>
      </c>
      <c r="L75" s="66"/>
      <c r="M75" s="66"/>
      <c r="N75" s="66"/>
    </row>
    <row r="76" spans="2:14" ht="15">
      <c r="B76" s="59" t="s">
        <v>392</v>
      </c>
      <c r="C76" s="66">
        <v>28027878000</v>
      </c>
      <c r="D76" s="66">
        <v>17302429000</v>
      </c>
      <c r="E76" s="66">
        <v>15132290000</v>
      </c>
      <c r="F76" s="66">
        <v>10865347000</v>
      </c>
      <c r="G76" s="66">
        <v>26062856000</v>
      </c>
      <c r="H76" s="160">
        <v>46707525000</v>
      </c>
      <c r="I76" s="66">
        <v>28786247000</v>
      </c>
      <c r="J76" s="66">
        <v>19668196000</v>
      </c>
      <c r="K76" s="66">
        <v>17703246</v>
      </c>
      <c r="L76" s="66"/>
      <c r="M76" s="66"/>
      <c r="N76" s="66"/>
    </row>
    <row r="77" spans="2:14" ht="15">
      <c r="B77" s="59" t="s">
        <v>662</v>
      </c>
      <c r="C77" s="66">
        <v>2305711000</v>
      </c>
      <c r="D77" s="66">
        <v>2780607000</v>
      </c>
      <c r="E77" s="66">
        <v>383138000</v>
      </c>
      <c r="F77" s="66">
        <v>2121327000</v>
      </c>
      <c r="G77" s="66">
        <v>2282720000</v>
      </c>
      <c r="H77" s="160">
        <v>2016037000</v>
      </c>
      <c r="I77" s="66">
        <v>21607472000</v>
      </c>
      <c r="J77" s="66">
        <v>2952282000</v>
      </c>
      <c r="K77" s="66">
        <v>167851</v>
      </c>
      <c r="L77" s="66"/>
      <c r="M77" s="66"/>
      <c r="N77" s="66"/>
    </row>
    <row r="78" spans="2:14">
      <c r="B78" s="59" t="s">
        <v>318</v>
      </c>
      <c r="C78" s="66">
        <f t="shared" ref="C78:G78" si="72">+C68-C69-C74-C76-C73-C72-C71-C70-C75-C77</f>
        <v>0</v>
      </c>
      <c r="D78" s="66">
        <f t="shared" si="72"/>
        <v>0</v>
      </c>
      <c r="E78" s="66">
        <f t="shared" si="72"/>
        <v>0</v>
      </c>
      <c r="F78" s="66">
        <f t="shared" si="72"/>
        <v>0</v>
      </c>
      <c r="G78" s="66">
        <f t="shared" si="72"/>
        <v>0</v>
      </c>
      <c r="H78" s="66">
        <f t="shared" ref="H78:N78" si="73">+H68-H69-H74-H76-H73-H72-H71-H70-H75-H77</f>
        <v>0</v>
      </c>
      <c r="I78" s="66">
        <f>+I68-I69-I74-I76-I73-I72-I71-I70-I75-I77</f>
        <v>0</v>
      </c>
      <c r="J78" s="66">
        <f>+J68-J69-J74-J76-J73-J72-J71-J70-J75-J77</f>
        <v>0</v>
      </c>
      <c r="K78" s="66">
        <f>+K68-K69-K74-K76-K73-K72-K71-K70-K75-K77</f>
        <v>0</v>
      </c>
      <c r="L78" s="66">
        <f t="shared" si="73"/>
        <v>0</v>
      </c>
      <c r="M78" s="66">
        <f t="shared" si="73"/>
        <v>0</v>
      </c>
      <c r="N78" s="66">
        <f t="shared" si="73"/>
        <v>0</v>
      </c>
    </row>
    <row r="79" spans="2:14" ht="15">
      <c r="B79" s="58" t="s">
        <v>319</v>
      </c>
      <c r="C79" s="64">
        <v>1247122534000</v>
      </c>
      <c r="D79" s="64">
        <v>1464857657000</v>
      </c>
      <c r="E79" s="64">
        <v>1564408956000</v>
      </c>
      <c r="F79" s="159">
        <v>1565330404000</v>
      </c>
      <c r="G79" s="64">
        <v>1755378263000</v>
      </c>
      <c r="H79" s="141">
        <v>1933130547000</v>
      </c>
      <c r="I79" s="64">
        <v>1822263193000</v>
      </c>
      <c r="J79" s="64">
        <v>2218450150000</v>
      </c>
      <c r="K79" s="64">
        <v>2134289956</v>
      </c>
      <c r="L79" s="64"/>
      <c r="M79" s="64"/>
      <c r="N79" s="64"/>
    </row>
    <row r="80" spans="2:14" ht="15">
      <c r="B80" s="59" t="s">
        <v>393</v>
      </c>
      <c r="C80" s="66">
        <v>1918191000</v>
      </c>
      <c r="D80" s="66">
        <v>3325079000</v>
      </c>
      <c r="E80" s="66">
        <v>4670538000</v>
      </c>
      <c r="F80" s="66">
        <v>11953435000</v>
      </c>
      <c r="G80" s="66">
        <v>31252095000</v>
      </c>
      <c r="H80" s="160">
        <v>37054245000</v>
      </c>
      <c r="I80" s="66">
        <v>29981745000</v>
      </c>
      <c r="J80" s="66">
        <v>30060601000</v>
      </c>
      <c r="K80" s="66">
        <v>26067779</v>
      </c>
      <c r="L80" s="64"/>
      <c r="M80" s="66"/>
      <c r="N80" s="66"/>
    </row>
    <row r="81" spans="2:14" ht="15">
      <c r="B81" s="59" t="s">
        <v>394</v>
      </c>
      <c r="C81" s="66">
        <v>4644827000</v>
      </c>
      <c r="D81" s="66">
        <v>5007150000</v>
      </c>
      <c r="E81" s="66">
        <v>7042297000</v>
      </c>
      <c r="F81" s="66">
        <v>8479668000</v>
      </c>
      <c r="G81" s="66">
        <v>8266355000</v>
      </c>
      <c r="H81" s="160">
        <v>12613444000</v>
      </c>
      <c r="I81" s="66">
        <v>12311027000</v>
      </c>
      <c r="J81" s="66">
        <v>13674236000</v>
      </c>
      <c r="K81" s="66">
        <v>8386715</v>
      </c>
      <c r="L81" s="64"/>
      <c r="M81" s="66"/>
      <c r="N81" s="66"/>
    </row>
    <row r="82" spans="2:14" ht="15">
      <c r="B82" s="59" t="s">
        <v>663</v>
      </c>
      <c r="C82" s="66">
        <v>3974395000</v>
      </c>
      <c r="D82" s="66">
        <v>3363123000</v>
      </c>
      <c r="E82" s="66">
        <v>3224627000</v>
      </c>
      <c r="F82" s="66">
        <v>1860635000</v>
      </c>
      <c r="G82" s="66">
        <v>3801244000</v>
      </c>
      <c r="H82" s="160">
        <v>3941760000</v>
      </c>
      <c r="I82" s="66">
        <v>3313742000</v>
      </c>
      <c r="J82" s="66">
        <v>5966414000</v>
      </c>
      <c r="K82" s="66">
        <v>4954334</v>
      </c>
      <c r="L82" s="64"/>
      <c r="M82" s="66"/>
      <c r="N82" s="66"/>
    </row>
    <row r="83" spans="2:14" ht="15">
      <c r="B83" s="59" t="s">
        <v>484</v>
      </c>
      <c r="C83" s="66">
        <v>258471000</v>
      </c>
      <c r="D83" s="66">
        <v>190865000</v>
      </c>
      <c r="E83" s="66">
        <v>118122000</v>
      </c>
      <c r="F83" s="66">
        <v>132555000</v>
      </c>
      <c r="G83" s="66">
        <v>104197000</v>
      </c>
      <c r="H83" s="160">
        <v>42506000</v>
      </c>
      <c r="I83" s="66">
        <v>42506000</v>
      </c>
      <c r="J83" s="66">
        <v>844344000</v>
      </c>
      <c r="K83" s="66">
        <v>1134264</v>
      </c>
      <c r="L83" s="64"/>
      <c r="M83" s="66"/>
      <c r="N83" s="66"/>
    </row>
    <row r="84" spans="2:14" ht="15">
      <c r="B84" s="59" t="s">
        <v>553</v>
      </c>
      <c r="C84" s="66">
        <v>99270280000</v>
      </c>
      <c r="D84" s="66">
        <v>142017781000</v>
      </c>
      <c r="E84" s="66">
        <v>136098062000</v>
      </c>
      <c r="F84" s="66">
        <v>131106785000</v>
      </c>
      <c r="G84" s="66">
        <v>138114480000</v>
      </c>
      <c r="H84" s="160">
        <v>140926012000</v>
      </c>
      <c r="I84" s="66">
        <v>149593180000</v>
      </c>
      <c r="J84" s="66">
        <v>139746921000</v>
      </c>
      <c r="K84" s="66">
        <v>143456687</v>
      </c>
      <c r="L84" s="64"/>
      <c r="M84" s="66"/>
      <c r="N84" s="66"/>
    </row>
    <row r="85" spans="2:14" ht="15">
      <c r="B85" s="59" t="s">
        <v>664</v>
      </c>
      <c r="C85" s="66">
        <v>77032480000</v>
      </c>
      <c r="D85" s="66">
        <v>118964142000</v>
      </c>
      <c r="E85" s="66">
        <v>125618666000</v>
      </c>
      <c r="F85" s="66">
        <v>128257441000</v>
      </c>
      <c r="G85" s="66">
        <v>151943693000</v>
      </c>
      <c r="H85" s="160">
        <v>172389672000</v>
      </c>
      <c r="I85" s="66">
        <v>153123207000</v>
      </c>
      <c r="J85" s="66">
        <v>244632721000</v>
      </c>
      <c r="K85" s="66">
        <v>236870759</v>
      </c>
      <c r="L85" s="64"/>
      <c r="M85" s="66"/>
      <c r="N85" s="66"/>
    </row>
    <row r="86" spans="2:14" ht="15">
      <c r="B86" s="59" t="s">
        <v>396</v>
      </c>
      <c r="C86" s="66">
        <v>94617474000</v>
      </c>
      <c r="D86" s="66">
        <v>123044901000</v>
      </c>
      <c r="E86" s="66">
        <v>124955438000</v>
      </c>
      <c r="F86" s="66">
        <v>117190763000</v>
      </c>
      <c r="G86" s="66">
        <v>131172835000</v>
      </c>
      <c r="H86" s="160">
        <v>136969434000</v>
      </c>
      <c r="I86" s="66">
        <v>127592056000</v>
      </c>
      <c r="J86" s="66">
        <v>161583233000</v>
      </c>
      <c r="K86" s="66">
        <v>148550618</v>
      </c>
      <c r="L86" s="64"/>
      <c r="M86" s="66"/>
      <c r="N86" s="66"/>
    </row>
    <row r="87" spans="2:14" ht="15">
      <c r="B87" s="59" t="s">
        <v>665</v>
      </c>
      <c r="C87" s="66">
        <v>917913428000</v>
      </c>
      <c r="D87" s="66">
        <v>1021266631000</v>
      </c>
      <c r="E87" s="66">
        <v>1071730034000</v>
      </c>
      <c r="F87" s="161">
        <v>1082515880000</v>
      </c>
      <c r="G87" s="66">
        <v>1222261454000</v>
      </c>
      <c r="H87" s="160">
        <v>1356846302000</v>
      </c>
      <c r="I87" s="66">
        <v>1273987695000</v>
      </c>
      <c r="J87" s="66">
        <v>1522708449000</v>
      </c>
      <c r="K87" s="66">
        <v>1460212852</v>
      </c>
      <c r="L87" s="64"/>
      <c r="M87" s="66"/>
      <c r="N87" s="66"/>
    </row>
    <row r="88" spans="2:14" ht="15">
      <c r="B88" s="59" t="s">
        <v>399</v>
      </c>
      <c r="C88" s="66">
        <v>5825359000</v>
      </c>
      <c r="D88" s="66">
        <v>8715956000</v>
      </c>
      <c r="E88" s="66">
        <v>8313274000</v>
      </c>
      <c r="F88" s="66">
        <v>7705942000</v>
      </c>
      <c r="G88" s="66">
        <v>9551614000</v>
      </c>
      <c r="H88" s="160">
        <v>10283994000</v>
      </c>
      <c r="I88" s="66">
        <v>8121156000</v>
      </c>
      <c r="J88" s="66">
        <v>12666980000</v>
      </c>
      <c r="K88" s="66">
        <v>11105298</v>
      </c>
      <c r="L88" s="64"/>
      <c r="M88" s="66"/>
      <c r="N88" s="66"/>
    </row>
    <row r="89" spans="2:14" ht="15">
      <c r="B89" s="59" t="s">
        <v>400</v>
      </c>
      <c r="C89" s="66"/>
      <c r="D89" s="66"/>
      <c r="E89" s="66">
        <v>25804121000</v>
      </c>
      <c r="F89" s="66">
        <v>25079352000</v>
      </c>
      <c r="G89" s="66">
        <v>28335983000</v>
      </c>
      <c r="H89" s="160">
        <v>34865971000</v>
      </c>
      <c r="I89" s="66">
        <v>35745221000</v>
      </c>
      <c r="J89" s="66">
        <v>45017172000</v>
      </c>
      <c r="K89" s="66">
        <v>47784003</v>
      </c>
      <c r="L89" s="64"/>
      <c r="M89" s="66"/>
      <c r="N89" s="66"/>
    </row>
    <row r="90" spans="2:14" ht="15">
      <c r="B90" s="59" t="s">
        <v>666</v>
      </c>
      <c r="C90" s="66">
        <v>40351329000</v>
      </c>
      <c r="D90" s="66">
        <v>37691088000</v>
      </c>
      <c r="E90" s="66">
        <v>54528648000</v>
      </c>
      <c r="F90" s="66">
        <v>51044712000</v>
      </c>
      <c r="G90" s="66">
        <v>30571219000</v>
      </c>
      <c r="H90" s="160">
        <v>27197207000</v>
      </c>
      <c r="I90" s="66">
        <v>28451658000</v>
      </c>
      <c r="J90" s="66">
        <v>41549079000</v>
      </c>
      <c r="K90" s="66">
        <v>45766647</v>
      </c>
      <c r="L90" s="64"/>
      <c r="M90" s="66"/>
      <c r="N90" s="66"/>
    </row>
    <row r="91" spans="2:14" ht="15">
      <c r="B91" s="59" t="s">
        <v>667</v>
      </c>
      <c r="C91" s="66">
        <v>1316300000</v>
      </c>
      <c r="D91" s="66">
        <v>1270941000</v>
      </c>
      <c r="E91" s="66">
        <v>2305129000</v>
      </c>
      <c r="F91" s="66">
        <v>3236000</v>
      </c>
      <c r="G91" s="66">
        <v>3094000</v>
      </c>
      <c r="H91" s="160">
        <v>0</v>
      </c>
      <c r="I91" s="66">
        <v>0</v>
      </c>
      <c r="J91" s="66">
        <v>0</v>
      </c>
      <c r="K91" s="66"/>
      <c r="L91" s="64" t="str">
        <f t="shared" ref="L80:L91" si="74">SUBSTITUTE(K91,".","" )</f>
        <v/>
      </c>
      <c r="M91" s="66"/>
      <c r="N91" s="66"/>
    </row>
    <row r="92" spans="2:14">
      <c r="B92" s="59" t="s">
        <v>328</v>
      </c>
      <c r="C92" s="66">
        <f t="shared" ref="C92:G92" si="75">+C79-C86-C87-C85-C80-C88-C84-C83-C82-C81-C89-C90-C91</f>
        <v>0</v>
      </c>
      <c r="D92" s="66">
        <f t="shared" si="75"/>
        <v>0</v>
      </c>
      <c r="E92" s="66">
        <f t="shared" si="75"/>
        <v>0</v>
      </c>
      <c r="F92" s="66">
        <f t="shared" si="75"/>
        <v>0</v>
      </c>
      <c r="G92" s="66">
        <f t="shared" si="75"/>
        <v>0</v>
      </c>
      <c r="H92" s="66">
        <f t="shared" ref="H92:N92" si="76">+H79-H86-H87-H85-H80-H88-H84-H83-H82-H81-H89-H90-H91</f>
        <v>0</v>
      </c>
      <c r="I92" s="66">
        <f t="shared" si="76"/>
        <v>0</v>
      </c>
      <c r="J92" s="66">
        <f t="shared" si="76"/>
        <v>0</v>
      </c>
      <c r="K92" s="66">
        <f t="shared" si="76"/>
        <v>0</v>
      </c>
      <c r="L92" s="66" t="e">
        <f>+L79-L86-L87-L85-L80-L88-L84-L83-L82-L81-L89-L90-L91</f>
        <v>#VALUE!</v>
      </c>
      <c r="M92" s="66">
        <f t="shared" si="76"/>
        <v>0</v>
      </c>
      <c r="N92" s="66">
        <f t="shared" si="76"/>
        <v>0</v>
      </c>
    </row>
    <row r="93" spans="2:14" ht="14.65" thickBot="1">
      <c r="B93" s="60" t="s">
        <v>329</v>
      </c>
      <c r="C93" s="70">
        <f t="shared" ref="C93:K93" si="77">+C79+C68</f>
        <v>1976229087000</v>
      </c>
      <c r="D93" s="70">
        <f t="shared" si="77"/>
        <v>2405864916000</v>
      </c>
      <c r="E93" s="70">
        <f t="shared" si="77"/>
        <v>2353690714000</v>
      </c>
      <c r="F93" s="70">
        <f t="shared" si="77"/>
        <v>2525336532000</v>
      </c>
      <c r="G93" s="70">
        <f t="shared" si="77"/>
        <v>2846750637000</v>
      </c>
      <c r="H93" s="162">
        <f t="shared" si="77"/>
        <v>3595078979000</v>
      </c>
      <c r="I93" s="162">
        <f t="shared" si="77"/>
        <v>3423946280000</v>
      </c>
      <c r="J93" s="162">
        <f t="shared" si="77"/>
        <v>3989716990000</v>
      </c>
      <c r="K93" s="162">
        <f t="shared" si="77"/>
        <v>3645386969</v>
      </c>
      <c r="L93" s="70"/>
      <c r="M93" s="70"/>
      <c r="N93" s="70"/>
    </row>
    <row r="94" spans="2:14" ht="14.65" thickBot="1">
      <c r="B94" s="61"/>
      <c r="C94" s="72"/>
      <c r="D94" s="72"/>
      <c r="E94" s="72"/>
      <c r="F94" s="72"/>
      <c r="G94" s="72"/>
      <c r="H94" s="163"/>
      <c r="I94" s="72"/>
      <c r="J94" s="72"/>
      <c r="K94" s="72"/>
      <c r="L94" s="72"/>
      <c r="M94" s="72"/>
      <c r="N94" s="72"/>
    </row>
    <row r="95" spans="2:14">
      <c r="B95" s="57" t="s">
        <v>330</v>
      </c>
      <c r="C95" s="62"/>
      <c r="D95" s="62"/>
      <c r="E95" s="62"/>
      <c r="F95" s="62"/>
      <c r="G95" s="62"/>
      <c r="H95" s="164"/>
      <c r="I95" s="62"/>
      <c r="J95" s="62"/>
      <c r="K95" s="62"/>
      <c r="L95" s="62"/>
      <c r="M95" s="62"/>
      <c r="N95" s="62"/>
    </row>
    <row r="96" spans="2:14">
      <c r="B96" s="58" t="s">
        <v>310</v>
      </c>
      <c r="C96" s="64">
        <v>468749455000</v>
      </c>
      <c r="D96" s="64">
        <v>645724245000</v>
      </c>
      <c r="E96" s="64">
        <v>483281996000</v>
      </c>
      <c r="F96" s="64">
        <v>521524086000</v>
      </c>
      <c r="G96" s="64">
        <v>781115264000</v>
      </c>
      <c r="H96" s="141">
        <v>797152420000</v>
      </c>
      <c r="I96" s="64">
        <v>687482634000</v>
      </c>
      <c r="J96" s="64">
        <v>860006211000</v>
      </c>
      <c r="K96" s="64">
        <v>795650399</v>
      </c>
      <c r="L96" s="64"/>
      <c r="M96" s="64"/>
      <c r="N96" s="64"/>
    </row>
    <row r="97" spans="2:14" ht="15">
      <c r="B97" s="59" t="s">
        <v>402</v>
      </c>
      <c r="C97" s="66">
        <v>53591658000</v>
      </c>
      <c r="D97" s="66">
        <v>62766946000</v>
      </c>
      <c r="E97" s="66">
        <v>63528631000</v>
      </c>
      <c r="F97" s="66">
        <v>69129474000</v>
      </c>
      <c r="G97" s="66">
        <v>101426359000</v>
      </c>
      <c r="H97" s="160">
        <v>185879251000</v>
      </c>
      <c r="I97" s="66">
        <v>107151600000</v>
      </c>
      <c r="J97" s="66">
        <v>156202002000</v>
      </c>
      <c r="K97" s="66">
        <v>188834466</v>
      </c>
      <c r="L97" s="64"/>
      <c r="M97" s="66"/>
      <c r="N97" s="66"/>
    </row>
    <row r="98" spans="2:14" ht="15">
      <c r="B98" s="59" t="s">
        <v>403</v>
      </c>
      <c r="C98" s="66"/>
      <c r="D98" s="66"/>
      <c r="E98" s="66">
        <v>4857097000</v>
      </c>
      <c r="F98" s="66">
        <v>4934639000</v>
      </c>
      <c r="G98" s="66">
        <v>6152361000</v>
      </c>
      <c r="H98" s="160">
        <v>9120616000</v>
      </c>
      <c r="I98" s="66">
        <v>7142360000</v>
      </c>
      <c r="J98" s="66">
        <v>9451551000</v>
      </c>
      <c r="K98" s="66">
        <v>9689870</v>
      </c>
      <c r="L98" s="64"/>
      <c r="M98" s="66"/>
      <c r="N98" s="66"/>
    </row>
    <row r="99" spans="2:14" ht="15">
      <c r="B99" s="59" t="s">
        <v>668</v>
      </c>
      <c r="C99" s="66">
        <v>281681553000</v>
      </c>
      <c r="D99" s="66">
        <v>303380168000</v>
      </c>
      <c r="E99" s="66">
        <v>306655558000</v>
      </c>
      <c r="F99" s="66">
        <v>324521077000</v>
      </c>
      <c r="G99" s="66">
        <v>515522729000</v>
      </c>
      <c r="H99" s="160">
        <v>491315277000</v>
      </c>
      <c r="I99" s="66">
        <v>434974163000</v>
      </c>
      <c r="J99" s="66">
        <v>514887185000</v>
      </c>
      <c r="K99" s="66">
        <v>460627211</v>
      </c>
      <c r="L99" s="64"/>
      <c r="M99" s="66"/>
      <c r="N99" s="66"/>
    </row>
    <row r="100" spans="2:14" ht="15">
      <c r="B100" s="59" t="s">
        <v>333</v>
      </c>
      <c r="C100" s="66">
        <v>10069043000</v>
      </c>
      <c r="D100" s="66">
        <v>6936910000</v>
      </c>
      <c r="E100" s="66">
        <v>8979434000</v>
      </c>
      <c r="F100" s="66">
        <v>18432354000</v>
      </c>
      <c r="G100" s="66">
        <v>26208319000</v>
      </c>
      <c r="H100" s="160">
        <v>34282408000</v>
      </c>
      <c r="I100" s="66">
        <v>55140630000</v>
      </c>
      <c r="J100" s="66">
        <v>36417518000</v>
      </c>
      <c r="K100" s="66">
        <v>24463561</v>
      </c>
      <c r="L100" s="64"/>
      <c r="M100" s="66"/>
      <c r="N100" s="66"/>
    </row>
    <row r="101" spans="2:14" ht="15">
      <c r="B101" s="59" t="s">
        <v>494</v>
      </c>
      <c r="C101" s="66">
        <v>349775000</v>
      </c>
      <c r="D101" s="66">
        <v>405069000</v>
      </c>
      <c r="E101" s="66">
        <v>3040930000</v>
      </c>
      <c r="F101" s="66">
        <v>2984518000</v>
      </c>
      <c r="G101" s="66">
        <v>2544973000</v>
      </c>
      <c r="H101" s="160">
        <v>2656140000</v>
      </c>
      <c r="I101" s="66">
        <v>2500727000</v>
      </c>
      <c r="J101" s="66">
        <v>2461549000</v>
      </c>
      <c r="K101" s="66">
        <v>3173553</v>
      </c>
      <c r="L101" s="64"/>
      <c r="M101" s="66"/>
      <c r="N101" s="66"/>
    </row>
    <row r="102" spans="2:14" ht="15">
      <c r="B102" s="59" t="s">
        <v>408</v>
      </c>
      <c r="C102" s="66">
        <v>22526634000</v>
      </c>
      <c r="D102" s="66">
        <v>75885449000</v>
      </c>
      <c r="E102" s="66">
        <v>20504374000</v>
      </c>
      <c r="F102" s="66">
        <v>21251222000</v>
      </c>
      <c r="G102" s="66">
        <v>35066792000</v>
      </c>
      <c r="H102" s="160">
        <v>9064074000</v>
      </c>
      <c r="I102" s="66">
        <v>9938664000</v>
      </c>
      <c r="J102" s="66">
        <v>41110171000</v>
      </c>
      <c r="K102" s="66">
        <v>18885299</v>
      </c>
      <c r="L102" s="64"/>
      <c r="M102" s="66"/>
      <c r="N102" s="66"/>
    </row>
    <row r="103" spans="2:14" ht="15">
      <c r="B103" s="59" t="s">
        <v>669</v>
      </c>
      <c r="C103" s="66">
        <v>26232493000</v>
      </c>
      <c r="D103" s="66">
        <v>31794163000</v>
      </c>
      <c r="E103" s="66">
        <v>27356205000</v>
      </c>
      <c r="F103" s="66">
        <v>39900588000</v>
      </c>
      <c r="G103" s="66">
        <v>50677101000</v>
      </c>
      <c r="H103" s="160">
        <v>43184275000</v>
      </c>
      <c r="I103" s="66">
        <v>38713293000</v>
      </c>
      <c r="J103" s="66">
        <v>48467947000</v>
      </c>
      <c r="K103" s="66">
        <v>48478757</v>
      </c>
      <c r="L103" s="64"/>
      <c r="M103" s="66"/>
      <c r="N103" s="66"/>
    </row>
    <row r="104" spans="2:14" ht="15">
      <c r="B104" s="59" t="s">
        <v>670</v>
      </c>
      <c r="C104" s="66">
        <v>74298299000</v>
      </c>
      <c r="D104" s="66">
        <v>164555540000</v>
      </c>
      <c r="E104" s="66">
        <v>48359767000</v>
      </c>
      <c r="F104" s="66">
        <v>40370214000</v>
      </c>
      <c r="G104" s="66">
        <v>43516630000</v>
      </c>
      <c r="H104" s="160">
        <v>21650379000</v>
      </c>
      <c r="I104" s="66">
        <v>31921197000</v>
      </c>
      <c r="J104" s="66">
        <v>51008288000</v>
      </c>
      <c r="K104" s="66">
        <v>41497682</v>
      </c>
      <c r="L104" s="64"/>
      <c r="M104" s="66"/>
      <c r="N104" s="66"/>
    </row>
    <row r="105" spans="2:14">
      <c r="B105" s="59" t="s">
        <v>410</v>
      </c>
      <c r="C105" s="66">
        <f t="shared" ref="C105:N105" si="78">+C96-C97-C103-C104-C102-C101-C100-C99-C98</f>
        <v>0</v>
      </c>
      <c r="D105" s="66">
        <f t="shared" si="78"/>
        <v>0</v>
      </c>
      <c r="E105" s="66">
        <f t="shared" si="78"/>
        <v>0</v>
      </c>
      <c r="F105" s="66">
        <f t="shared" si="78"/>
        <v>0</v>
      </c>
      <c r="G105" s="66">
        <f t="shared" si="78"/>
        <v>0</v>
      </c>
      <c r="H105" s="66">
        <f t="shared" si="78"/>
        <v>0</v>
      </c>
      <c r="I105" s="66">
        <f t="shared" si="78"/>
        <v>0</v>
      </c>
      <c r="J105" s="66">
        <f t="shared" si="78"/>
        <v>0</v>
      </c>
      <c r="K105" s="66">
        <f t="shared" si="78"/>
        <v>0</v>
      </c>
      <c r="L105" s="66">
        <f t="shared" si="78"/>
        <v>0</v>
      </c>
      <c r="M105" s="66">
        <f t="shared" si="78"/>
        <v>0</v>
      </c>
      <c r="N105" s="66">
        <f t="shared" si="78"/>
        <v>0</v>
      </c>
    </row>
    <row r="106" spans="2:14" ht="15">
      <c r="B106" s="58" t="s">
        <v>319</v>
      </c>
      <c r="C106" s="64">
        <v>280651024000</v>
      </c>
      <c r="D106" s="64">
        <v>371024728000</v>
      </c>
      <c r="E106" s="64">
        <v>427481495000</v>
      </c>
      <c r="F106" s="64">
        <v>594993771000</v>
      </c>
      <c r="G106" s="64">
        <v>640120070000</v>
      </c>
      <c r="H106" s="141">
        <v>1361957506000</v>
      </c>
      <c r="I106" s="64">
        <v>1399081065000</v>
      </c>
      <c r="J106" s="64">
        <v>1457195469000</v>
      </c>
      <c r="K106" s="64">
        <v>1233276067</v>
      </c>
      <c r="L106" s="64"/>
      <c r="M106" s="64"/>
      <c r="N106" s="64"/>
    </row>
    <row r="107" spans="2:14" ht="15">
      <c r="B107" s="59" t="s">
        <v>411</v>
      </c>
      <c r="C107" s="66">
        <v>161001732000</v>
      </c>
      <c r="D107" s="66">
        <v>228185297000</v>
      </c>
      <c r="E107" s="66">
        <v>233556029000</v>
      </c>
      <c r="F107" s="66">
        <v>412876856000</v>
      </c>
      <c r="G107" s="66">
        <v>458269843000</v>
      </c>
      <c r="H107" s="160">
        <v>1175706699000</v>
      </c>
      <c r="I107" s="66">
        <v>1234246107000</v>
      </c>
      <c r="J107" s="66">
        <v>1234231722000</v>
      </c>
      <c r="K107" s="66">
        <v>1040783534</v>
      </c>
      <c r="L107" s="64"/>
      <c r="M107" s="66"/>
      <c r="N107" s="66"/>
    </row>
    <row r="108" spans="2:14" ht="15">
      <c r="B108" s="59" t="s">
        <v>412</v>
      </c>
      <c r="C108" s="66"/>
      <c r="D108" s="66"/>
      <c r="E108" s="66">
        <v>28213259000</v>
      </c>
      <c r="F108" s="66">
        <v>27200272000</v>
      </c>
      <c r="G108" s="66">
        <v>29009023000</v>
      </c>
      <c r="H108" s="160">
        <v>31306552000</v>
      </c>
      <c r="I108" s="66">
        <v>34061739000</v>
      </c>
      <c r="J108" s="66">
        <v>39782317000</v>
      </c>
      <c r="K108" s="66">
        <v>42232779</v>
      </c>
      <c r="L108" s="64"/>
      <c r="M108" s="66"/>
      <c r="N108" s="66"/>
    </row>
    <row r="109" spans="2:14" ht="15">
      <c r="B109" s="59" t="s">
        <v>671</v>
      </c>
      <c r="C109" s="66">
        <v>541783000</v>
      </c>
      <c r="D109" s="66">
        <v>12413000</v>
      </c>
      <c r="E109" s="66">
        <v>26550000</v>
      </c>
      <c r="F109" s="66">
        <v>19875000</v>
      </c>
      <c r="G109" s="66">
        <v>29457000</v>
      </c>
      <c r="H109" s="160">
        <v>20945000</v>
      </c>
      <c r="I109" s="66">
        <v>88596000</v>
      </c>
      <c r="J109" s="66">
        <v>45275000</v>
      </c>
      <c r="K109" s="66">
        <v>2034279</v>
      </c>
      <c r="L109" s="64"/>
      <c r="M109" s="66"/>
      <c r="N109" s="66"/>
    </row>
    <row r="110" spans="2:14" ht="15">
      <c r="B110" s="59" t="s">
        <v>672</v>
      </c>
      <c r="C110" s="66">
        <v>1240389000</v>
      </c>
      <c r="D110" s="66">
        <v>7425759000</v>
      </c>
      <c r="E110" s="66">
        <v>531961000</v>
      </c>
      <c r="F110" s="66">
        <v>488465000</v>
      </c>
      <c r="G110" s="66">
        <v>451079000</v>
      </c>
      <c r="H110" s="160">
        <v>379958000</v>
      </c>
      <c r="I110" s="66">
        <v>217572000</v>
      </c>
      <c r="J110" s="66">
        <v>2791080000</v>
      </c>
      <c r="K110" s="66">
        <v>1879272</v>
      </c>
      <c r="L110" s="64"/>
      <c r="M110" s="66"/>
      <c r="N110" s="66"/>
    </row>
    <row r="111" spans="2:14" ht="15">
      <c r="B111" s="59" t="s">
        <v>413</v>
      </c>
      <c r="C111" s="66">
        <v>94350111000</v>
      </c>
      <c r="D111" s="66">
        <v>108500171000</v>
      </c>
      <c r="E111" s="66">
        <v>131582558000</v>
      </c>
      <c r="F111" s="66">
        <v>118729946000</v>
      </c>
      <c r="G111" s="66">
        <v>118085671000</v>
      </c>
      <c r="H111" s="160">
        <v>112699828000</v>
      </c>
      <c r="I111" s="66">
        <v>86356895000</v>
      </c>
      <c r="J111" s="66">
        <v>127956679000</v>
      </c>
      <c r="K111" s="66">
        <v>88965851</v>
      </c>
      <c r="L111" s="64"/>
      <c r="M111" s="66"/>
      <c r="N111" s="66"/>
    </row>
    <row r="112" spans="2:14" ht="15">
      <c r="B112" s="59" t="s">
        <v>414</v>
      </c>
      <c r="C112" s="66">
        <v>23517009000</v>
      </c>
      <c r="D112" s="66">
        <v>26901088000</v>
      </c>
      <c r="E112" s="66">
        <v>33571138000</v>
      </c>
      <c r="F112" s="66">
        <v>35678357000</v>
      </c>
      <c r="G112" s="66">
        <v>34274997000</v>
      </c>
      <c r="H112" s="160">
        <v>41843524000</v>
      </c>
      <c r="I112" s="66">
        <v>39586368000</v>
      </c>
      <c r="J112" s="66">
        <v>48032415000</v>
      </c>
      <c r="K112" s="66">
        <v>53439952</v>
      </c>
      <c r="L112" s="64"/>
      <c r="M112" s="66"/>
      <c r="N112" s="66"/>
    </row>
    <row r="113" spans="2:14">
      <c r="B113" s="59" t="s">
        <v>341</v>
      </c>
      <c r="C113" s="66">
        <f t="shared" ref="C113:G113" si="79">+C106-C107-C111-C112-C108-C109-C110</f>
        <v>0</v>
      </c>
      <c r="D113" s="66">
        <f t="shared" si="79"/>
        <v>0</v>
      </c>
      <c r="E113" s="66">
        <f t="shared" si="79"/>
        <v>0</v>
      </c>
      <c r="F113" s="66">
        <f t="shared" si="79"/>
        <v>0</v>
      </c>
      <c r="G113" s="66">
        <f t="shared" si="79"/>
        <v>0</v>
      </c>
      <c r="H113" s="66">
        <f t="shared" ref="H113:N113" si="80">+H106-H107-H111-H112-H108-H109-H110</f>
        <v>0</v>
      </c>
      <c r="I113" s="66">
        <f t="shared" si="80"/>
        <v>4523788000</v>
      </c>
      <c r="J113" s="66">
        <v>4355981000</v>
      </c>
      <c r="K113" s="66">
        <f t="shared" si="80"/>
        <v>3940400</v>
      </c>
      <c r="L113" s="66">
        <f t="shared" si="80"/>
        <v>0</v>
      </c>
      <c r="M113" s="66">
        <f t="shared" si="80"/>
        <v>0</v>
      </c>
      <c r="N113" s="66">
        <f t="shared" si="80"/>
        <v>0</v>
      </c>
    </row>
    <row r="114" spans="2:14" ht="14.65" thickBot="1">
      <c r="B114" s="60" t="s">
        <v>342</v>
      </c>
      <c r="C114" s="70">
        <f t="shared" ref="C114:K114" si="81">+C106+C96</f>
        <v>749400479000</v>
      </c>
      <c r="D114" s="70">
        <f t="shared" si="81"/>
        <v>1016748973000</v>
      </c>
      <c r="E114" s="70">
        <f t="shared" si="81"/>
        <v>910763491000</v>
      </c>
      <c r="F114" s="70">
        <f t="shared" si="81"/>
        <v>1116517857000</v>
      </c>
      <c r="G114" s="70">
        <f t="shared" si="81"/>
        <v>1421235334000</v>
      </c>
      <c r="H114" s="162">
        <f t="shared" si="81"/>
        <v>2159109926000</v>
      </c>
      <c r="I114" s="162">
        <f t="shared" si="81"/>
        <v>2086563699000</v>
      </c>
      <c r="J114" s="162">
        <f t="shared" si="81"/>
        <v>2317201680000</v>
      </c>
      <c r="K114" s="162">
        <f t="shared" si="81"/>
        <v>2028926466</v>
      </c>
      <c r="L114" s="70"/>
      <c r="M114" s="70"/>
      <c r="N114" s="70"/>
    </row>
    <row r="115" spans="2:14" ht="14.65" thickBot="1">
      <c r="B115" s="61"/>
      <c r="C115" s="61"/>
      <c r="D115" s="61"/>
      <c r="E115" s="61"/>
      <c r="F115" s="61"/>
      <c r="G115" s="61"/>
      <c r="H115" s="61"/>
      <c r="I115" s="61"/>
      <c r="J115" s="61"/>
      <c r="K115" s="61"/>
      <c r="L115" s="61"/>
      <c r="M115" s="61"/>
      <c r="N115" s="61"/>
    </row>
    <row r="116" spans="2:14">
      <c r="B116" s="57" t="s">
        <v>343</v>
      </c>
      <c r="C116" s="62"/>
      <c r="D116" s="62"/>
      <c r="E116" s="62"/>
      <c r="F116" s="62"/>
      <c r="G116" s="62"/>
      <c r="H116" s="164"/>
      <c r="I116" s="62"/>
      <c r="J116" s="62"/>
      <c r="K116" s="62"/>
      <c r="L116" s="62"/>
      <c r="M116" s="62"/>
      <c r="N116" s="62"/>
    </row>
    <row r="117" spans="2:14" ht="15">
      <c r="B117" s="59" t="s">
        <v>415</v>
      </c>
      <c r="C117" s="160">
        <v>562693346000</v>
      </c>
      <c r="D117" s="160">
        <v>562693346000</v>
      </c>
      <c r="E117" s="160">
        <v>562693346000</v>
      </c>
      <c r="F117" s="160">
        <v>562693346000</v>
      </c>
      <c r="G117" s="160">
        <v>562693346000</v>
      </c>
      <c r="H117" s="160">
        <v>562693346000</v>
      </c>
      <c r="I117" s="160">
        <v>562693346000</v>
      </c>
      <c r="J117" s="160">
        <v>562693346000</v>
      </c>
      <c r="K117" s="160">
        <v>562693346</v>
      </c>
      <c r="L117" s="160"/>
      <c r="M117" s="160"/>
      <c r="N117" s="160"/>
    </row>
    <row r="118" spans="2:14" ht="15">
      <c r="B118" s="59" t="s">
        <v>345</v>
      </c>
      <c r="C118" s="66">
        <v>-178075279000</v>
      </c>
      <c r="D118" s="66">
        <v>-151048226000</v>
      </c>
      <c r="E118" s="66">
        <v>-137502529000</v>
      </c>
      <c r="F118" s="66">
        <v>-187924176000</v>
      </c>
      <c r="G118" s="66">
        <v>-87255912000</v>
      </c>
      <c r="H118" s="160">
        <v>-90712471000</v>
      </c>
      <c r="I118" s="66">
        <v>-240200166000</v>
      </c>
      <c r="J118" s="66">
        <v>-3288422000</v>
      </c>
      <c r="K118" s="160">
        <v>-112902374</v>
      </c>
      <c r="L118" s="160"/>
      <c r="M118" s="66"/>
      <c r="N118" s="66"/>
    </row>
    <row r="119" spans="2:14" ht="15">
      <c r="B119" s="59" t="s">
        <v>502</v>
      </c>
      <c r="C119" s="66">
        <v>716458990000</v>
      </c>
      <c r="D119" s="66">
        <v>868481588000</v>
      </c>
      <c r="E119" s="66">
        <v>902863353000</v>
      </c>
      <c r="F119" s="66">
        <v>921805285000</v>
      </c>
      <c r="G119" s="66">
        <v>832180798000</v>
      </c>
      <c r="H119" s="160">
        <v>843045191000</v>
      </c>
      <c r="I119" s="66">
        <v>895871552000</v>
      </c>
      <c r="J119" s="66">
        <v>965778261000</v>
      </c>
      <c r="K119" s="160">
        <v>1022138574</v>
      </c>
      <c r="L119" s="160"/>
      <c r="M119" s="66"/>
      <c r="N119" s="66"/>
    </row>
    <row r="120" spans="2:14">
      <c r="B120" s="245" t="s">
        <v>673</v>
      </c>
      <c r="C120" s="141">
        <f t="shared" ref="C120:G120" si="82">+C117+C118+C119</f>
        <v>1101077057000</v>
      </c>
      <c r="D120" s="141">
        <f t="shared" si="82"/>
        <v>1280126708000</v>
      </c>
      <c r="E120" s="141">
        <f t="shared" si="82"/>
        <v>1328054170000</v>
      </c>
      <c r="F120" s="141">
        <f t="shared" si="82"/>
        <v>1296574455000</v>
      </c>
      <c r="G120" s="141">
        <f t="shared" si="82"/>
        <v>1307618232000</v>
      </c>
      <c r="H120" s="141">
        <f t="shared" ref="H120:N120" si="83">+H117+H118+H119</f>
        <v>1315026066000</v>
      </c>
      <c r="I120" s="141">
        <f t="shared" si="83"/>
        <v>1218364732000</v>
      </c>
      <c r="J120" s="141">
        <f t="shared" si="83"/>
        <v>1525183185000</v>
      </c>
      <c r="K120" s="141">
        <f t="shared" si="83"/>
        <v>1471929546</v>
      </c>
      <c r="L120" s="141">
        <f t="shared" si="83"/>
        <v>0</v>
      </c>
      <c r="M120" s="141">
        <f t="shared" si="83"/>
        <v>0</v>
      </c>
      <c r="N120" s="141">
        <f t="shared" si="83"/>
        <v>0</v>
      </c>
    </row>
    <row r="121" spans="2:14" ht="15">
      <c r="B121" s="59" t="s">
        <v>419</v>
      </c>
      <c r="C121" s="66">
        <v>125751551000</v>
      </c>
      <c r="D121" s="66">
        <v>108989235000</v>
      </c>
      <c r="E121" s="66">
        <v>114873053000</v>
      </c>
      <c r="F121" s="66">
        <v>112244220000</v>
      </c>
      <c r="G121" s="66">
        <v>117897071000</v>
      </c>
      <c r="H121" s="160">
        <v>120942987000</v>
      </c>
      <c r="I121" s="66">
        <v>119017799000</v>
      </c>
      <c r="J121" s="66">
        <v>147332125000</v>
      </c>
      <c r="K121" s="66">
        <v>144530957</v>
      </c>
      <c r="L121" s="66"/>
      <c r="M121" s="66"/>
      <c r="N121" s="66"/>
    </row>
    <row r="122" spans="2:14" ht="14.65" thickBot="1">
      <c r="B122" s="60" t="s">
        <v>347</v>
      </c>
      <c r="C122" s="70">
        <f t="shared" ref="C122:G122" si="84">+C120+C121</f>
        <v>1226828608000</v>
      </c>
      <c r="D122" s="70">
        <f t="shared" si="84"/>
        <v>1389115943000</v>
      </c>
      <c r="E122" s="70">
        <f t="shared" si="84"/>
        <v>1442927223000</v>
      </c>
      <c r="F122" s="70">
        <f t="shared" si="84"/>
        <v>1408818675000</v>
      </c>
      <c r="G122" s="70">
        <f t="shared" si="84"/>
        <v>1425515303000</v>
      </c>
      <c r="H122" s="70">
        <f t="shared" ref="H122:N122" si="85">+H120+H121</f>
        <v>1435969053000</v>
      </c>
      <c r="I122" s="70">
        <f t="shared" si="85"/>
        <v>1337382531000</v>
      </c>
      <c r="J122" s="70">
        <f t="shared" si="85"/>
        <v>1672515310000</v>
      </c>
      <c r="K122" s="70">
        <f t="shared" si="85"/>
        <v>1616460503</v>
      </c>
      <c r="L122" s="70">
        <f t="shared" si="85"/>
        <v>0</v>
      </c>
      <c r="M122" s="70">
        <f t="shared" si="85"/>
        <v>0</v>
      </c>
      <c r="N122" s="70">
        <f t="shared" si="85"/>
        <v>0</v>
      </c>
    </row>
    <row r="124" spans="2:14" ht="14.65" thickBot="1">
      <c r="B124" s="75" t="s">
        <v>348</v>
      </c>
    </row>
    <row r="125" spans="2:14" ht="14.65" thickBot="1">
      <c r="B125" s="82" t="s">
        <v>308</v>
      </c>
      <c r="C125" s="88">
        <v>2017</v>
      </c>
      <c r="D125" s="88">
        <v>2018</v>
      </c>
      <c r="E125" s="88">
        <v>2019</v>
      </c>
      <c r="F125" s="88">
        <v>2020</v>
      </c>
      <c r="G125" s="88">
        <v>2021</v>
      </c>
      <c r="H125" s="88">
        <v>2022</v>
      </c>
      <c r="I125" s="88"/>
      <c r="J125" s="88"/>
      <c r="K125" s="88"/>
      <c r="L125" s="88"/>
      <c r="M125" s="88"/>
      <c r="N125" s="88"/>
    </row>
    <row r="126" spans="2:14" ht="15">
      <c r="B126" s="83" t="s">
        <v>349</v>
      </c>
      <c r="C126" s="90">
        <v>1698360794000</v>
      </c>
      <c r="D126" s="90">
        <v>1783282337000</v>
      </c>
      <c r="E126" s="90">
        <v>1822540697000</v>
      </c>
      <c r="F126" s="90">
        <v>1857593678000</v>
      </c>
      <c r="G126" s="90">
        <v>2484712280000</v>
      </c>
      <c r="H126" s="90">
        <v>2711434948000</v>
      </c>
      <c r="I126" s="90">
        <v>2565556067000</v>
      </c>
      <c r="J126" s="90">
        <v>2904566454000</v>
      </c>
      <c r="K126" s="90">
        <v>2909625448</v>
      </c>
      <c r="L126" s="90"/>
      <c r="M126" s="90"/>
      <c r="N126" s="90"/>
    </row>
    <row r="127" spans="2:14" ht="15">
      <c r="B127" s="85" t="s">
        <v>534</v>
      </c>
      <c r="C127" s="66">
        <v>-798738655000</v>
      </c>
      <c r="D127" s="66">
        <v>-860011392000</v>
      </c>
      <c r="E127" s="66">
        <v>-908318190000</v>
      </c>
      <c r="F127" s="66">
        <v>-984035922000</v>
      </c>
      <c r="G127" s="66">
        <v>-1291559797000</v>
      </c>
      <c r="H127" s="66">
        <v>-1514925309000</v>
      </c>
      <c r="I127" s="66">
        <v>-1378611966000</v>
      </c>
      <c r="J127" s="66">
        <v>-1590957777000</v>
      </c>
      <c r="K127" s="66">
        <v>-1618034227</v>
      </c>
      <c r="L127" s="90"/>
      <c r="M127" s="66"/>
      <c r="N127" s="66"/>
    </row>
    <row r="128" spans="2:14">
      <c r="B128" s="86" t="s">
        <v>422</v>
      </c>
      <c r="C128" s="64">
        <f t="shared" ref="C128:F128" si="86">+C126+C127</f>
        <v>899622139000</v>
      </c>
      <c r="D128" s="64">
        <f>+D126+D127</f>
        <v>923270945000</v>
      </c>
      <c r="E128" s="64">
        <f t="shared" si="86"/>
        <v>914222507000</v>
      </c>
      <c r="F128" s="64">
        <f t="shared" si="86"/>
        <v>873557756000</v>
      </c>
      <c r="G128" s="64">
        <f>+G126+G127</f>
        <v>1193152483000</v>
      </c>
      <c r="H128" s="64">
        <f t="shared" ref="H128:J128" si="87">+H126+H127</f>
        <v>1196509639000</v>
      </c>
      <c r="I128" s="64">
        <f t="shared" si="87"/>
        <v>1186944101000</v>
      </c>
      <c r="J128" s="64">
        <f t="shared" si="87"/>
        <v>1313608677000</v>
      </c>
      <c r="K128" s="64">
        <v>1291591221</v>
      </c>
      <c r="L128" s="90"/>
      <c r="M128" s="64"/>
      <c r="N128" s="64"/>
    </row>
    <row r="129" spans="2:14" ht="15">
      <c r="B129" s="85" t="s">
        <v>592</v>
      </c>
      <c r="C129" s="117">
        <v>6717902000</v>
      </c>
      <c r="D129" s="117">
        <v>228455054000</v>
      </c>
      <c r="E129" s="117">
        <v>22584710000</v>
      </c>
      <c r="F129" s="117">
        <v>19295892000</v>
      </c>
      <c r="G129" s="117">
        <v>11808439000</v>
      </c>
      <c r="H129" s="117">
        <v>5284666000</v>
      </c>
      <c r="I129" s="117">
        <v>4419789000</v>
      </c>
      <c r="J129" s="117">
        <v>40211510000</v>
      </c>
      <c r="K129" s="117">
        <v>11829734</v>
      </c>
      <c r="L129" s="90"/>
      <c r="M129" s="117"/>
      <c r="N129" s="117"/>
    </row>
    <row r="130" spans="2:14" ht="15">
      <c r="B130" s="85" t="s">
        <v>536</v>
      </c>
      <c r="C130" s="117">
        <v>-290227129000</v>
      </c>
      <c r="D130" s="117">
        <v>-314391183000</v>
      </c>
      <c r="E130" s="117">
        <v>-327543973000</v>
      </c>
      <c r="F130" s="117">
        <v>-337101549000</v>
      </c>
      <c r="G130" s="117">
        <v>-438601936000</v>
      </c>
      <c r="H130" s="117">
        <v>-504184248000</v>
      </c>
      <c r="I130" s="117">
        <v>-470120810000</v>
      </c>
      <c r="J130" s="117">
        <v>-536420140000</v>
      </c>
      <c r="K130" s="117">
        <v>-547393154</v>
      </c>
      <c r="L130" s="90"/>
      <c r="M130" s="117"/>
      <c r="N130" s="117"/>
    </row>
    <row r="131" spans="2:14" ht="15">
      <c r="B131" s="85" t="s">
        <v>537</v>
      </c>
      <c r="C131" s="117">
        <v>-142514649000</v>
      </c>
      <c r="D131" s="117">
        <v>-152376458000</v>
      </c>
      <c r="E131" s="117">
        <v>-136975243000</v>
      </c>
      <c r="F131" s="117">
        <v>-138811668000</v>
      </c>
      <c r="G131" s="117">
        <v>-161390779000</v>
      </c>
      <c r="H131" s="117">
        <v>-187421796000</v>
      </c>
      <c r="I131" s="117">
        <v>-197256571000</v>
      </c>
      <c r="J131" s="117">
        <v>-214915089000</v>
      </c>
      <c r="K131" s="117">
        <v>-205911739</v>
      </c>
      <c r="L131" s="90"/>
      <c r="M131" s="117"/>
      <c r="N131" s="117"/>
    </row>
    <row r="132" spans="2:14" ht="15">
      <c r="B132" s="85" t="s">
        <v>510</v>
      </c>
      <c r="C132" s="117">
        <v>-238704061000</v>
      </c>
      <c r="D132" s="117">
        <v>-216236609000</v>
      </c>
      <c r="E132" s="117">
        <v>-241479749000</v>
      </c>
      <c r="F132" s="117">
        <v>-230349566000</v>
      </c>
      <c r="G132" s="117">
        <v>-284087358000</v>
      </c>
      <c r="H132" s="117">
        <v>-278757105000</v>
      </c>
      <c r="I132" s="117">
        <v>-270703334000</v>
      </c>
      <c r="J132" s="117">
        <v>-339783068000</v>
      </c>
      <c r="K132" s="117">
        <v>-329266797</v>
      </c>
      <c r="L132" s="90"/>
      <c r="M132" s="117"/>
      <c r="N132" s="117"/>
    </row>
    <row r="133" spans="2:14" ht="15">
      <c r="B133" s="85" t="s">
        <v>357</v>
      </c>
      <c r="C133" s="66">
        <v>-7716791000</v>
      </c>
      <c r="D133" s="66">
        <v>4029627000</v>
      </c>
      <c r="E133" s="66">
        <v>3156799000</v>
      </c>
      <c r="F133" s="117">
        <v>-11410085000</v>
      </c>
      <c r="G133" s="117">
        <v>9590450000</v>
      </c>
      <c r="H133" s="117">
        <v>-12669540000</v>
      </c>
      <c r="I133" s="117">
        <v>-13316208000</v>
      </c>
      <c r="J133" s="117">
        <v>94937000</v>
      </c>
      <c r="K133" s="117">
        <v>-27672922</v>
      </c>
      <c r="L133" s="90"/>
      <c r="M133" s="117"/>
      <c r="N133" s="117"/>
    </row>
    <row r="134" spans="2:14">
      <c r="B134" s="86" t="s">
        <v>542</v>
      </c>
      <c r="C134" s="64">
        <f t="shared" ref="C134:G134" si="88">+C128+C133+C129+C130+C131+C132</f>
        <v>227177411000</v>
      </c>
      <c r="D134" s="64">
        <f t="shared" si="88"/>
        <v>472751376000</v>
      </c>
      <c r="E134" s="64">
        <f t="shared" si="88"/>
        <v>233965051000</v>
      </c>
      <c r="F134" s="64">
        <f t="shared" si="88"/>
        <v>175180780000</v>
      </c>
      <c r="G134" s="64">
        <f t="shared" si="88"/>
        <v>330471299000</v>
      </c>
      <c r="H134" s="64">
        <f t="shared" ref="H134:N134" si="89">+H128+H133+H129+H130+H131+H132</f>
        <v>218761616000</v>
      </c>
      <c r="I134" s="64">
        <f t="shared" si="89"/>
        <v>239966967000</v>
      </c>
      <c r="J134" s="64">
        <f t="shared" si="89"/>
        <v>262796827000</v>
      </c>
      <c r="K134" s="64">
        <f t="shared" si="89"/>
        <v>193176343</v>
      </c>
      <c r="L134" s="64">
        <f t="shared" si="89"/>
        <v>0</v>
      </c>
      <c r="M134" s="64">
        <f t="shared" si="89"/>
        <v>0</v>
      </c>
      <c r="N134" s="64">
        <f t="shared" si="89"/>
        <v>0</v>
      </c>
    </row>
    <row r="135" spans="2:14">
      <c r="B135" s="85" t="s">
        <v>429</v>
      </c>
      <c r="C135" s="66">
        <v>5050952000</v>
      </c>
      <c r="D135" s="66">
        <v>15794456000</v>
      </c>
      <c r="E135" s="66">
        <v>13117641000</v>
      </c>
      <c r="F135" s="66">
        <v>3451143000</v>
      </c>
      <c r="G135" s="131">
        <v>14263669000</v>
      </c>
      <c r="H135" s="131">
        <v>22870538000</v>
      </c>
      <c r="I135" s="131">
        <v>39402492000</v>
      </c>
      <c r="J135" s="131">
        <v>38102053000</v>
      </c>
      <c r="K135" s="131">
        <v>27522243</v>
      </c>
      <c r="L135" s="131"/>
      <c r="M135" s="131"/>
      <c r="N135" s="131"/>
    </row>
    <row r="136" spans="2:14">
      <c r="B136" s="85" t="s">
        <v>430</v>
      </c>
      <c r="C136" s="66">
        <v>-24166313000</v>
      </c>
      <c r="D136" s="66">
        <v>-23560662000</v>
      </c>
      <c r="E136" s="66">
        <v>-27720203000</v>
      </c>
      <c r="F136" s="66">
        <v>-28714063000</v>
      </c>
      <c r="G136" s="131">
        <v>-35660493000</v>
      </c>
      <c r="H136" s="131">
        <v>-75930875000</v>
      </c>
      <c r="I136" s="131">
        <v>-77023048000</v>
      </c>
      <c r="J136" s="131">
        <v>-97165278000</v>
      </c>
      <c r="K136" s="131">
        <v>-79947714</v>
      </c>
      <c r="L136" s="131"/>
      <c r="M136" s="131"/>
      <c r="N136" s="131"/>
    </row>
    <row r="137" spans="2:14">
      <c r="B137" s="85" t="s">
        <v>431</v>
      </c>
      <c r="C137" s="66">
        <v>-8914097000</v>
      </c>
      <c r="D137" s="66">
        <v>-10815520000</v>
      </c>
      <c r="E137" s="66">
        <v>-16431759000</v>
      </c>
      <c r="F137" s="66">
        <v>-8437209000</v>
      </c>
      <c r="G137" s="131">
        <v>226026000</v>
      </c>
      <c r="H137" s="131">
        <v>-10978068000</v>
      </c>
      <c r="I137" s="131">
        <v>-19217758000</v>
      </c>
      <c r="J137" s="131">
        <v>-9494703000</v>
      </c>
      <c r="K137" s="131">
        <v>-14352591</v>
      </c>
      <c r="L137" s="131"/>
      <c r="M137" s="131"/>
      <c r="N137" s="131"/>
    </row>
    <row r="138" spans="2:14">
      <c r="B138" s="85" t="s">
        <v>432</v>
      </c>
      <c r="C138" s="66">
        <v>-2563019000</v>
      </c>
      <c r="D138" s="66">
        <v>3299657000</v>
      </c>
      <c r="E138" s="66">
        <v>-9054155000</v>
      </c>
      <c r="F138" s="66">
        <v>2551823000</v>
      </c>
      <c r="G138" s="131">
        <v>-10149345000</v>
      </c>
      <c r="H138" s="131">
        <v>-20173381000</v>
      </c>
      <c r="I138" s="131">
        <v>-65944570000</v>
      </c>
      <c r="J138" s="131">
        <v>-17797269000</v>
      </c>
      <c r="K138" s="131">
        <v>1473550</v>
      </c>
      <c r="L138" s="131"/>
      <c r="M138" s="131"/>
      <c r="N138" s="131"/>
    </row>
    <row r="139" spans="2:14">
      <c r="B139" s="85" t="s">
        <v>433</v>
      </c>
      <c r="C139" s="66">
        <v>-110539000</v>
      </c>
      <c r="D139" s="66">
        <v>742041000</v>
      </c>
      <c r="E139" s="66">
        <v>-8255001000</v>
      </c>
      <c r="F139" s="66">
        <v>-429198000</v>
      </c>
      <c r="G139" s="131">
        <v>2529298000</v>
      </c>
      <c r="H139" s="131">
        <v>1198565000</v>
      </c>
      <c r="I139" s="131">
        <v>-14025895000</v>
      </c>
      <c r="J139" s="131">
        <v>-10722033000</v>
      </c>
      <c r="K139" s="131">
        <v>17631014</v>
      </c>
      <c r="L139" s="131"/>
      <c r="M139" s="131"/>
      <c r="N139" s="131"/>
    </row>
    <row r="140" spans="2:14" ht="15">
      <c r="B140" s="86" t="s">
        <v>362</v>
      </c>
      <c r="C140" s="64">
        <f t="shared" ref="C140:E140" si="90">+C134+C135+C136+C137+C138+C139</f>
        <v>196474395000</v>
      </c>
      <c r="D140" s="64">
        <f t="shared" si="90"/>
        <v>458211348000</v>
      </c>
      <c r="E140" s="64">
        <f t="shared" si="90"/>
        <v>185621574000</v>
      </c>
      <c r="F140" s="64">
        <f>+F134+F135+F136+F137+F138+F139</f>
        <v>143603276000</v>
      </c>
      <c r="G140" s="64">
        <f t="shared" ref="G140:L140" si="91">+G134+G135+G136+G137+G138+G139</f>
        <v>301680454000</v>
      </c>
      <c r="H140" s="64">
        <f t="shared" si="91"/>
        <v>135748395000</v>
      </c>
      <c r="I140" s="64">
        <f t="shared" si="91"/>
        <v>103158188000</v>
      </c>
      <c r="J140" s="64">
        <f t="shared" si="91"/>
        <v>165719597000</v>
      </c>
      <c r="K140" s="64">
        <f t="shared" si="91"/>
        <v>145502845</v>
      </c>
      <c r="L140" s="64">
        <f t="shared" si="91"/>
        <v>0</v>
      </c>
      <c r="M140" s="64"/>
      <c r="N140" s="64"/>
    </row>
    <row r="141" spans="2:14" ht="15">
      <c r="B141" s="85" t="s">
        <v>363</v>
      </c>
      <c r="C141" s="66">
        <v>-48365976000</v>
      </c>
      <c r="D141" s="66">
        <v>-136126817000</v>
      </c>
      <c r="E141" s="66">
        <v>-39975914000</v>
      </c>
      <c r="F141" s="66">
        <v>-35408420000</v>
      </c>
      <c r="G141" s="91">
        <v>-82629773000</v>
      </c>
      <c r="H141" s="91">
        <v>-263943000</v>
      </c>
      <c r="I141" s="91">
        <v>15267255000</v>
      </c>
      <c r="J141" s="91">
        <v>11015074000</v>
      </c>
      <c r="K141" s="91">
        <v>27051867</v>
      </c>
      <c r="L141" s="131"/>
      <c r="M141" s="91"/>
      <c r="N141" s="91"/>
    </row>
    <row r="142" spans="2:14">
      <c r="B142" s="84" t="s">
        <v>365</v>
      </c>
      <c r="C142" s="130">
        <f t="shared" ref="C142:G142" si="92">+C140+C141</f>
        <v>148108419000</v>
      </c>
      <c r="D142" s="130">
        <f t="shared" si="92"/>
        <v>322084531000</v>
      </c>
      <c r="E142" s="130">
        <f t="shared" si="92"/>
        <v>145645660000</v>
      </c>
      <c r="F142" s="130">
        <f t="shared" si="92"/>
        <v>108194856000</v>
      </c>
      <c r="G142" s="130">
        <f t="shared" si="92"/>
        <v>219050681000</v>
      </c>
      <c r="H142" s="130">
        <f t="shared" ref="H142:N142" si="93">+H140+H141</f>
        <v>135484452000</v>
      </c>
      <c r="I142" s="130">
        <f t="shared" si="93"/>
        <v>118425443000</v>
      </c>
      <c r="J142" s="130">
        <f t="shared" si="93"/>
        <v>176734671000</v>
      </c>
      <c r="K142" s="130">
        <f t="shared" si="93"/>
        <v>172554712</v>
      </c>
      <c r="L142" s="130">
        <f t="shared" si="93"/>
        <v>0</v>
      </c>
      <c r="M142" s="130">
        <f t="shared" si="93"/>
        <v>0</v>
      </c>
      <c r="N142" s="130">
        <f t="shared" si="93"/>
        <v>0</v>
      </c>
    </row>
    <row r="143" spans="2:14" ht="28.5">
      <c r="B143" s="87" t="s">
        <v>435</v>
      </c>
      <c r="C143" s="66">
        <v>18501066000</v>
      </c>
      <c r="D143" s="66">
        <v>15193739000</v>
      </c>
      <c r="E143" s="66">
        <v>15503968000</v>
      </c>
      <c r="F143" s="66">
        <v>12042584000</v>
      </c>
      <c r="G143" s="91">
        <v>19887950000</v>
      </c>
      <c r="H143" s="91">
        <v>17316101000</v>
      </c>
      <c r="I143" s="91">
        <v>12772715000</v>
      </c>
      <c r="J143" s="91">
        <v>15600659000</v>
      </c>
      <c r="K143" s="91">
        <v>20140477</v>
      </c>
      <c r="L143" s="91"/>
      <c r="M143" s="91"/>
      <c r="N143" s="91"/>
    </row>
    <row r="144" spans="2:14">
      <c r="B144" s="84" t="s">
        <v>436</v>
      </c>
      <c r="C144" s="141">
        <f t="shared" ref="C144:G144" si="94">+C142-C143</f>
        <v>129607353000</v>
      </c>
      <c r="D144" s="141">
        <f t="shared" si="94"/>
        <v>306890792000</v>
      </c>
      <c r="E144" s="141">
        <f t="shared" si="94"/>
        <v>130141692000</v>
      </c>
      <c r="F144" s="141">
        <f t="shared" si="94"/>
        <v>96152272000</v>
      </c>
      <c r="G144" s="141">
        <f t="shared" si="94"/>
        <v>199162731000</v>
      </c>
      <c r="H144" s="141">
        <f t="shared" ref="H144:N144" si="95">+H142-H143</f>
        <v>118168351000</v>
      </c>
      <c r="I144" s="134">
        <f t="shared" si="95"/>
        <v>105652728000</v>
      </c>
      <c r="J144" s="134">
        <f t="shared" si="95"/>
        <v>161134012000</v>
      </c>
      <c r="K144" s="134">
        <f t="shared" si="95"/>
        <v>152414235</v>
      </c>
      <c r="L144" s="134">
        <f t="shared" si="95"/>
        <v>0</v>
      </c>
      <c r="M144" s="134">
        <f t="shared" si="95"/>
        <v>0</v>
      </c>
      <c r="N144" s="134">
        <f t="shared" si="95"/>
        <v>0</v>
      </c>
    </row>
    <row r="145" spans="2:14">
      <c r="B145" s="84" t="s">
        <v>366</v>
      </c>
      <c r="C145" s="111">
        <v>350.76</v>
      </c>
      <c r="D145" s="111">
        <v>830.55</v>
      </c>
      <c r="E145" s="111">
        <v>352.21</v>
      </c>
      <c r="F145" s="134">
        <v>260.22000000000003</v>
      </c>
      <c r="G145" s="134">
        <v>539</v>
      </c>
      <c r="H145" s="134">
        <v>319.8</v>
      </c>
      <c r="I145" s="134">
        <v>285.93</v>
      </c>
      <c r="J145" s="134">
        <v>435.57</v>
      </c>
      <c r="K145" s="134">
        <v>317.05</v>
      </c>
      <c r="L145" s="134"/>
      <c r="M145" s="134"/>
      <c r="N145" s="134"/>
    </row>
    <row r="147" spans="2:14" ht="14.65" thickBot="1">
      <c r="B147" s="75" t="s">
        <v>367</v>
      </c>
    </row>
    <row r="148" spans="2:14" ht="14.65" thickBot="1">
      <c r="B148" s="82" t="s">
        <v>308</v>
      </c>
      <c r="C148" s="88">
        <v>2017</v>
      </c>
      <c r="D148" s="88">
        <v>2018</v>
      </c>
      <c r="E148" s="88">
        <v>2019</v>
      </c>
      <c r="F148" s="88">
        <v>2020</v>
      </c>
      <c r="G148" s="88">
        <v>2021</v>
      </c>
      <c r="H148" s="88">
        <v>2022</v>
      </c>
      <c r="I148" s="88"/>
      <c r="J148" s="88"/>
      <c r="K148" s="88"/>
      <c r="L148" s="88"/>
      <c r="M148" s="88"/>
      <c r="N148" s="88"/>
    </row>
    <row r="149" spans="2:14">
      <c r="B149" s="83" t="s">
        <v>368</v>
      </c>
      <c r="C149" s="90">
        <v>262161431000</v>
      </c>
      <c r="D149" s="90">
        <v>429313131000</v>
      </c>
      <c r="E149" s="90">
        <v>242320045000</v>
      </c>
      <c r="F149" s="90">
        <v>280669513000</v>
      </c>
      <c r="G149" s="90">
        <v>293355573000</v>
      </c>
      <c r="H149" s="90">
        <v>45937153000</v>
      </c>
      <c r="I149" s="90">
        <v>294097407000</v>
      </c>
      <c r="J149" s="90">
        <v>287516727000</v>
      </c>
      <c r="K149" s="90">
        <v>239050524</v>
      </c>
      <c r="L149" s="90"/>
      <c r="M149" s="90"/>
      <c r="N149" s="90"/>
    </row>
    <row r="150" spans="2:14">
      <c r="B150" s="86" t="s">
        <v>369</v>
      </c>
      <c r="C150" s="91">
        <v>-173614379000</v>
      </c>
      <c r="D150" s="93">
        <v>-199002101000</v>
      </c>
      <c r="E150" s="93">
        <v>-144185726000</v>
      </c>
      <c r="F150" s="66">
        <v>-140545147000</v>
      </c>
      <c r="G150" s="93">
        <v>-178992533000</v>
      </c>
      <c r="H150" s="66">
        <v>-236456796000</v>
      </c>
      <c r="I150" s="66">
        <v>-137231817000</v>
      </c>
      <c r="J150" s="66">
        <v>-118294251000</v>
      </c>
      <c r="K150" s="66">
        <v>-164300459</v>
      </c>
      <c r="L150" s="66"/>
      <c r="M150" s="66"/>
      <c r="N150" s="66"/>
    </row>
    <row r="151" spans="2:14">
      <c r="B151" s="85" t="s">
        <v>370</v>
      </c>
      <c r="C151" s="93">
        <v>-123526778000</v>
      </c>
      <c r="D151" s="93">
        <v>-128366525000</v>
      </c>
      <c r="E151" s="93">
        <v>-134668653000</v>
      </c>
      <c r="F151" s="93">
        <v>-117013658000</v>
      </c>
      <c r="G151" s="93">
        <v>-169667429000</v>
      </c>
      <c r="H151" s="93">
        <v>-188669637000</v>
      </c>
      <c r="I151" s="93">
        <v>-124400618000</v>
      </c>
      <c r="J151" s="93">
        <v>-152916896000</v>
      </c>
      <c r="K151" s="93">
        <v>-142378558</v>
      </c>
      <c r="L151" s="93"/>
      <c r="M151" s="93"/>
      <c r="N151" s="93"/>
    </row>
    <row r="152" spans="2:14">
      <c r="B152" s="86" t="s">
        <v>372</v>
      </c>
      <c r="C152" s="120">
        <v>-53001198000</v>
      </c>
      <c r="D152" s="120">
        <v>-52963862000</v>
      </c>
      <c r="E152" s="64">
        <v>-199420161000</v>
      </c>
      <c r="F152" s="120">
        <v>64749555000</v>
      </c>
      <c r="G152" s="120">
        <v>-233643855000</v>
      </c>
      <c r="H152" s="120">
        <v>537101943000</v>
      </c>
      <c r="I152" s="120">
        <v>-118036175000</v>
      </c>
      <c r="J152" s="120">
        <v>-125035774000</v>
      </c>
      <c r="K152" s="120">
        <v>-206579415</v>
      </c>
      <c r="L152" s="120"/>
      <c r="M152" s="120"/>
      <c r="N152" s="120"/>
    </row>
    <row r="153" spans="2:14">
      <c r="B153" s="85" t="s">
        <v>373</v>
      </c>
      <c r="C153" s="93">
        <v>-75128211000</v>
      </c>
      <c r="D153" s="93">
        <v>-74825181000</v>
      </c>
      <c r="E153" s="66">
        <v>-218035429000</v>
      </c>
      <c r="F153" s="93">
        <v>-102135646000</v>
      </c>
      <c r="G153" s="93">
        <v>-274136472000</v>
      </c>
      <c r="H153" s="93">
        <v>-158320848000</v>
      </c>
      <c r="I153" s="93">
        <v>-65583416000</v>
      </c>
      <c r="J153" s="93">
        <v>-81797392000</v>
      </c>
      <c r="K153" s="93">
        <v>-78322009</v>
      </c>
      <c r="L153" s="93"/>
      <c r="M153" s="93"/>
      <c r="N153" s="93"/>
    </row>
    <row r="154" spans="2:14">
      <c r="B154" s="85" t="s">
        <v>437</v>
      </c>
      <c r="C154" s="93">
        <v>0</v>
      </c>
      <c r="D154" s="93">
        <v>0</v>
      </c>
      <c r="E154" s="93">
        <v>0</v>
      </c>
      <c r="F154" s="93">
        <v>0</v>
      </c>
      <c r="G154" s="93">
        <v>0</v>
      </c>
      <c r="H154" s="93">
        <v>0</v>
      </c>
      <c r="I154" s="93">
        <v>0</v>
      </c>
      <c r="J154" s="93"/>
      <c r="K154" s="93"/>
      <c r="L154" s="93"/>
      <c r="M154" s="93"/>
      <c r="N154" s="93"/>
    </row>
    <row r="155" spans="2:14">
      <c r="B155" s="86" t="s">
        <v>375</v>
      </c>
      <c r="C155" s="64">
        <v>170044602000</v>
      </c>
      <c r="D155" s="64">
        <v>319014050000</v>
      </c>
      <c r="E155" s="64">
        <v>196369224000</v>
      </c>
      <c r="F155" s="64">
        <v>196369224000</v>
      </c>
      <c r="G155" s="64">
        <v>265568125000</v>
      </c>
      <c r="H155" s="64">
        <v>597081675000</v>
      </c>
      <c r="I155" s="64">
        <v>618154016000</v>
      </c>
      <c r="J155" s="64">
        <v>707122815000</v>
      </c>
      <c r="K155" s="64">
        <v>519175929</v>
      </c>
      <c r="L155" s="64"/>
      <c r="M155" s="64"/>
      <c r="N155" s="64"/>
    </row>
    <row r="156" spans="2:14">
      <c r="B156" s="85"/>
      <c r="C156" s="66"/>
      <c r="D156" s="66"/>
      <c r="E156" s="66"/>
      <c r="F156" s="66"/>
      <c r="G156" s="66"/>
      <c r="H156" s="66"/>
      <c r="I156" s="66"/>
      <c r="J156" s="66"/>
      <c r="K156" s="66"/>
      <c r="L156" s="66"/>
      <c r="M156" s="66"/>
      <c r="N156" s="66"/>
    </row>
    <row r="157" spans="2:14">
      <c r="B157" s="84" t="s">
        <v>376</v>
      </c>
      <c r="C157" s="131">
        <f t="shared" ref="C157:G157" si="96">+C149+C151+C154</f>
        <v>138634653000</v>
      </c>
      <c r="D157" s="131">
        <f t="shared" si="96"/>
        <v>300946606000</v>
      </c>
      <c r="E157" s="131">
        <f t="shared" si="96"/>
        <v>107651392000</v>
      </c>
      <c r="F157" s="131">
        <f t="shared" si="96"/>
        <v>163655855000</v>
      </c>
      <c r="G157" s="131">
        <f t="shared" si="96"/>
        <v>123688144000</v>
      </c>
      <c r="H157" s="131">
        <f>+H149+H151+H154</f>
        <v>-142732484000</v>
      </c>
      <c r="I157" s="131">
        <f>+I149+I151+I154</f>
        <v>169696789000</v>
      </c>
      <c r="J157" s="131">
        <f>+J149+J151+J154</f>
        <v>134599831000</v>
      </c>
      <c r="K157" s="131">
        <f>+K149+K151+K154</f>
        <v>96671966</v>
      </c>
      <c r="L157" s="131"/>
      <c r="M157" s="131"/>
      <c r="N157" s="131"/>
    </row>
  </sheetData>
  <conditionalFormatting sqref="C67:H73 D74:H75 C76:H114">
    <cfRule type="cellIs" dxfId="225" priority="27" operator="lessThan">
      <formula>0</formula>
    </cfRule>
  </conditionalFormatting>
  <conditionalFormatting sqref="C116:N116 C117:J119 L117:N119 C120:N122">
    <cfRule type="cellIs" dxfId="224" priority="12" operator="lessThan">
      <formula>0</formula>
    </cfRule>
  </conditionalFormatting>
  <conditionalFormatting sqref="C126:N145">
    <cfRule type="cellIs" dxfId="223" priority="11" operator="lessThan">
      <formula>0</formula>
    </cfRule>
  </conditionalFormatting>
  <conditionalFormatting sqref="C149:N157">
    <cfRule type="cellIs" dxfId="222" priority="10" operator="lessThan">
      <formula>0</formula>
    </cfRule>
  </conditionalFormatting>
  <conditionalFormatting sqref="I67:N78 I79:J90 L79:N90 I105:N105 I97:J104 I114:N114 L97:N104 I91:N96 I106:J113 L106:N113 K107:K113">
    <cfRule type="cellIs" dxfId="221" priority="8" operator="lessThan">
      <formula>0</formula>
    </cfRule>
  </conditionalFormatting>
  <conditionalFormatting sqref="K79">
    <cfRule type="cellIs" dxfId="220" priority="7" operator="lessThan">
      <formula>0</formula>
    </cfRule>
  </conditionalFormatting>
  <conditionalFormatting sqref="K80:K90">
    <cfRule type="cellIs" dxfId="219" priority="6" operator="lessThan">
      <formula>0</formula>
    </cfRule>
  </conditionalFormatting>
  <conditionalFormatting sqref="K97:K104">
    <cfRule type="cellIs" dxfId="218" priority="4" operator="lessThan">
      <formula>0</formula>
    </cfRule>
  </conditionalFormatting>
  <conditionalFormatting sqref="K106">
    <cfRule type="cellIs" dxfId="217" priority="3" operator="lessThan">
      <formula>0</formula>
    </cfRule>
  </conditionalFormatting>
  <conditionalFormatting sqref="K117:K119">
    <cfRule type="cellIs" dxfId="216" priority="1" operator="lessThan">
      <formula>0</formula>
    </cfRule>
  </conditionalFormatting>
  <pageMargins left="0.7" right="0.7" top="0.75" bottom="0.75" header="0.3" footer="0.3"/>
  <pageSetup paperSize="9"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3AE62-3A69-4F79-B113-A924960349CF}">
  <dimension ref="B2:P152"/>
  <sheetViews>
    <sheetView zoomScale="55" zoomScaleNormal="55" workbookViewId="0">
      <pane xSplit="2" ySplit="6" topLeftCell="I55" activePane="bottomRight" state="frozen"/>
      <selection pane="bottomRight" activeCell="J70" sqref="J70"/>
      <selection pane="bottomLeft" activeCell="A7" sqref="A7"/>
      <selection pane="topRight" activeCell="C1" sqref="C1"/>
    </sheetView>
  </sheetViews>
  <sheetFormatPr defaultColWidth="10.7109375" defaultRowHeight="14.25"/>
  <cols>
    <col min="1" max="1" width="4.42578125" customWidth="1"/>
    <col min="2" max="2" width="57.140625" customWidth="1"/>
    <col min="3" max="8" width="36.28515625" bestFit="1" customWidth="1"/>
    <col min="9" max="9" width="41.28515625" customWidth="1"/>
    <col min="10" max="10" width="39.7109375" customWidth="1"/>
    <col min="11" max="11" width="35.5703125" customWidth="1"/>
    <col min="12" max="12" width="25.7109375" customWidth="1"/>
    <col min="13" max="14" width="25.7109375" bestFit="1" customWidth="1"/>
  </cols>
  <sheetData>
    <row r="2" spans="2:14" ht="21">
      <c r="B2" s="313">
        <f ca="1">TODAY()-1</f>
        <v>46105</v>
      </c>
      <c r="C2" s="314"/>
      <c r="D2" s="344" t="s">
        <v>518</v>
      </c>
      <c r="E2" s="345" t="s">
        <v>266</v>
      </c>
    </row>
    <row r="3" spans="2:14" ht="25.5">
      <c r="B3" s="376" cm="1">
        <f t="array" aca="1" ref="B3" ca="1">_FV(B6,"Precio")</f>
        <v>2200</v>
      </c>
      <c r="C3" s="779">
        <f ca="1">D3/B3</f>
        <v>4.6060606060606059E-2</v>
      </c>
      <c r="D3" s="346">
        <f>AVERAGE(H45:J45)</f>
        <v>101.33333333333333</v>
      </c>
      <c r="E3" s="346">
        <f>AVERAGE(H44:J44)</f>
        <v>101.33333333333333</v>
      </c>
      <c r="F3" s="125"/>
    </row>
    <row r="4" spans="2:14" ht="28.5">
      <c r="B4" s="319"/>
      <c r="C4" s="320"/>
      <c r="D4" s="328"/>
      <c r="E4" s="328"/>
    </row>
    <row r="5" spans="2:14">
      <c r="J5" t="s">
        <v>674</v>
      </c>
    </row>
    <row r="6" spans="2:14" ht="33.4">
      <c r="B6" s="3" t="e" vm="17">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+C68</f>
        <v>0</v>
      </c>
      <c r="D7" s="5">
        <f t="shared" ref="D7:N7" si="0">+D68</f>
        <v>0</v>
      </c>
      <c r="E7" s="5">
        <f t="shared" si="0"/>
        <v>136000289000</v>
      </c>
      <c r="F7" s="5">
        <f t="shared" si="0"/>
        <v>93751466000</v>
      </c>
      <c r="G7" s="5">
        <f t="shared" si="0"/>
        <v>129575509000</v>
      </c>
      <c r="H7" s="5">
        <f t="shared" si="0"/>
        <v>148858514000</v>
      </c>
      <c r="I7" s="5">
        <f t="shared" si="0"/>
        <v>163241984000</v>
      </c>
      <c r="J7" s="5">
        <f t="shared" si="0"/>
        <v>151627341000</v>
      </c>
      <c r="K7" s="5">
        <f t="shared" si="0"/>
        <v>81683884000</v>
      </c>
      <c r="L7" s="5">
        <f t="shared" si="0"/>
        <v>0</v>
      </c>
      <c r="M7" s="5">
        <f t="shared" si="0"/>
        <v>0</v>
      </c>
      <c r="N7" s="5">
        <f t="shared" si="0"/>
        <v>0</v>
      </c>
    </row>
    <row r="8" spans="2:14" ht="25.5">
      <c r="B8" s="146" t="s">
        <v>377</v>
      </c>
      <c r="C8" s="147">
        <f>+C72</f>
        <v>0</v>
      </c>
      <c r="D8" s="147">
        <f t="shared" ref="D8:N8" si="1">+D72</f>
        <v>0</v>
      </c>
      <c r="E8" s="147">
        <f t="shared" si="1"/>
        <v>25687274000</v>
      </c>
      <c r="F8" s="147">
        <f t="shared" si="1"/>
        <v>20012450000</v>
      </c>
      <c r="G8" s="147">
        <f t="shared" si="1"/>
        <v>20764754000</v>
      </c>
      <c r="H8" s="147">
        <f t="shared" si="1"/>
        <v>22004326000</v>
      </c>
      <c r="I8" s="147">
        <f t="shared" si="1"/>
        <v>18087162000</v>
      </c>
      <c r="J8" s="147">
        <f t="shared" si="1"/>
        <v>23847482000</v>
      </c>
      <c r="K8" s="147">
        <f t="shared" si="1"/>
        <v>25795090000</v>
      </c>
      <c r="L8" s="147">
        <f t="shared" si="1"/>
        <v>0</v>
      </c>
      <c r="M8" s="147">
        <f t="shared" si="1"/>
        <v>0</v>
      </c>
      <c r="N8" s="147">
        <f t="shared" si="1"/>
        <v>0</v>
      </c>
    </row>
    <row r="9" spans="2:14" ht="25.5">
      <c r="B9" s="146" t="s">
        <v>378</v>
      </c>
      <c r="C9" s="147">
        <f>+C74</f>
        <v>0</v>
      </c>
      <c r="D9" s="147">
        <f t="shared" ref="D9:N9" si="2">+D74</f>
        <v>0</v>
      </c>
      <c r="E9" s="147">
        <f t="shared" si="2"/>
        <v>0</v>
      </c>
      <c r="F9" s="147">
        <f t="shared" si="2"/>
        <v>0</v>
      </c>
      <c r="G9" s="147">
        <f t="shared" si="2"/>
        <v>0</v>
      </c>
      <c r="H9" s="147">
        <f t="shared" si="2"/>
        <v>0</v>
      </c>
      <c r="I9" s="147">
        <f t="shared" si="2"/>
        <v>0</v>
      </c>
      <c r="J9" s="147">
        <f t="shared" si="2"/>
        <v>0</v>
      </c>
      <c r="K9" s="147">
        <f t="shared" si="2"/>
        <v>0</v>
      </c>
      <c r="L9" s="147">
        <f t="shared" si="2"/>
        <v>0</v>
      </c>
      <c r="M9" s="147">
        <f t="shared" si="2"/>
        <v>0</v>
      </c>
      <c r="N9" s="147">
        <f t="shared" si="2"/>
        <v>0</v>
      </c>
    </row>
    <row r="10" spans="2:14" ht="25.5">
      <c r="B10" s="4" t="s">
        <v>519</v>
      </c>
      <c r="C10" s="5">
        <f>+C77</f>
        <v>0</v>
      </c>
      <c r="D10" s="5">
        <f t="shared" ref="D10:N10" si="3">+D77</f>
        <v>0</v>
      </c>
      <c r="E10" s="5">
        <f t="shared" si="3"/>
        <v>3660864525000</v>
      </c>
      <c r="F10" s="5">
        <f t="shared" si="3"/>
        <v>3884646706000</v>
      </c>
      <c r="G10" s="5">
        <f t="shared" si="3"/>
        <v>3843616485000</v>
      </c>
      <c r="H10" s="5">
        <f>+H77</f>
        <v>3911117698000</v>
      </c>
      <c r="I10" s="5">
        <f t="shared" si="3"/>
        <v>3984453610000</v>
      </c>
      <c r="J10" s="5">
        <f t="shared" si="3"/>
        <v>4139528338000</v>
      </c>
      <c r="K10" s="5">
        <f t="shared" si="3"/>
        <v>4419773193000</v>
      </c>
      <c r="L10" s="5">
        <f t="shared" si="3"/>
        <v>0</v>
      </c>
      <c r="M10" s="5">
        <f t="shared" si="3"/>
        <v>0</v>
      </c>
      <c r="N10" s="5">
        <f t="shared" si="3"/>
        <v>0</v>
      </c>
    </row>
    <row r="11" spans="2:14" ht="25.5">
      <c r="B11" s="8" t="s">
        <v>272</v>
      </c>
      <c r="C11" s="9">
        <f t="shared" ref="C11:N11" si="4">+C7+C10</f>
        <v>0</v>
      </c>
      <c r="D11" s="9">
        <f t="shared" si="4"/>
        <v>0</v>
      </c>
      <c r="E11" s="9">
        <f t="shared" si="4"/>
        <v>3796864814000</v>
      </c>
      <c r="F11" s="9">
        <f t="shared" si="4"/>
        <v>3978398172000</v>
      </c>
      <c r="G11" s="9">
        <f t="shared" si="4"/>
        <v>3973191994000</v>
      </c>
      <c r="H11" s="9">
        <f t="shared" si="4"/>
        <v>4059976212000</v>
      </c>
      <c r="I11" s="9">
        <f t="shared" si="4"/>
        <v>4147695594000</v>
      </c>
      <c r="J11" s="9">
        <f t="shared" si="4"/>
        <v>4291155679000</v>
      </c>
      <c r="K11" s="9">
        <f t="shared" si="4"/>
        <v>4501457077000</v>
      </c>
      <c r="L11" s="9">
        <f t="shared" si="4"/>
        <v>0</v>
      </c>
      <c r="M11" s="9">
        <f t="shared" si="4"/>
        <v>0</v>
      </c>
      <c r="N11" s="9">
        <f t="shared" si="4"/>
        <v>0</v>
      </c>
    </row>
    <row r="12" spans="2:14" ht="25.5">
      <c r="B12" s="10" t="s">
        <v>273</v>
      </c>
      <c r="C12" s="11">
        <f>+C91</f>
        <v>0</v>
      </c>
      <c r="D12" s="11">
        <f t="shared" ref="D12:N12" si="5">+D91</f>
        <v>0</v>
      </c>
      <c r="E12" s="11">
        <f t="shared" si="5"/>
        <v>89743669000</v>
      </c>
      <c r="F12" s="11">
        <f t="shared" si="5"/>
        <v>50291248000</v>
      </c>
      <c r="G12" s="11">
        <f t="shared" si="5"/>
        <v>47745091000</v>
      </c>
      <c r="H12" s="11">
        <f t="shared" si="5"/>
        <v>70364820000</v>
      </c>
      <c r="I12" s="11">
        <f t="shared" si="5"/>
        <v>73151878000</v>
      </c>
      <c r="J12" s="11">
        <f t="shared" si="5"/>
        <v>85630857000</v>
      </c>
      <c r="K12" s="11">
        <f t="shared" si="5"/>
        <v>88002418000</v>
      </c>
      <c r="L12" s="11">
        <f t="shared" si="5"/>
        <v>0</v>
      </c>
      <c r="M12" s="11">
        <f t="shared" si="5"/>
        <v>0</v>
      </c>
      <c r="N12" s="11">
        <f t="shared" si="5"/>
        <v>0</v>
      </c>
    </row>
    <row r="13" spans="2:14" ht="25.5">
      <c r="B13" s="10" t="s">
        <v>274</v>
      </c>
      <c r="C13" s="11">
        <f>+C101</f>
        <v>0</v>
      </c>
      <c r="D13" s="11">
        <f t="shared" ref="D13:N13" si="6">+D101</f>
        <v>0</v>
      </c>
      <c r="E13" s="11">
        <f t="shared" si="6"/>
        <v>1169588149000</v>
      </c>
      <c r="F13" s="11">
        <f t="shared" si="6"/>
        <v>1246121867000</v>
      </c>
      <c r="G13" s="11">
        <f t="shared" si="6"/>
        <v>1257538284000</v>
      </c>
      <c r="H13" s="11">
        <f t="shared" si="6"/>
        <v>1305035786000</v>
      </c>
      <c r="I13" s="11">
        <f t="shared" si="6"/>
        <v>1323796983000</v>
      </c>
      <c r="J13" s="11">
        <f t="shared" si="6"/>
        <v>1371025565000</v>
      </c>
      <c r="K13" s="11">
        <f t="shared" si="6"/>
        <v>1418778651000</v>
      </c>
      <c r="L13" s="11">
        <f t="shared" si="6"/>
        <v>0</v>
      </c>
      <c r="M13" s="11">
        <f t="shared" si="6"/>
        <v>0</v>
      </c>
      <c r="N13" s="11">
        <f t="shared" si="6"/>
        <v>0</v>
      </c>
    </row>
    <row r="14" spans="2:14" ht="25.5">
      <c r="B14" s="12" t="s">
        <v>275</v>
      </c>
      <c r="C14" s="13">
        <f t="shared" ref="C14:N14" si="7">SUM(C12:C13)</f>
        <v>0</v>
      </c>
      <c r="D14" s="13">
        <f t="shared" si="7"/>
        <v>0</v>
      </c>
      <c r="E14" s="13">
        <f t="shared" si="7"/>
        <v>1259331818000</v>
      </c>
      <c r="F14" s="13">
        <f t="shared" si="7"/>
        <v>1296413115000</v>
      </c>
      <c r="G14" s="13">
        <f t="shared" si="7"/>
        <v>1305283375000</v>
      </c>
      <c r="H14" s="13">
        <f t="shared" si="7"/>
        <v>1375400606000</v>
      </c>
      <c r="I14" s="13">
        <f t="shared" si="7"/>
        <v>1396948861000</v>
      </c>
      <c r="J14" s="13">
        <f t="shared" si="7"/>
        <v>1456656422000</v>
      </c>
      <c r="K14" s="13">
        <f t="shared" si="7"/>
        <v>1506781069000</v>
      </c>
      <c r="L14" s="13">
        <f t="shared" si="7"/>
        <v>0</v>
      </c>
      <c r="M14" s="13">
        <f t="shared" si="7"/>
        <v>0</v>
      </c>
      <c r="N14" s="13">
        <f t="shared" si="7"/>
        <v>0</v>
      </c>
    </row>
    <row r="15" spans="2:14" ht="25.5">
      <c r="B15" s="14" t="s">
        <v>276</v>
      </c>
      <c r="C15" s="15">
        <f>+C118</f>
        <v>0</v>
      </c>
      <c r="D15" s="15">
        <f t="shared" ref="D15:N15" si="8">+D118</f>
        <v>0</v>
      </c>
      <c r="E15" s="15">
        <f t="shared" si="8"/>
        <v>2532126888000</v>
      </c>
      <c r="F15" s="15">
        <f t="shared" si="8"/>
        <v>2677477709000</v>
      </c>
      <c r="G15" s="15">
        <f t="shared" si="8"/>
        <v>2663057704000</v>
      </c>
      <c r="H15" s="15">
        <f t="shared" si="8"/>
        <v>2679608628000</v>
      </c>
      <c r="I15" s="15">
        <f t="shared" si="8"/>
        <v>2744754862000</v>
      </c>
      <c r="J15" s="15">
        <f t="shared" si="8"/>
        <v>2828031717000</v>
      </c>
      <c r="K15" s="15">
        <f t="shared" si="8"/>
        <v>2989170608000</v>
      </c>
      <c r="L15" s="15">
        <f t="shared" si="8"/>
        <v>0</v>
      </c>
      <c r="M15" s="15">
        <f t="shared" si="8"/>
        <v>0</v>
      </c>
      <c r="N15" s="15">
        <f t="shared" si="8"/>
        <v>0</v>
      </c>
    </row>
    <row r="16" spans="2:14" ht="25.5">
      <c r="B16" s="79" t="s">
        <v>278</v>
      </c>
      <c r="C16" s="180"/>
      <c r="D16" s="180"/>
      <c r="E16" s="180">
        <v>1705831078</v>
      </c>
      <c r="F16" s="180">
        <v>1705831078</v>
      </c>
      <c r="G16" s="180">
        <v>1705831078</v>
      </c>
      <c r="H16" s="180">
        <v>1705831078</v>
      </c>
      <c r="I16" s="180">
        <v>1705831078</v>
      </c>
      <c r="J16" s="180">
        <v>1705831078</v>
      </c>
      <c r="K16" s="180">
        <v>1705831078</v>
      </c>
      <c r="L16" s="180"/>
      <c r="M16" s="180"/>
      <c r="N16" s="180"/>
    </row>
    <row r="18" spans="2:14" ht="25.5">
      <c r="B18" s="18" t="s">
        <v>279</v>
      </c>
      <c r="C18" s="19" t="e">
        <f t="shared" ref="C18:N18" si="9">(C15/C16)</f>
        <v>#DIV/0!</v>
      </c>
      <c r="D18" s="19" t="e">
        <f t="shared" si="9"/>
        <v>#DIV/0!</v>
      </c>
      <c r="E18" s="19">
        <f t="shared" si="9"/>
        <v>1484.3948622209355</v>
      </c>
      <c r="F18" s="19">
        <f t="shared" si="9"/>
        <v>1569.6030770756072</v>
      </c>
      <c r="G18" s="19">
        <f t="shared" si="9"/>
        <v>1561.1497166075198</v>
      </c>
      <c r="H18" s="19">
        <f t="shared" si="9"/>
        <v>1570.8522740374178</v>
      </c>
      <c r="I18" s="19">
        <f t="shared" si="9"/>
        <v>1609.0425936066806</v>
      </c>
      <c r="J18" s="19">
        <f>(J15/J16)</f>
        <v>1657.8615277168728</v>
      </c>
      <c r="K18" s="19">
        <f t="shared" si="9"/>
        <v>1752.3250962836544</v>
      </c>
      <c r="L18" s="19" t="e">
        <f t="shared" si="9"/>
        <v>#DIV/0!</v>
      </c>
      <c r="M18" s="19" t="e">
        <f t="shared" si="9"/>
        <v>#DIV/0!</v>
      </c>
      <c r="N18" s="19" t="e">
        <f t="shared" si="9"/>
        <v>#DIV/0!</v>
      </c>
    </row>
    <row r="19" spans="2:14" ht="25.5">
      <c r="B19" s="76" t="s">
        <v>282</v>
      </c>
      <c r="C19" s="77"/>
      <c r="D19" s="77"/>
      <c r="E19" s="77">
        <v>1656.2</v>
      </c>
      <c r="F19" s="77">
        <v>1138.5</v>
      </c>
      <c r="G19" s="77">
        <v>1011</v>
      </c>
      <c r="H19" s="101">
        <v>1338.8</v>
      </c>
      <c r="I19" s="101">
        <v>1410</v>
      </c>
      <c r="J19" s="101">
        <v>1556</v>
      </c>
      <c r="K19" s="101">
        <v>2330</v>
      </c>
      <c r="L19" s="101"/>
      <c r="M19" s="101"/>
      <c r="N19" s="101"/>
    </row>
    <row r="20" spans="2:14" ht="25.5">
      <c r="B20" s="18" t="s">
        <v>283</v>
      </c>
      <c r="C20" s="22" t="e">
        <f>+C19/C40</f>
        <v>#DIV/0!</v>
      </c>
      <c r="D20" s="22" t="e">
        <f t="shared" ref="D20:N20" si="10">+D19/D40</f>
        <v>#DIV/0!</v>
      </c>
      <c r="E20" s="22">
        <f t="shared" si="10"/>
        <v>5.7288135593220337</v>
      </c>
      <c r="F20" s="22">
        <f t="shared" si="10"/>
        <v>7.7766393442622945</v>
      </c>
      <c r="G20" s="22">
        <f t="shared" si="10"/>
        <v>21.284210526315789</v>
      </c>
      <c r="H20" s="22">
        <f t="shared" si="10"/>
        <v>12.559099437148218</v>
      </c>
      <c r="I20" s="22">
        <f t="shared" si="10"/>
        <v>12.841530054644808</v>
      </c>
      <c r="J20" s="22">
        <f t="shared" si="10"/>
        <v>9.9424920127795531</v>
      </c>
      <c r="K20" s="22">
        <f t="shared" si="10"/>
        <v>13.075196408529743</v>
      </c>
      <c r="L20" s="22" t="e">
        <f t="shared" si="10"/>
        <v>#DIV/0!</v>
      </c>
      <c r="M20" s="22" t="e">
        <f t="shared" si="10"/>
        <v>#DIV/0!</v>
      </c>
      <c r="N20" s="22" t="e">
        <f t="shared" si="10"/>
        <v>#DIV/0!</v>
      </c>
    </row>
    <row r="21" spans="2:14" ht="25.5">
      <c r="B21" s="18" t="s">
        <v>284</v>
      </c>
      <c r="C21" s="22" t="e">
        <f t="shared" ref="C21:N21" si="11">+C19/C18</f>
        <v>#DIV/0!</v>
      </c>
      <c r="D21" s="22" t="e">
        <f t="shared" si="11"/>
        <v>#DIV/0!</v>
      </c>
      <c r="E21" s="22">
        <f t="shared" si="11"/>
        <v>1.1157408598962755</v>
      </c>
      <c r="F21" s="22">
        <f t="shared" si="11"/>
        <v>0.72534261472090555</v>
      </c>
      <c r="G21" s="22">
        <f t="shared" si="11"/>
        <v>0.64759964354794164</v>
      </c>
      <c r="H21" s="22">
        <f t="shared" si="11"/>
        <v>0.85227619562150481</v>
      </c>
      <c r="I21" s="22">
        <f t="shared" si="11"/>
        <v>0.87629749865071926</v>
      </c>
      <c r="J21" s="22">
        <f t="shared" si="11"/>
        <v>0.93855848271167031</v>
      </c>
      <c r="K21" s="22">
        <f t="shared" si="11"/>
        <v>1.3296619473986211</v>
      </c>
      <c r="L21" s="22" t="e">
        <f t="shared" si="11"/>
        <v>#DIV/0!</v>
      </c>
      <c r="M21" s="22" t="e">
        <f t="shared" si="11"/>
        <v>#DIV/0!</v>
      </c>
      <c r="N21" s="22" t="e">
        <f t="shared" si="11"/>
        <v>#DIV/0!</v>
      </c>
    </row>
    <row r="22" spans="2:14" ht="25.5">
      <c r="B22" s="18" t="s">
        <v>285</v>
      </c>
      <c r="C22" s="22" t="e">
        <f>+C20*C21</f>
        <v>#DIV/0!</v>
      </c>
      <c r="D22" s="22" t="e">
        <f t="shared" ref="D22:N22" si="12">+D20*D21</f>
        <v>#DIV/0!</v>
      </c>
      <c r="E22" s="22">
        <f t="shared" si="12"/>
        <v>6.3918713668634082</v>
      </c>
      <c r="F22" s="22">
        <f>+F20*F21</f>
        <v>5.6407279157086814</v>
      </c>
      <c r="G22" s="22">
        <f t="shared" si="12"/>
        <v>13.783647150041451</v>
      </c>
      <c r="H22" s="22">
        <f t="shared" si="12"/>
        <v>10.703821488724865</v>
      </c>
      <c r="I22" s="22">
        <f t="shared" si="12"/>
        <v>11.25300066573328</v>
      </c>
      <c r="J22" s="22">
        <f t="shared" si="12"/>
        <v>9.3316102178872775</v>
      </c>
      <c r="K22" s="22">
        <f t="shared" si="12"/>
        <v>17.385591119185115</v>
      </c>
      <c r="L22" s="22" t="e">
        <f t="shared" si="12"/>
        <v>#DIV/0!</v>
      </c>
      <c r="M22" s="22" t="e">
        <f t="shared" si="12"/>
        <v>#DIV/0!</v>
      </c>
      <c r="N22" s="22" t="e">
        <f t="shared" si="12"/>
        <v>#DIV/0!</v>
      </c>
    </row>
    <row r="23" spans="2:14" ht="25.5">
      <c r="B23" s="23" t="s">
        <v>286</v>
      </c>
      <c r="C23" s="24" t="e">
        <f>IF(C41&lt;10%,0,IF(15%&lt;C41,2,1))</f>
        <v>#DIV/0!</v>
      </c>
      <c r="D23" s="24" t="e">
        <f>IF(D41&lt;10%,0,IF(15%&lt;D41,2,1))</f>
        <v>#DIV/0!</v>
      </c>
      <c r="E23" s="24">
        <f>IF(E41&lt;10%,0.8,IF(15%&lt;E41,2,1))</f>
        <v>2</v>
      </c>
      <c r="F23" s="24">
        <f t="shared" ref="F23:N23" si="13">IF(F41&lt;10%,0.8,IF(15%&lt;F41,2,1))</f>
        <v>0.8</v>
      </c>
      <c r="G23" s="24">
        <f t="shared" si="13"/>
        <v>0.8</v>
      </c>
      <c r="H23" s="24">
        <f t="shared" si="13"/>
        <v>0.8</v>
      </c>
      <c r="I23" s="24">
        <f t="shared" si="13"/>
        <v>0.8</v>
      </c>
      <c r="J23" s="24">
        <f t="shared" si="13"/>
        <v>0.8</v>
      </c>
      <c r="K23" s="24">
        <f t="shared" si="13"/>
        <v>1</v>
      </c>
      <c r="L23" s="24" t="e">
        <f t="shared" si="13"/>
        <v>#DIV/0!</v>
      </c>
      <c r="M23" s="24" t="e">
        <f t="shared" si="13"/>
        <v>#DIV/0!</v>
      </c>
      <c r="N23" s="24" t="e">
        <f t="shared" si="13"/>
        <v>#DIV/0!</v>
      </c>
    </row>
    <row r="24" spans="2:14" ht="25.5">
      <c r="B24" s="23" t="s">
        <v>287</v>
      </c>
      <c r="C24" s="24" t="e">
        <f>IF(C41&lt;10%,1,IF(15%&lt;C41,2.5,2))</f>
        <v>#DIV/0!</v>
      </c>
      <c r="D24" s="24" t="e">
        <f t="shared" ref="D24:E24" si="14">IF(D41&lt;10%,1,IF(15%&lt;D41,2.5,2))</f>
        <v>#DIV/0!</v>
      </c>
      <c r="E24" s="24">
        <f t="shared" si="14"/>
        <v>2.5</v>
      </c>
      <c r="F24" s="24">
        <f t="shared" ref="F24:N24" si="15">IF(F41&lt;10%,1,IF(15%&lt;F41,2.5,2))</f>
        <v>1</v>
      </c>
      <c r="G24" s="24">
        <f t="shared" si="15"/>
        <v>1</v>
      </c>
      <c r="H24" s="24">
        <f t="shared" si="15"/>
        <v>1</v>
      </c>
      <c r="I24" s="24">
        <f t="shared" si="15"/>
        <v>1</v>
      </c>
      <c r="J24" s="24">
        <f t="shared" si="15"/>
        <v>1</v>
      </c>
      <c r="K24" s="24">
        <f t="shared" si="15"/>
        <v>2</v>
      </c>
      <c r="L24" s="24" t="e">
        <f t="shared" si="15"/>
        <v>#DIV/0!</v>
      </c>
      <c r="M24" s="24" t="e">
        <f t="shared" si="15"/>
        <v>#DIV/0!</v>
      </c>
      <c r="N24" s="24" t="e">
        <f t="shared" si="15"/>
        <v>#DIV/0!</v>
      </c>
    </row>
    <row r="25" spans="2:14" ht="25.5">
      <c r="B25" s="25" t="s">
        <v>288</v>
      </c>
      <c r="C25" s="26" t="e">
        <f t="shared" ref="C25:N25" si="16">+C23*C18</f>
        <v>#DIV/0!</v>
      </c>
      <c r="D25" s="26" t="e">
        <f t="shared" si="16"/>
        <v>#DIV/0!</v>
      </c>
      <c r="E25" s="26">
        <f t="shared" si="16"/>
        <v>2968.7897244418709</v>
      </c>
      <c r="F25" s="26">
        <f t="shared" si="16"/>
        <v>1255.6824616604858</v>
      </c>
      <c r="G25" s="26">
        <f t="shared" si="16"/>
        <v>1248.9197732860159</v>
      </c>
      <c r="H25" s="26">
        <f t="shared" si="16"/>
        <v>1256.6818192299343</v>
      </c>
      <c r="I25" s="26">
        <f t="shared" si="16"/>
        <v>1287.2340748853446</v>
      </c>
      <c r="J25" s="26">
        <f t="shared" si="16"/>
        <v>1326.2892221734983</v>
      </c>
      <c r="K25" s="26">
        <f t="shared" si="16"/>
        <v>1752.3250962836544</v>
      </c>
      <c r="L25" s="26" t="e">
        <f t="shared" si="16"/>
        <v>#DIV/0!</v>
      </c>
      <c r="M25" s="26" t="e">
        <f t="shared" si="16"/>
        <v>#DIV/0!</v>
      </c>
      <c r="N25" s="26" t="e">
        <f t="shared" si="16"/>
        <v>#DIV/0!</v>
      </c>
    </row>
    <row r="26" spans="2:14" ht="25.5">
      <c r="B26" s="25" t="s">
        <v>289</v>
      </c>
      <c r="C26" s="26" t="e">
        <f>AVERAGE(C25,C27)</f>
        <v>#DIV/0!</v>
      </c>
      <c r="D26" s="26" t="e">
        <f t="shared" ref="D26:N26" si="17">AVERAGE(D25,D27)</f>
        <v>#DIV/0!</v>
      </c>
      <c r="E26" s="26">
        <f t="shared" si="17"/>
        <v>3339.8884399971048</v>
      </c>
      <c r="F26" s="26">
        <f t="shared" si="17"/>
        <v>1412.6427693680466</v>
      </c>
      <c r="G26" s="26">
        <f t="shared" si="17"/>
        <v>1405.0347449467679</v>
      </c>
      <c r="H26" s="26">
        <f t="shared" si="17"/>
        <v>1413.767046633676</v>
      </c>
      <c r="I26" s="26">
        <f t="shared" si="17"/>
        <v>1448.1383342460126</v>
      </c>
      <c r="J26" s="26">
        <f t="shared" si="17"/>
        <v>1492.0753749451856</v>
      </c>
      <c r="K26" s="26">
        <f t="shared" si="17"/>
        <v>2628.4876444254814</v>
      </c>
      <c r="L26" s="26" t="e">
        <f t="shared" si="17"/>
        <v>#DIV/0!</v>
      </c>
      <c r="M26" s="26" t="e">
        <f t="shared" si="17"/>
        <v>#DIV/0!</v>
      </c>
      <c r="N26" s="26" t="e">
        <f t="shared" si="17"/>
        <v>#DIV/0!</v>
      </c>
    </row>
    <row r="27" spans="2:14" ht="25.5">
      <c r="B27" s="25" t="s">
        <v>290</v>
      </c>
      <c r="C27" s="26" t="e">
        <f t="shared" ref="C27:N27" si="18">+C18*C24</f>
        <v>#DIV/0!</v>
      </c>
      <c r="D27" s="26" t="e">
        <f t="shared" si="18"/>
        <v>#DIV/0!</v>
      </c>
      <c r="E27" s="26">
        <f t="shared" si="18"/>
        <v>3710.9871555523387</v>
      </c>
      <c r="F27" s="26">
        <f t="shared" si="18"/>
        <v>1569.6030770756072</v>
      </c>
      <c r="G27" s="26">
        <f t="shared" si="18"/>
        <v>1561.1497166075198</v>
      </c>
      <c r="H27" s="26">
        <f t="shared" si="18"/>
        <v>1570.8522740374178</v>
      </c>
      <c r="I27" s="26">
        <f t="shared" si="18"/>
        <v>1609.0425936066806</v>
      </c>
      <c r="J27" s="26">
        <f>+J18*J24</f>
        <v>1657.8615277168728</v>
      </c>
      <c r="K27" s="26">
        <f t="shared" si="18"/>
        <v>3504.6501925673087</v>
      </c>
      <c r="L27" s="26" t="e">
        <f t="shared" si="18"/>
        <v>#DIV/0!</v>
      </c>
      <c r="M27" s="26" t="e">
        <f t="shared" si="18"/>
        <v>#DIV/0!</v>
      </c>
      <c r="N27" s="26" t="e">
        <f t="shared" si="18"/>
        <v>#DIV/0!</v>
      </c>
    </row>
    <row r="29" spans="2:14" ht="25.5">
      <c r="B29" s="27" t="s">
        <v>291</v>
      </c>
      <c r="C29" s="28">
        <f t="shared" ref="C29:N29" si="19">C7-C12</f>
        <v>0</v>
      </c>
      <c r="D29" s="28">
        <f t="shared" si="19"/>
        <v>0</v>
      </c>
      <c r="E29" s="28">
        <f t="shared" si="19"/>
        <v>46256620000</v>
      </c>
      <c r="F29" s="28">
        <f t="shared" si="19"/>
        <v>43460218000</v>
      </c>
      <c r="G29" s="28">
        <f t="shared" si="19"/>
        <v>81830418000</v>
      </c>
      <c r="H29" s="28">
        <f t="shared" si="19"/>
        <v>78493694000</v>
      </c>
      <c r="I29" s="28">
        <f t="shared" si="19"/>
        <v>90090106000</v>
      </c>
      <c r="J29" s="28">
        <f t="shared" si="19"/>
        <v>65996484000</v>
      </c>
      <c r="K29" s="28">
        <f t="shared" si="19"/>
        <v>-6318534000</v>
      </c>
      <c r="L29" s="28">
        <f t="shared" si="19"/>
        <v>0</v>
      </c>
      <c r="M29" s="28">
        <f t="shared" si="19"/>
        <v>0</v>
      </c>
      <c r="N29" s="28">
        <f t="shared" si="19"/>
        <v>0</v>
      </c>
    </row>
    <row r="30" spans="2:14" ht="25.5">
      <c r="B30" s="30" t="s">
        <v>149</v>
      </c>
      <c r="C30" s="31" t="e">
        <f t="shared" ref="C30:N30" si="20">C7/C12</f>
        <v>#DIV/0!</v>
      </c>
      <c r="D30" s="31" t="e">
        <f t="shared" si="20"/>
        <v>#DIV/0!</v>
      </c>
      <c r="E30" s="31">
        <f t="shared" si="20"/>
        <v>1.5154304533727052</v>
      </c>
      <c r="F30" s="31">
        <f>F7/F12</f>
        <v>1.8641706008170646</v>
      </c>
      <c r="G30" s="31">
        <f t="shared" si="20"/>
        <v>2.7139022313309655</v>
      </c>
      <c r="H30" s="98">
        <f t="shared" si="20"/>
        <v>2.1155246897526347</v>
      </c>
      <c r="I30" s="98">
        <f t="shared" si="20"/>
        <v>2.2315487785563071</v>
      </c>
      <c r="J30" s="98">
        <f>J7/J12</f>
        <v>1.7707091381790094</v>
      </c>
      <c r="K30" s="98">
        <f t="shared" si="20"/>
        <v>0.9282004501285408</v>
      </c>
      <c r="L30" s="98" t="e">
        <f t="shared" si="20"/>
        <v>#DIV/0!</v>
      </c>
      <c r="M30" s="98" t="e">
        <f t="shared" si="20"/>
        <v>#DIV/0!</v>
      </c>
      <c r="N30" s="98" t="e">
        <f t="shared" si="20"/>
        <v>#DIV/0!</v>
      </c>
    </row>
    <row r="31" spans="2:14" ht="25.5">
      <c r="B31" s="30" t="s">
        <v>292</v>
      </c>
      <c r="C31" s="31" t="e">
        <f t="shared" ref="C31:N31" si="21">+(C7-C9)/C12</f>
        <v>#DIV/0!</v>
      </c>
      <c r="D31" s="31" t="e">
        <f t="shared" si="21"/>
        <v>#DIV/0!</v>
      </c>
      <c r="E31" s="31">
        <f t="shared" si="21"/>
        <v>1.5154304533727052</v>
      </c>
      <c r="F31" s="31">
        <f t="shared" si="21"/>
        <v>1.8641706008170646</v>
      </c>
      <c r="G31" s="31">
        <f t="shared" si="21"/>
        <v>2.7139022313309655</v>
      </c>
      <c r="H31" s="31">
        <f t="shared" si="21"/>
        <v>2.1155246897526347</v>
      </c>
      <c r="I31" s="31">
        <f t="shared" si="21"/>
        <v>2.2315487785563071</v>
      </c>
      <c r="J31" s="31">
        <f t="shared" si="21"/>
        <v>1.7707091381790094</v>
      </c>
      <c r="K31" s="31">
        <f t="shared" si="21"/>
        <v>0.9282004501285408</v>
      </c>
      <c r="L31" s="31" t="e">
        <f t="shared" si="21"/>
        <v>#DIV/0!</v>
      </c>
      <c r="M31" s="31" t="e">
        <f t="shared" si="21"/>
        <v>#DIV/0!</v>
      </c>
      <c r="N31" s="31" t="e">
        <f t="shared" si="21"/>
        <v>#DIV/0!</v>
      </c>
    </row>
    <row r="32" spans="2:14" ht="25.5">
      <c r="B32" s="32" t="s">
        <v>153</v>
      </c>
      <c r="C32" s="33" t="e">
        <f t="shared" ref="C32:N32" si="22">C14/C11</f>
        <v>#DIV/0!</v>
      </c>
      <c r="D32" s="33" t="e">
        <f t="shared" si="22"/>
        <v>#DIV/0!</v>
      </c>
      <c r="E32" s="33">
        <f t="shared" si="22"/>
        <v>0.33167675956134268</v>
      </c>
      <c r="F32" s="33">
        <f t="shared" si="22"/>
        <v>0.32586308834650246</v>
      </c>
      <c r="G32" s="33">
        <f t="shared" si="22"/>
        <v>0.32852260272625528</v>
      </c>
      <c r="H32" s="33">
        <f t="shared" si="22"/>
        <v>0.33877060706285733</v>
      </c>
      <c r="I32" s="33">
        <f t="shared" si="22"/>
        <v>0.33680120185792012</v>
      </c>
      <c r="J32" s="33">
        <f t="shared" si="22"/>
        <v>0.33945550592083285</v>
      </c>
      <c r="K32" s="33">
        <f t="shared" si="22"/>
        <v>0.33473185309237596</v>
      </c>
      <c r="L32" s="33" t="e">
        <f t="shared" si="22"/>
        <v>#DIV/0!</v>
      </c>
      <c r="M32" s="33" t="e">
        <f t="shared" si="22"/>
        <v>#DIV/0!</v>
      </c>
      <c r="N32" s="33" t="e">
        <f t="shared" si="22"/>
        <v>#DIV/0!</v>
      </c>
    </row>
    <row r="35" spans="2:14" ht="25.5">
      <c r="B35" s="35" t="s">
        <v>293</v>
      </c>
      <c r="C35" s="36">
        <f>+C122</f>
        <v>0</v>
      </c>
      <c r="D35" s="36">
        <f t="shared" ref="D35:N35" si="23">+D122</f>
        <v>0</v>
      </c>
      <c r="E35" s="36">
        <f t="shared" si="23"/>
        <v>228990188000</v>
      </c>
      <c r="F35" s="36">
        <f t="shared" si="23"/>
        <v>146755488000</v>
      </c>
      <c r="G35" s="36">
        <f t="shared" si="23"/>
        <v>215063062000</v>
      </c>
      <c r="H35" s="36">
        <f t="shared" si="23"/>
        <v>286949855000</v>
      </c>
      <c r="I35" s="36">
        <f t="shared" si="23"/>
        <v>314784929000</v>
      </c>
      <c r="J35" s="36">
        <f t="shared" si="23"/>
        <v>353183704000</v>
      </c>
      <c r="K35" s="36">
        <f t="shared" si="23"/>
        <v>377940605000</v>
      </c>
      <c r="L35" s="36">
        <f t="shared" si="23"/>
        <v>0</v>
      </c>
      <c r="M35" s="36">
        <f t="shared" si="23"/>
        <v>0</v>
      </c>
      <c r="N35" s="36">
        <f t="shared" si="23"/>
        <v>0</v>
      </c>
    </row>
    <row r="36" spans="2:14" ht="25.5">
      <c r="B36" s="39" t="s">
        <v>156</v>
      </c>
      <c r="C36" s="40">
        <f>+C130</f>
        <v>0</v>
      </c>
      <c r="D36" s="40">
        <f t="shared" ref="D36:I36" si="24">+D130</f>
        <v>0</v>
      </c>
      <c r="E36" s="40">
        <f t="shared" si="24"/>
        <v>599790262000</v>
      </c>
      <c r="F36" s="40">
        <f t="shared" si="24"/>
        <v>369855031000</v>
      </c>
      <c r="G36" s="40">
        <f t="shared" si="24"/>
        <v>133999991000</v>
      </c>
      <c r="H36" s="40">
        <f t="shared" si="24"/>
        <v>287497766000</v>
      </c>
      <c r="I36" s="40">
        <f t="shared" si="24"/>
        <v>272578974000</v>
      </c>
      <c r="J36" s="40">
        <f>+J130</f>
        <v>386936969000</v>
      </c>
      <c r="K36" s="40">
        <f t="shared" ref="K36:N36" si="25">+K130</f>
        <v>436664675000</v>
      </c>
      <c r="L36" s="40">
        <f t="shared" si="25"/>
        <v>0</v>
      </c>
      <c r="M36" s="40">
        <f t="shared" si="25"/>
        <v>0</v>
      </c>
      <c r="N36" s="40">
        <f t="shared" si="25"/>
        <v>0</v>
      </c>
    </row>
    <row r="37" spans="2:14" ht="25.5">
      <c r="B37" s="35" t="s">
        <v>381</v>
      </c>
      <c r="C37" s="41" t="e">
        <f>C36/C35</f>
        <v>#DIV/0!</v>
      </c>
      <c r="D37" s="41" t="e">
        <f t="shared" ref="D37:N37" si="26">D36/D35</f>
        <v>#DIV/0!</v>
      </c>
      <c r="E37" s="41">
        <f t="shared" si="26"/>
        <v>2.6192836786526414</v>
      </c>
      <c r="F37" s="41">
        <f t="shared" si="26"/>
        <v>2.5202126069724904</v>
      </c>
      <c r="G37" s="41">
        <f t="shared" si="26"/>
        <v>0.62307301753194599</v>
      </c>
      <c r="H37" s="41">
        <f t="shared" si="26"/>
        <v>1.0019094311791863</v>
      </c>
      <c r="I37" s="41">
        <f t="shared" si="26"/>
        <v>0.86592129701355558</v>
      </c>
      <c r="J37" s="41">
        <f t="shared" si="26"/>
        <v>1.0955685798006127</v>
      </c>
      <c r="K37" s="41">
        <f t="shared" si="26"/>
        <v>1.1553790971996778</v>
      </c>
      <c r="L37" s="41" t="e">
        <f t="shared" si="26"/>
        <v>#DIV/0!</v>
      </c>
      <c r="M37" s="41" t="e">
        <f t="shared" si="26"/>
        <v>#DIV/0!</v>
      </c>
      <c r="N37" s="41" t="e">
        <f t="shared" si="26"/>
        <v>#DIV/0!</v>
      </c>
    </row>
    <row r="38" spans="2:14" ht="25.5">
      <c r="B38" s="43" t="s">
        <v>295</v>
      </c>
      <c r="C38" s="44">
        <f>+C138</f>
        <v>0</v>
      </c>
      <c r="D38" s="44">
        <f t="shared" ref="D38:N38" si="27">+D138</f>
        <v>0</v>
      </c>
      <c r="E38" s="44">
        <f t="shared" si="27"/>
        <v>405481023000</v>
      </c>
      <c r="F38" s="44">
        <f t="shared" si="27"/>
        <v>249419099000</v>
      </c>
      <c r="G38" s="44">
        <f t="shared" si="27"/>
        <v>81104311000</v>
      </c>
      <c r="H38" s="44">
        <f t="shared" si="27"/>
        <v>181730120000</v>
      </c>
      <c r="I38" s="44">
        <f t="shared" si="27"/>
        <v>188102722000</v>
      </c>
      <c r="J38" s="44">
        <f t="shared" si="27"/>
        <v>266897139000</v>
      </c>
      <c r="K38" s="44">
        <f t="shared" si="27"/>
        <v>302924673000</v>
      </c>
      <c r="L38" s="44">
        <f t="shared" si="27"/>
        <v>0</v>
      </c>
      <c r="M38" s="44">
        <f t="shared" si="27"/>
        <v>0</v>
      </c>
      <c r="N38" s="44">
        <f t="shared" si="27"/>
        <v>0</v>
      </c>
    </row>
    <row r="39" spans="2:14" ht="25.5">
      <c r="B39" s="30" t="s">
        <v>296</v>
      </c>
      <c r="C39" s="45" t="e">
        <f>C38/C35</f>
        <v>#DIV/0!</v>
      </c>
      <c r="D39" s="45" t="e">
        <f t="shared" ref="D39:N39" si="28">D38/D35</f>
        <v>#DIV/0!</v>
      </c>
      <c r="E39" s="45">
        <f t="shared" si="28"/>
        <v>1.7707353600670435</v>
      </c>
      <c r="F39" s="45">
        <f t="shared" si="28"/>
        <v>1.6995555150891528</v>
      </c>
      <c r="G39" s="45">
        <f t="shared" si="28"/>
        <v>0.3771187401767766</v>
      </c>
      <c r="H39" s="45">
        <f t="shared" si="28"/>
        <v>0.6333166469103112</v>
      </c>
      <c r="I39" s="45">
        <f t="shared" si="28"/>
        <v>0.59755949116610985</v>
      </c>
      <c r="J39" s="45">
        <f t="shared" si="28"/>
        <v>0.75568928004673741</v>
      </c>
      <c r="K39" s="45">
        <f t="shared" si="28"/>
        <v>0.80151396540205044</v>
      </c>
      <c r="L39" s="45" t="e">
        <f t="shared" si="28"/>
        <v>#DIV/0!</v>
      </c>
      <c r="M39" s="45" t="e">
        <f t="shared" si="28"/>
        <v>#DIV/0!</v>
      </c>
      <c r="N39" s="45" t="e">
        <f t="shared" si="28"/>
        <v>#DIV/0!</v>
      </c>
    </row>
    <row r="40" spans="2:14" ht="25.5">
      <c r="B40" s="46" t="s">
        <v>159</v>
      </c>
      <c r="C40" s="121">
        <f>+C140</f>
        <v>0</v>
      </c>
      <c r="D40" s="121">
        <f t="shared" ref="D40:N40" si="29">+D140</f>
        <v>0</v>
      </c>
      <c r="E40" s="121">
        <f t="shared" si="29"/>
        <v>289.10000000000002</v>
      </c>
      <c r="F40" s="121">
        <f t="shared" si="29"/>
        <v>146.4</v>
      </c>
      <c r="G40" s="121">
        <f>+G140</f>
        <v>47.5</v>
      </c>
      <c r="H40" s="121">
        <f t="shared" si="29"/>
        <v>106.6</v>
      </c>
      <c r="I40" s="121">
        <f t="shared" si="29"/>
        <v>109.8</v>
      </c>
      <c r="J40" s="121">
        <f t="shared" si="29"/>
        <v>156.5</v>
      </c>
      <c r="K40" s="121">
        <f t="shared" si="29"/>
        <v>178.2</v>
      </c>
      <c r="L40" s="121">
        <f t="shared" si="29"/>
        <v>0</v>
      </c>
      <c r="M40" s="121">
        <f t="shared" si="29"/>
        <v>0</v>
      </c>
      <c r="N40" s="121">
        <f t="shared" si="29"/>
        <v>0</v>
      </c>
    </row>
    <row r="41" spans="2:14" ht="25.5">
      <c r="B41" s="48" t="s">
        <v>160</v>
      </c>
      <c r="C41" s="49" t="e">
        <f t="shared" ref="C41:N41" si="30">C38/C15</f>
        <v>#DIV/0!</v>
      </c>
      <c r="D41" s="49" t="e">
        <f t="shared" si="30"/>
        <v>#DIV/0!</v>
      </c>
      <c r="E41" s="49">
        <f t="shared" si="30"/>
        <v>0.16013455918090627</v>
      </c>
      <c r="F41" s="49">
        <f t="shared" si="30"/>
        <v>9.3154500656199485E-2</v>
      </c>
      <c r="G41" s="49">
        <f t="shared" si="30"/>
        <v>3.0455333685852418E-2</v>
      </c>
      <c r="H41" s="49">
        <f t="shared" si="30"/>
        <v>6.7819650265732764E-2</v>
      </c>
      <c r="I41" s="49">
        <f t="shared" si="30"/>
        <v>6.8531701903220818E-2</v>
      </c>
      <c r="J41" s="49">
        <f>J38/J15</f>
        <v>9.4375581927039612E-2</v>
      </c>
      <c r="K41" s="49">
        <f t="shared" si="30"/>
        <v>0.1013407104262548</v>
      </c>
      <c r="L41" s="49" t="e">
        <f t="shared" si="30"/>
        <v>#DIV/0!</v>
      </c>
      <c r="M41" s="49" t="e">
        <f t="shared" si="30"/>
        <v>#DIV/0!</v>
      </c>
      <c r="N41" s="49" t="e">
        <f t="shared" si="30"/>
        <v>#DIV/0!</v>
      </c>
    </row>
    <row r="42" spans="2:14" ht="25.5">
      <c r="B42" s="48" t="s">
        <v>382</v>
      </c>
      <c r="C42" s="49">
        <f>AVERAGE(G41:I41)</f>
        <v>5.5602228618268669E-2</v>
      </c>
      <c r="D42" s="49"/>
      <c r="E42" s="49"/>
      <c r="F42" s="49"/>
      <c r="G42" s="49"/>
      <c r="H42" s="49"/>
      <c r="I42" s="49"/>
      <c r="J42" s="717"/>
      <c r="K42" s="49"/>
      <c r="L42" s="49"/>
      <c r="M42" s="49"/>
      <c r="N42" s="49"/>
    </row>
    <row r="43" spans="2:14" ht="25.5">
      <c r="B43" s="48" t="s">
        <v>298</v>
      </c>
      <c r="C43" s="50">
        <f>+C152</f>
        <v>0</v>
      </c>
      <c r="D43" s="50">
        <f t="shared" ref="D43:N43" si="31">+D152</f>
        <v>0</v>
      </c>
      <c r="E43" s="50">
        <f t="shared" si="31"/>
        <v>200088383000</v>
      </c>
      <c r="F43" s="50">
        <f t="shared" si="31"/>
        <v>69139461000</v>
      </c>
      <c r="G43" s="50">
        <f t="shared" si="31"/>
        <v>138396881000</v>
      </c>
      <c r="H43" s="50">
        <f t="shared" si="31"/>
        <v>168115925000</v>
      </c>
      <c r="I43" s="50">
        <f t="shared" si="31"/>
        <v>176608987000</v>
      </c>
      <c r="J43" s="50">
        <f t="shared" si="31"/>
        <v>190805200000</v>
      </c>
      <c r="K43" s="50">
        <f t="shared" si="31"/>
        <v>90252110000</v>
      </c>
      <c r="L43" s="50">
        <f t="shared" si="31"/>
        <v>0</v>
      </c>
      <c r="M43" s="50">
        <f t="shared" si="31"/>
        <v>0</v>
      </c>
      <c r="N43" s="50">
        <f t="shared" si="31"/>
        <v>0</v>
      </c>
    </row>
    <row r="44" spans="2:14" ht="25.5">
      <c r="B44" s="51" t="s">
        <v>111</v>
      </c>
      <c r="C44" s="51">
        <f>SUM(C46:C49)</f>
        <v>0</v>
      </c>
      <c r="D44" s="51">
        <f t="shared" ref="D44:F44" si="32">SUM(D46:D49)</f>
        <v>0</v>
      </c>
      <c r="E44" s="51">
        <f t="shared" si="32"/>
        <v>0</v>
      </c>
      <c r="F44" s="51">
        <f t="shared" si="32"/>
        <v>55</v>
      </c>
      <c r="G44" s="51">
        <f>SUM(G46:G49)</f>
        <v>72.300000000000011</v>
      </c>
      <c r="H44" s="51">
        <f>SUM(H46:H49)</f>
        <v>90</v>
      </c>
      <c r="I44" s="51">
        <f t="shared" ref="I44:N44" si="33">SUM(I46:I49)</f>
        <v>95</v>
      </c>
      <c r="J44" s="51">
        <f t="shared" si="33"/>
        <v>119</v>
      </c>
      <c r="K44" s="51">
        <f>SUM(K46:K49)</f>
        <v>91</v>
      </c>
      <c r="L44" s="51">
        <f t="shared" si="33"/>
        <v>0</v>
      </c>
      <c r="M44" s="51">
        <f t="shared" si="33"/>
        <v>0</v>
      </c>
      <c r="N44" s="51">
        <f t="shared" si="33"/>
        <v>0</v>
      </c>
    </row>
    <row r="45" spans="2:14" ht="25.5">
      <c r="B45" s="51" t="s">
        <v>112</v>
      </c>
      <c r="C45" s="51">
        <f>+C46+C47+C48</f>
        <v>0</v>
      </c>
      <c r="D45" s="51">
        <f t="shared" ref="D45:N45" si="34">+D46+D47+D48</f>
        <v>0</v>
      </c>
      <c r="E45" s="51">
        <f t="shared" si="34"/>
        <v>0</v>
      </c>
      <c r="F45" s="51">
        <f t="shared" si="34"/>
        <v>55</v>
      </c>
      <c r="G45" s="51">
        <f t="shared" si="34"/>
        <v>42.300000000000004</v>
      </c>
      <c r="H45" s="51">
        <f t="shared" si="34"/>
        <v>90</v>
      </c>
      <c r="I45" s="51">
        <f t="shared" si="34"/>
        <v>95</v>
      </c>
      <c r="J45" s="51">
        <f>+J46+J47+J48</f>
        <v>119</v>
      </c>
      <c r="K45" s="51">
        <f>+K46+K47+K48</f>
        <v>91</v>
      </c>
      <c r="L45" s="51">
        <f t="shared" si="34"/>
        <v>0</v>
      </c>
      <c r="M45" s="51">
        <f t="shared" si="34"/>
        <v>0</v>
      </c>
      <c r="N45" s="51">
        <f t="shared" si="34"/>
        <v>0</v>
      </c>
    </row>
    <row r="46" spans="2:14" ht="18">
      <c r="B46" s="135" t="s">
        <v>114</v>
      </c>
      <c r="C46" s="94"/>
      <c r="D46" s="94"/>
      <c r="E46" s="777"/>
      <c r="F46" s="777">
        <v>20.55218</v>
      </c>
      <c r="G46" s="777">
        <v>12.142289999999999</v>
      </c>
      <c r="H46" s="777">
        <v>30</v>
      </c>
      <c r="I46" s="777">
        <v>25</v>
      </c>
      <c r="J46" s="777">
        <v>34</v>
      </c>
      <c r="K46" s="777">
        <v>31</v>
      </c>
      <c r="L46" s="155"/>
      <c r="M46" s="155"/>
      <c r="N46" s="155"/>
    </row>
    <row r="47" spans="2:14" ht="18">
      <c r="B47" s="135" t="s">
        <v>115</v>
      </c>
      <c r="C47" s="94"/>
      <c r="D47" s="94"/>
      <c r="E47" s="777"/>
      <c r="F47" s="777"/>
      <c r="G47" s="777">
        <v>30</v>
      </c>
      <c r="H47" s="777">
        <v>60</v>
      </c>
      <c r="I47" s="777">
        <v>70</v>
      </c>
      <c r="J47" s="777">
        <v>85</v>
      </c>
      <c r="K47" s="777">
        <v>60</v>
      </c>
      <c r="L47" s="155"/>
      <c r="M47" s="155"/>
      <c r="N47" s="155"/>
    </row>
    <row r="48" spans="2:14" ht="18">
      <c r="B48" s="135" t="s">
        <v>116</v>
      </c>
      <c r="C48" s="94"/>
      <c r="D48" s="94"/>
      <c r="E48" s="777"/>
      <c r="F48" s="777">
        <v>34.44782</v>
      </c>
      <c r="G48" s="777">
        <v>0.15770999999999999</v>
      </c>
      <c r="H48" s="777"/>
      <c r="I48" s="777"/>
      <c r="J48" s="777"/>
      <c r="K48" s="777"/>
      <c r="L48" s="155"/>
      <c r="M48" s="155"/>
      <c r="N48" s="155"/>
    </row>
    <row r="49" spans="2:16" ht="18">
      <c r="B49" s="135" t="s">
        <v>117</v>
      </c>
      <c r="C49" s="94"/>
      <c r="D49" s="94"/>
      <c r="E49" s="777"/>
      <c r="F49" s="777"/>
      <c r="G49" s="777">
        <v>30</v>
      </c>
      <c r="H49" s="777"/>
      <c r="I49" s="777"/>
      <c r="J49" s="777"/>
      <c r="K49" s="777"/>
      <c r="L49" s="94"/>
      <c r="M49" s="94"/>
      <c r="N49" s="94"/>
    </row>
    <row r="50" spans="2:16" s="718" customFormat="1" ht="25.5">
      <c r="B50" s="51" t="s">
        <v>119</v>
      </c>
      <c r="C50" s="51">
        <f>SUM(C52:C55)</f>
        <v>0</v>
      </c>
      <c r="D50" s="51">
        <f t="shared" ref="D50:N50" si="35">SUM(D52:D55)</f>
        <v>0</v>
      </c>
      <c r="E50" s="51">
        <f t="shared" si="35"/>
        <v>55</v>
      </c>
      <c r="F50" s="51">
        <f t="shared" si="35"/>
        <v>12.299999999999999</v>
      </c>
      <c r="G50" s="51">
        <f t="shared" si="35"/>
        <v>90</v>
      </c>
      <c r="H50" s="51">
        <f t="shared" si="35"/>
        <v>85</v>
      </c>
      <c r="I50" s="51">
        <f t="shared" si="35"/>
        <v>104</v>
      </c>
      <c r="J50" s="51">
        <f t="shared" si="35"/>
        <v>116</v>
      </c>
      <c r="K50" s="51">
        <f t="shared" si="35"/>
        <v>60</v>
      </c>
      <c r="L50" s="51">
        <f t="shared" si="35"/>
        <v>0</v>
      </c>
      <c r="M50" s="51">
        <f t="shared" si="35"/>
        <v>0</v>
      </c>
      <c r="N50" s="51">
        <f t="shared" si="35"/>
        <v>0</v>
      </c>
    </row>
    <row r="51" spans="2:16" s="718" customFormat="1" ht="25.5">
      <c r="B51" s="51" t="s">
        <v>120</v>
      </c>
      <c r="C51" s="51">
        <f>+C52+C53+C54</f>
        <v>0</v>
      </c>
      <c r="D51" s="51">
        <f t="shared" ref="D51:N51" si="36">+D52+D53+D54</f>
        <v>0</v>
      </c>
      <c r="E51" s="51">
        <f t="shared" si="36"/>
        <v>55</v>
      </c>
      <c r="F51" s="51">
        <f t="shared" si="36"/>
        <v>12.299999999999999</v>
      </c>
      <c r="G51" s="51">
        <f t="shared" si="36"/>
        <v>60</v>
      </c>
      <c r="H51" s="51">
        <f t="shared" si="36"/>
        <v>85</v>
      </c>
      <c r="I51" s="51">
        <f t="shared" si="36"/>
        <v>104</v>
      </c>
      <c r="J51" s="51">
        <f t="shared" si="36"/>
        <v>116</v>
      </c>
      <c r="K51" s="51">
        <f t="shared" si="36"/>
        <v>60</v>
      </c>
      <c r="L51" s="51">
        <f t="shared" si="36"/>
        <v>0</v>
      </c>
      <c r="M51" s="51">
        <f t="shared" si="36"/>
        <v>0</v>
      </c>
      <c r="N51" s="51">
        <f t="shared" si="36"/>
        <v>0</v>
      </c>
    </row>
    <row r="52" spans="2:16" ht="18">
      <c r="B52" s="135" t="s">
        <v>121</v>
      </c>
      <c r="C52" s="94"/>
      <c r="D52" s="94"/>
      <c r="E52" s="777">
        <v>20.55218</v>
      </c>
      <c r="F52" s="777">
        <v>12.142289999999999</v>
      </c>
      <c r="G52" s="777">
        <v>30</v>
      </c>
      <c r="H52" s="777">
        <v>25</v>
      </c>
      <c r="I52" s="777">
        <v>34</v>
      </c>
      <c r="J52" s="777">
        <v>31</v>
      </c>
      <c r="K52" s="777"/>
      <c r="L52" s="94"/>
      <c r="M52" s="94"/>
      <c r="N52" s="94"/>
    </row>
    <row r="53" spans="2:16" ht="18">
      <c r="B53" s="135" t="s">
        <v>122</v>
      </c>
      <c r="C53" s="94"/>
      <c r="D53" s="94"/>
      <c r="E53" s="777"/>
      <c r="F53" s="777"/>
      <c r="G53" s="777">
        <v>30</v>
      </c>
      <c r="H53" s="777">
        <v>60</v>
      </c>
      <c r="I53" s="777">
        <v>70</v>
      </c>
      <c r="J53" s="777">
        <v>85</v>
      </c>
      <c r="K53" s="777">
        <v>60</v>
      </c>
      <c r="L53" s="94"/>
      <c r="M53" s="94"/>
      <c r="N53" s="94"/>
    </row>
    <row r="54" spans="2:16" ht="18">
      <c r="B54" s="135" t="s">
        <v>123</v>
      </c>
      <c r="C54" s="94"/>
      <c r="D54" s="94"/>
      <c r="E54" s="777">
        <v>34.44782</v>
      </c>
      <c r="F54" s="777">
        <v>0.15770999999999999</v>
      </c>
      <c r="G54" s="777"/>
      <c r="H54" s="777"/>
      <c r="I54" s="777"/>
      <c r="J54" s="777"/>
      <c r="K54" s="777"/>
      <c r="L54" s="94"/>
      <c r="M54" s="94"/>
      <c r="N54" s="94"/>
    </row>
    <row r="55" spans="2:16" ht="18">
      <c r="B55" s="135" t="s">
        <v>124</v>
      </c>
      <c r="C55" s="94"/>
      <c r="D55" s="94"/>
      <c r="E55" s="777"/>
      <c r="F55" s="777"/>
      <c r="G55" s="777">
        <v>30</v>
      </c>
      <c r="H55" s="777"/>
      <c r="I55" s="777"/>
      <c r="J55" s="777"/>
      <c r="K55" s="777"/>
      <c r="L55" s="94"/>
      <c r="M55" s="94"/>
      <c r="N55" s="94"/>
    </row>
    <row r="56" spans="2:16" ht="25.5">
      <c r="B56" s="541" t="s">
        <v>167</v>
      </c>
      <c r="C56" s="99" t="e">
        <f>(C52+C53+C54)/C40</f>
        <v>#DIV/0!</v>
      </c>
      <c r="D56" s="99" t="e">
        <f t="shared" ref="D56:N56" si="37">(D52+D53+D54)/D40</f>
        <v>#DIV/0!</v>
      </c>
      <c r="E56" s="99">
        <f t="shared" si="37"/>
        <v>0.19024558976132824</v>
      </c>
      <c r="F56" s="99">
        <f t="shared" ref="F56:K56" si="38">(F52+F53+F54)/F40</f>
        <v>8.4016393442622947E-2</v>
      </c>
      <c r="G56" s="778">
        <f t="shared" si="38"/>
        <v>1.263157894736842</v>
      </c>
      <c r="H56" s="99">
        <f t="shared" si="38"/>
        <v>0.79737335834896816</v>
      </c>
      <c r="I56" s="99">
        <f t="shared" si="38"/>
        <v>0.94717668488160289</v>
      </c>
      <c r="J56" s="99">
        <f t="shared" si="38"/>
        <v>0.74121405750798719</v>
      </c>
      <c r="K56" s="99">
        <f t="shared" si="38"/>
        <v>0.33670033670033672</v>
      </c>
      <c r="L56" s="99" t="e">
        <f t="shared" si="37"/>
        <v>#DIV/0!</v>
      </c>
      <c r="M56" s="99" t="e">
        <f t="shared" si="37"/>
        <v>#DIV/0!</v>
      </c>
      <c r="N56" s="99" t="e">
        <f t="shared" si="37"/>
        <v>#DIV/0!</v>
      </c>
    </row>
    <row r="57" spans="2:16" ht="28.5">
      <c r="B57" s="540" t="s">
        <v>303</v>
      </c>
      <c r="C57" s="54">
        <f>AVERAGE(H56:J56)</f>
        <v>0.82858803357951938</v>
      </c>
      <c r="D57" s="54"/>
      <c r="E57" s="54"/>
      <c r="F57" s="54"/>
      <c r="G57" s="54"/>
      <c r="H57" s="54"/>
      <c r="I57" s="54"/>
      <c r="J57" s="54"/>
      <c r="K57" s="54"/>
      <c r="L57" s="54"/>
      <c r="M57" s="54"/>
      <c r="N57" s="54"/>
    </row>
    <row r="58" spans="2:16" ht="25.5">
      <c r="B58" s="541" t="s">
        <v>299</v>
      </c>
      <c r="C58" s="99" t="e">
        <f>+D45/C19</f>
        <v>#DIV/0!</v>
      </c>
      <c r="D58" s="99" t="e">
        <f t="shared" ref="D58:N58" si="39">+E45/D19</f>
        <v>#DIV/0!</v>
      </c>
      <c r="E58" s="99">
        <f>+F45/E19</f>
        <v>3.3208549692066172E-2</v>
      </c>
      <c r="F58" s="99">
        <f>+G45/F19</f>
        <v>3.7154150197628459E-2</v>
      </c>
      <c r="G58" s="99">
        <f t="shared" si="39"/>
        <v>8.9020771513353122E-2</v>
      </c>
      <c r="H58" s="99">
        <f t="shared" si="39"/>
        <v>7.0959067821930094E-2</v>
      </c>
      <c r="I58" s="99">
        <f>+J45/I19</f>
        <v>8.4397163120567373E-2</v>
      </c>
      <c r="J58" s="99">
        <f>+K45/J19</f>
        <v>5.8483290488431879E-2</v>
      </c>
      <c r="K58" s="99">
        <f t="shared" si="39"/>
        <v>0</v>
      </c>
      <c r="L58" s="99" t="e">
        <f t="shared" si="39"/>
        <v>#DIV/0!</v>
      </c>
      <c r="M58" s="99" t="e">
        <f t="shared" si="39"/>
        <v>#DIV/0!</v>
      </c>
      <c r="N58" s="99" t="e">
        <f t="shared" si="39"/>
        <v>#DIV/0!</v>
      </c>
    </row>
    <row r="59" spans="2:16" ht="25.5">
      <c r="B59" s="542" t="s">
        <v>384</v>
      </c>
      <c r="C59" s="534">
        <f>AVERAGE(H58:J58)</f>
        <v>7.1279840476976442E-2</v>
      </c>
      <c r="D59" s="534"/>
      <c r="E59" s="534"/>
      <c r="F59" s="534"/>
      <c r="G59" s="534"/>
      <c r="H59" s="534"/>
      <c r="I59" s="534"/>
      <c r="J59" s="534"/>
      <c r="K59" s="534"/>
      <c r="L59" s="534"/>
      <c r="M59" s="534"/>
      <c r="N59" s="534"/>
      <c r="O59" s="534"/>
      <c r="P59" s="534"/>
    </row>
    <row r="60" spans="2:16" ht="25.5">
      <c r="B60" s="543" t="s">
        <v>176</v>
      </c>
      <c r="C60" s="355" t="e">
        <f t="shared" ref="C60:F60" si="40">C41*(1-IF(C56&gt;1,1,C56))</f>
        <v>#DIV/0!</v>
      </c>
      <c r="D60" s="355" t="e">
        <f t="shared" si="40"/>
        <v>#DIV/0!</v>
      </c>
      <c r="E60" s="355">
        <f t="shared" si="40"/>
        <v>0.12966966552836445</v>
      </c>
      <c r="F60" s="355">
        <f t="shared" si="40"/>
        <v>8.5327995478117161E-2</v>
      </c>
      <c r="G60" s="355">
        <f>G41*(1-IF(G56&gt;1,1,G56))</f>
        <v>0</v>
      </c>
      <c r="H60" s="355">
        <f t="shared" ref="H60:N60" si="41">H41*(1-IF(H56&gt;1,1,H56))</f>
        <v>1.3742067971292939E-2</v>
      </c>
      <c r="I60" s="355">
        <f t="shared" si="41"/>
        <v>3.6200716852338882E-3</v>
      </c>
      <c r="J60" s="355">
        <f t="shared" si="41"/>
        <v>2.4423073917221115E-2</v>
      </c>
      <c r="K60" s="355">
        <f t="shared" si="41"/>
        <v>6.7219259104283488E-2</v>
      </c>
      <c r="L60" s="355" t="e">
        <f t="shared" si="41"/>
        <v>#DIV/0!</v>
      </c>
      <c r="M60" s="355" t="e">
        <f t="shared" si="41"/>
        <v>#DIV/0!</v>
      </c>
      <c r="N60" s="355" t="e">
        <f t="shared" si="41"/>
        <v>#DIV/0!</v>
      </c>
    </row>
    <row r="61" spans="2:16" ht="25.5">
      <c r="B61" s="542" t="s">
        <v>306</v>
      </c>
      <c r="C61" s="534">
        <f>AVERAGE(H60:J60)</f>
        <v>1.3928404524582647E-2</v>
      </c>
      <c r="D61" s="534"/>
      <c r="E61" s="534"/>
      <c r="F61" s="534"/>
      <c r="G61" s="534"/>
      <c r="H61" s="534"/>
      <c r="I61" s="534"/>
      <c r="J61" s="534"/>
      <c r="K61" s="534"/>
      <c r="L61" s="534"/>
      <c r="M61" s="534"/>
      <c r="N61" s="534"/>
      <c r="O61" s="534"/>
    </row>
    <row r="62" spans="2:16" ht="25.5">
      <c r="B62" s="543" t="s">
        <v>300</v>
      </c>
      <c r="C62" s="725">
        <f ca="1">B3</f>
        <v>2200</v>
      </c>
      <c r="D62" s="534"/>
      <c r="E62" s="534"/>
      <c r="F62" s="534"/>
      <c r="G62" s="534"/>
      <c r="H62" s="534"/>
      <c r="I62" s="534"/>
      <c r="J62" s="534"/>
      <c r="K62" s="534"/>
      <c r="L62" s="534"/>
      <c r="M62" s="534"/>
      <c r="N62" s="534"/>
      <c r="O62" s="534"/>
    </row>
    <row r="64" spans="2:16">
      <c r="B64" s="75" t="s">
        <v>307</v>
      </c>
    </row>
    <row r="66" spans="2:14">
      <c r="B66" s="57" t="s">
        <v>385</v>
      </c>
      <c r="C66" s="158">
        <v>2017</v>
      </c>
      <c r="D66" s="158">
        <v>2018</v>
      </c>
      <c r="E66" s="158">
        <v>2019</v>
      </c>
      <c r="F66" s="158">
        <v>2020</v>
      </c>
      <c r="G66" s="158">
        <v>2021</v>
      </c>
      <c r="H66" s="158">
        <v>2022</v>
      </c>
      <c r="I66" s="158">
        <v>2023</v>
      </c>
      <c r="J66" s="158">
        <v>2024</v>
      </c>
      <c r="K66" s="158">
        <v>2025</v>
      </c>
      <c r="L66" s="158">
        <v>2026</v>
      </c>
      <c r="M66" s="158">
        <v>2027</v>
      </c>
      <c r="N66" s="158">
        <v>2028</v>
      </c>
    </row>
    <row r="67" spans="2:14">
      <c r="B67" s="157" t="s">
        <v>309</v>
      </c>
      <c r="C67" s="66"/>
      <c r="D67" s="66"/>
      <c r="E67" s="66"/>
      <c r="F67" s="66"/>
      <c r="G67" s="66"/>
      <c r="H67" s="66"/>
      <c r="I67" s="66"/>
      <c r="J67" s="66"/>
      <c r="K67" s="66"/>
      <c r="L67" s="66"/>
      <c r="M67" s="66"/>
      <c r="N67" s="66"/>
    </row>
    <row r="68" spans="2:14">
      <c r="B68" s="58" t="s">
        <v>310</v>
      </c>
      <c r="C68" s="64"/>
      <c r="D68" s="64"/>
      <c r="E68" s="64">
        <v>136000289000</v>
      </c>
      <c r="F68" s="64">
        <v>93751466000</v>
      </c>
      <c r="G68" s="64">
        <v>129575509000</v>
      </c>
      <c r="H68" s="64">
        <v>148858514000</v>
      </c>
      <c r="I68" s="64">
        <v>163241984000</v>
      </c>
      <c r="J68" s="64">
        <v>151627341000</v>
      </c>
      <c r="K68" s="64">
        <v>81683884000</v>
      </c>
      <c r="L68" s="64"/>
      <c r="M68" s="64"/>
      <c r="N68" s="64"/>
    </row>
    <row r="69" spans="2:14">
      <c r="B69" s="59" t="s">
        <v>386</v>
      </c>
      <c r="C69" s="66"/>
      <c r="D69" s="66"/>
      <c r="E69" s="66">
        <v>8883465000</v>
      </c>
      <c r="F69">
        <v>23410823000</v>
      </c>
      <c r="G69" s="66">
        <v>26147548000</v>
      </c>
      <c r="H69" s="66">
        <v>46100451000</v>
      </c>
      <c r="I69" s="66">
        <v>52508911000</v>
      </c>
      <c r="J69" s="66">
        <v>115011660000</v>
      </c>
      <c r="K69" s="66">
        <v>44347593000</v>
      </c>
      <c r="L69" s="66"/>
      <c r="M69" s="66"/>
      <c r="N69" s="66"/>
    </row>
    <row r="70" spans="2:14">
      <c r="B70" s="59" t="s">
        <v>387</v>
      </c>
      <c r="C70" s="66"/>
      <c r="D70" s="66"/>
      <c r="E70">
        <v>91983146000</v>
      </c>
      <c r="F70" s="66">
        <v>41759240000</v>
      </c>
      <c r="G70" s="66">
        <v>52205434000</v>
      </c>
      <c r="H70" s="66">
        <v>52864391000</v>
      </c>
      <c r="I70" s="66">
        <v>63940752000</v>
      </c>
      <c r="J70" s="66">
        <v>40180000</v>
      </c>
      <c r="K70" s="66">
        <v>7012000</v>
      </c>
      <c r="L70" s="66"/>
      <c r="M70" s="66"/>
      <c r="N70" s="66"/>
    </row>
    <row r="71" spans="2:14">
      <c r="B71" s="59" t="s">
        <v>388</v>
      </c>
      <c r="C71" s="66"/>
      <c r="D71" s="66"/>
      <c r="E71" s="66">
        <v>76517000</v>
      </c>
      <c r="F71">
        <v>90852000</v>
      </c>
      <c r="G71" s="66">
        <v>87506000</v>
      </c>
      <c r="H71" s="66">
        <v>114532000</v>
      </c>
      <c r="I71" s="66">
        <v>609532000</v>
      </c>
      <c r="J71" s="66">
        <v>816241000</v>
      </c>
      <c r="K71" s="66">
        <v>1200728000</v>
      </c>
      <c r="L71" s="66"/>
      <c r="M71" s="66"/>
      <c r="N71" s="66"/>
    </row>
    <row r="72" spans="2:14">
      <c r="B72" s="59" t="s">
        <v>389</v>
      </c>
      <c r="C72" s="66"/>
      <c r="D72" s="66"/>
      <c r="E72" s="66">
        <v>25687274000</v>
      </c>
      <c r="F72" s="66">
        <v>20012450000</v>
      </c>
      <c r="G72" s="66">
        <v>20764754000</v>
      </c>
      <c r="H72" s="66">
        <v>22004326000</v>
      </c>
      <c r="I72" s="66">
        <v>18087162000</v>
      </c>
      <c r="J72" s="66">
        <v>23847482000</v>
      </c>
      <c r="K72" s="66">
        <v>25795090000</v>
      </c>
      <c r="L72" s="66"/>
      <c r="M72" s="66"/>
      <c r="N72" s="66"/>
    </row>
    <row r="73" spans="2:14">
      <c r="B73" s="59" t="s">
        <v>390</v>
      </c>
      <c r="C73" s="66"/>
      <c r="D73" s="66"/>
      <c r="E73" s="66">
        <v>3811448000</v>
      </c>
      <c r="F73" s="66">
        <v>5811333000</v>
      </c>
      <c r="G73" s="66">
        <v>9707831000</v>
      </c>
      <c r="H73" s="66">
        <v>8862965000</v>
      </c>
      <c r="I73" s="66">
        <v>10072231000</v>
      </c>
      <c r="J73" s="66">
        <v>10738824000</v>
      </c>
      <c r="K73" s="66">
        <v>9357105000</v>
      </c>
      <c r="L73" s="66"/>
      <c r="M73" s="66"/>
      <c r="N73" s="66"/>
    </row>
    <row r="74" spans="2:14">
      <c r="B74" s="59" t="s">
        <v>391</v>
      </c>
      <c r="C74" s="161"/>
      <c r="D74" s="161"/>
      <c r="E74" s="161"/>
      <c r="F74" s="161"/>
      <c r="G74" s="161"/>
      <c r="H74" s="161"/>
      <c r="I74" s="161"/>
      <c r="J74" s="161"/>
      <c r="K74" s="161"/>
      <c r="L74" s="161"/>
      <c r="M74" s="161"/>
      <c r="N74" s="161"/>
    </row>
    <row r="75" spans="2:14">
      <c r="B75" s="59" t="s">
        <v>392</v>
      </c>
      <c r="C75" s="66"/>
      <c r="D75" s="66"/>
      <c r="E75" s="66">
        <v>5558439000</v>
      </c>
      <c r="F75" s="66">
        <v>2666768000</v>
      </c>
      <c r="G75" s="66">
        <v>20662436000</v>
      </c>
      <c r="H75" s="66">
        <v>18911849000</v>
      </c>
      <c r="I75" s="161">
        <v>18023396000</v>
      </c>
      <c r="J75" s="66">
        <v>1172954000</v>
      </c>
      <c r="K75" s="66">
        <v>976356000</v>
      </c>
      <c r="L75" s="66"/>
      <c r="M75" s="66"/>
      <c r="N75" s="66"/>
    </row>
    <row r="76" spans="2:14">
      <c r="B76" s="59" t="s">
        <v>318</v>
      </c>
      <c r="C76" s="66">
        <f t="shared" ref="C76" si="42">+C68-C69-C74-C75-C73-C72-C71-C70</f>
        <v>0</v>
      </c>
      <c r="D76" s="66">
        <f t="shared" ref="D76:N76" si="43">+D68-D69-D74-D75-D73-D72-D71-D70</f>
        <v>0</v>
      </c>
      <c r="E76" s="66">
        <f t="shared" si="43"/>
        <v>0</v>
      </c>
      <c r="F76" s="66">
        <f t="shared" si="43"/>
        <v>0</v>
      </c>
      <c r="G76" s="66">
        <f t="shared" si="43"/>
        <v>0</v>
      </c>
      <c r="H76" s="66">
        <f t="shared" si="43"/>
        <v>0</v>
      </c>
      <c r="I76" s="66">
        <f t="shared" si="43"/>
        <v>0</v>
      </c>
      <c r="J76" s="66">
        <f t="shared" si="43"/>
        <v>0</v>
      </c>
      <c r="K76" s="66">
        <f t="shared" si="43"/>
        <v>0</v>
      </c>
      <c r="L76" s="66">
        <f t="shared" si="43"/>
        <v>0</v>
      </c>
      <c r="M76" s="66">
        <f t="shared" si="43"/>
        <v>0</v>
      </c>
      <c r="N76" s="66">
        <f t="shared" si="43"/>
        <v>0</v>
      </c>
    </row>
    <row r="77" spans="2:14">
      <c r="B77" s="58" t="s">
        <v>319</v>
      </c>
      <c r="C77" s="64"/>
      <c r="D77" s="64"/>
      <c r="E77" s="64">
        <v>3660864525000</v>
      </c>
      <c r="F77" s="64">
        <v>3884646706000</v>
      </c>
      <c r="G77" s="64">
        <v>3843616485000</v>
      </c>
      <c r="H77" s="64">
        <v>3911117698000</v>
      </c>
      <c r="I77" s="64">
        <v>3984453610000</v>
      </c>
      <c r="J77" s="64">
        <v>4139528338000</v>
      </c>
      <c r="K77" s="64">
        <v>4419773193000</v>
      </c>
      <c r="L77" s="64"/>
      <c r="M77" s="64"/>
      <c r="N77" s="64"/>
    </row>
    <row r="78" spans="2:14">
      <c r="B78" s="59" t="s">
        <v>393</v>
      </c>
      <c r="C78" s="66"/>
      <c r="D78" s="66"/>
      <c r="E78" s="66">
        <v>5234806000</v>
      </c>
      <c r="F78" s="66">
        <v>5316805000</v>
      </c>
      <c r="G78" s="66">
        <v>5555992000</v>
      </c>
      <c r="H78" s="66">
        <v>4585000000</v>
      </c>
      <c r="I78" s="66">
        <v>4778963000</v>
      </c>
      <c r="J78" s="66">
        <v>3748326000</v>
      </c>
      <c r="K78" s="66">
        <v>3716338000</v>
      </c>
      <c r="L78" s="66"/>
      <c r="M78" s="66"/>
      <c r="N78" s="66"/>
    </row>
    <row r="79" spans="2:14">
      <c r="B79" s="59" t="s">
        <v>394</v>
      </c>
      <c r="C79" s="66"/>
      <c r="D79" s="66"/>
      <c r="E79" s="66"/>
      <c r="F79" s="66"/>
      <c r="G79" s="66"/>
      <c r="H79" s="66"/>
      <c r="I79" s="66"/>
      <c r="J79" s="66"/>
      <c r="K79" s="66"/>
      <c r="L79" s="66"/>
      <c r="M79" s="66"/>
      <c r="N79" s="66"/>
    </row>
    <row r="80" spans="2:14">
      <c r="B80" s="59" t="s">
        <v>377</v>
      </c>
      <c r="C80" s="66"/>
      <c r="D80" s="66"/>
      <c r="E80" s="66"/>
      <c r="F80" s="66"/>
      <c r="G80" s="66"/>
      <c r="H80" s="66"/>
      <c r="I80" s="66"/>
      <c r="J80" s="66"/>
      <c r="K80" s="66"/>
      <c r="L80" s="66"/>
      <c r="M80" s="66"/>
      <c r="N80" s="66"/>
    </row>
    <row r="81" spans="2:14">
      <c r="B81" s="59" t="s">
        <v>484</v>
      </c>
      <c r="C81" s="66"/>
      <c r="D81" s="66"/>
      <c r="E81" s="66"/>
      <c r="F81" s="66"/>
      <c r="G81" s="66"/>
      <c r="H81" s="66"/>
      <c r="I81" s="66"/>
      <c r="J81" s="66"/>
      <c r="K81" s="66"/>
      <c r="L81" s="66"/>
      <c r="M81" s="66"/>
      <c r="N81" s="66"/>
    </row>
    <row r="82" spans="2:14">
      <c r="B82" s="59" t="s">
        <v>487</v>
      </c>
      <c r="C82" s="66"/>
      <c r="D82" s="66"/>
      <c r="E82" s="66"/>
      <c r="F82" s="66"/>
      <c r="G82" s="66"/>
      <c r="H82" s="66"/>
      <c r="I82" s="66"/>
      <c r="J82" s="66"/>
      <c r="K82" s="66"/>
      <c r="L82" s="66"/>
      <c r="M82" s="66"/>
      <c r="N82" s="66"/>
    </row>
    <row r="83" spans="2:14">
      <c r="B83" s="59" t="s">
        <v>522</v>
      </c>
      <c r="C83" s="66"/>
      <c r="D83" s="66"/>
      <c r="E83" s="66">
        <v>402874000</v>
      </c>
      <c r="F83" s="66">
        <v>305136000</v>
      </c>
      <c r="G83" s="66">
        <v>438269000</v>
      </c>
      <c r="H83" s="66">
        <v>721341000</v>
      </c>
      <c r="I83" s="66">
        <v>1538573000</v>
      </c>
      <c r="J83" s="66">
        <v>2279273000</v>
      </c>
      <c r="K83" s="66">
        <v>3608260000</v>
      </c>
      <c r="L83" s="66"/>
      <c r="M83" s="66"/>
      <c r="N83" s="66"/>
    </row>
    <row r="84" spans="2:14">
      <c r="B84" s="59" t="s">
        <v>396</v>
      </c>
      <c r="C84" s="66"/>
      <c r="D84" s="66"/>
      <c r="E84" s="66"/>
      <c r="F84" s="66"/>
      <c r="G84" s="66"/>
      <c r="H84" s="66"/>
      <c r="I84" s="66"/>
      <c r="J84" s="66"/>
      <c r="K84" s="66"/>
      <c r="L84" s="66"/>
      <c r="M84" s="66"/>
      <c r="N84" s="66"/>
    </row>
    <row r="85" spans="2:14">
      <c r="B85" s="59" t="s">
        <v>398</v>
      </c>
      <c r="C85" s="66"/>
      <c r="D85" s="66"/>
      <c r="E85" s="66">
        <v>3605593267000</v>
      </c>
      <c r="F85" s="66">
        <v>3831260458000</v>
      </c>
      <c r="G85" s="66">
        <v>3794629247000</v>
      </c>
      <c r="H85" s="66">
        <v>3871649123000</v>
      </c>
      <c r="I85" s="66">
        <v>3955476261000</v>
      </c>
      <c r="J85" s="66">
        <v>4122201796000</v>
      </c>
      <c r="K85" s="66">
        <v>4395015526000</v>
      </c>
      <c r="L85" s="66"/>
      <c r="M85" s="66"/>
      <c r="N85" s="66"/>
    </row>
    <row r="86" spans="2:14">
      <c r="B86" s="59" t="s">
        <v>523</v>
      </c>
      <c r="C86" s="66"/>
      <c r="D86" s="66"/>
      <c r="E86" s="66">
        <v>49633578000</v>
      </c>
      <c r="F86" s="66">
        <v>47764307000</v>
      </c>
      <c r="G86" s="66">
        <v>42992977000</v>
      </c>
      <c r="H86" s="66">
        <v>34162234000</v>
      </c>
      <c r="I86" s="66">
        <v>22659813000</v>
      </c>
      <c r="J86" s="66">
        <v>11298943000</v>
      </c>
      <c r="K86" s="66">
        <v>17433069000</v>
      </c>
      <c r="L86" s="66"/>
      <c r="M86" s="66"/>
      <c r="N86" s="66"/>
    </row>
    <row r="87" spans="2:14">
      <c r="B87" s="59" t="s">
        <v>328</v>
      </c>
      <c r="C87" s="66">
        <f t="shared" ref="C87" si="44">+C77-C84-C85-C83-C78-C86-C82-C81-C80-C79</f>
        <v>0</v>
      </c>
      <c r="D87" s="66">
        <f t="shared" ref="D87:N87" si="45">+D77-D84-D85-D83-D78-D86-D82-D81-D80-D79</f>
        <v>0</v>
      </c>
      <c r="E87" s="66">
        <f t="shared" si="45"/>
        <v>0</v>
      </c>
      <c r="F87" s="66">
        <f t="shared" si="45"/>
        <v>0</v>
      </c>
      <c r="G87" s="66">
        <f t="shared" si="45"/>
        <v>0</v>
      </c>
      <c r="H87" s="66">
        <f t="shared" si="45"/>
        <v>0</v>
      </c>
      <c r="I87" s="66">
        <f t="shared" si="45"/>
        <v>0</v>
      </c>
      <c r="J87" s="66">
        <f t="shared" si="45"/>
        <v>0</v>
      </c>
      <c r="K87" s="66">
        <f t="shared" si="45"/>
        <v>0</v>
      </c>
      <c r="L87" s="66">
        <f t="shared" si="45"/>
        <v>0</v>
      </c>
      <c r="M87" s="66">
        <f t="shared" si="45"/>
        <v>0</v>
      </c>
      <c r="N87" s="66">
        <f t="shared" si="45"/>
        <v>0</v>
      </c>
    </row>
    <row r="88" spans="2:14">
      <c r="B88" s="60" t="s">
        <v>329</v>
      </c>
      <c r="C88" s="70">
        <f t="shared" ref="C88" si="46">+C77+C68</f>
        <v>0</v>
      </c>
      <c r="D88" s="70">
        <f t="shared" ref="D88:N88" si="47">+D77+D68</f>
        <v>0</v>
      </c>
      <c r="E88" s="70">
        <f t="shared" si="47"/>
        <v>3796864814000</v>
      </c>
      <c r="F88" s="70">
        <f t="shared" si="47"/>
        <v>3978398172000</v>
      </c>
      <c r="G88" s="70">
        <f t="shared" si="47"/>
        <v>3973191994000</v>
      </c>
      <c r="H88" s="70">
        <f t="shared" si="47"/>
        <v>4059976212000</v>
      </c>
      <c r="I88" s="70">
        <f t="shared" si="47"/>
        <v>4147695594000</v>
      </c>
      <c r="J88" s="70">
        <f t="shared" si="47"/>
        <v>4291155679000</v>
      </c>
      <c r="K88" s="70">
        <f t="shared" si="47"/>
        <v>4501457077000</v>
      </c>
      <c r="L88" s="70">
        <f t="shared" si="47"/>
        <v>0</v>
      </c>
      <c r="M88" s="70">
        <f t="shared" si="47"/>
        <v>0</v>
      </c>
      <c r="N88" s="70">
        <f t="shared" si="47"/>
        <v>0</v>
      </c>
    </row>
    <row r="89" spans="2:14">
      <c r="B89" s="61"/>
      <c r="C89" s="72"/>
      <c r="D89" s="72"/>
      <c r="E89" s="72"/>
      <c r="F89" s="72"/>
      <c r="G89" s="72"/>
      <c r="H89" s="72"/>
      <c r="I89" s="72"/>
      <c r="J89" s="72"/>
      <c r="K89" s="72"/>
      <c r="L89" s="72"/>
      <c r="M89" s="72"/>
      <c r="N89" s="72"/>
    </row>
    <row r="90" spans="2:14">
      <c r="B90" s="57" t="s">
        <v>330</v>
      </c>
      <c r="C90" s="62"/>
      <c r="D90" s="62"/>
      <c r="E90" s="62"/>
      <c r="F90" s="62"/>
      <c r="G90" s="62"/>
      <c r="H90" s="62"/>
      <c r="I90" s="62"/>
      <c r="J90" s="62"/>
      <c r="K90" s="62"/>
      <c r="L90" s="62"/>
      <c r="M90" s="62"/>
      <c r="N90" s="62"/>
    </row>
    <row r="91" spans="2:14">
      <c r="B91" s="58" t="s">
        <v>310</v>
      </c>
      <c r="C91" s="64"/>
      <c r="D91" s="64"/>
      <c r="E91" s="64">
        <v>89743669000</v>
      </c>
      <c r="F91" s="64">
        <v>50291248000</v>
      </c>
      <c r="G91" s="64">
        <v>47745091000</v>
      </c>
      <c r="H91" s="64">
        <v>70364820000</v>
      </c>
      <c r="I91" s="64">
        <v>73151878000</v>
      </c>
      <c r="J91" s="64">
        <v>85630857000</v>
      </c>
      <c r="K91" s="64">
        <v>88002418000</v>
      </c>
      <c r="L91" s="64"/>
      <c r="M91" s="64"/>
      <c r="N91" s="64"/>
    </row>
    <row r="92" spans="2:14">
      <c r="B92" s="59" t="s">
        <v>525</v>
      </c>
      <c r="C92" s="66"/>
      <c r="D92" s="66"/>
      <c r="E92" s="66">
        <v>1925935000</v>
      </c>
      <c r="F92" s="66">
        <v>2118698000</v>
      </c>
      <c r="G92" s="66">
        <v>2552615000</v>
      </c>
      <c r="H92" s="66">
        <v>3415014000</v>
      </c>
      <c r="I92" s="66">
        <v>3704413000</v>
      </c>
      <c r="J92" s="66">
        <v>2545265000</v>
      </c>
      <c r="K92" s="66">
        <v>2632142000</v>
      </c>
      <c r="L92" s="66"/>
      <c r="M92" s="66"/>
      <c r="N92" s="66"/>
    </row>
    <row r="93" spans="2:14">
      <c r="B93" s="59" t="s">
        <v>403</v>
      </c>
      <c r="C93" s="66"/>
      <c r="D93" s="66"/>
      <c r="E93" s="66">
        <v>5371368000</v>
      </c>
      <c r="F93" s="66">
        <v>4013995000</v>
      </c>
      <c r="G93" s="66">
        <v>4500286000</v>
      </c>
      <c r="H93" s="66">
        <v>5784086000</v>
      </c>
      <c r="I93" s="66">
        <v>6287074000</v>
      </c>
      <c r="J93" s="66">
        <v>6914974000</v>
      </c>
      <c r="K93" s="66">
        <v>5975025000</v>
      </c>
      <c r="L93" s="66"/>
      <c r="M93" s="66"/>
      <c r="N93" s="66"/>
    </row>
    <row r="94" spans="2:14">
      <c r="B94" s="59" t="s">
        <v>405</v>
      </c>
      <c r="C94" s="66"/>
      <c r="D94" s="66"/>
      <c r="E94" s="66">
        <v>29282862000</v>
      </c>
      <c r="F94" s="66">
        <v>19385919000</v>
      </c>
      <c r="G94" s="66">
        <v>36734644000</v>
      </c>
      <c r="H94" s="66">
        <v>51322766000</v>
      </c>
      <c r="I94" s="66">
        <v>45118859000</v>
      </c>
      <c r="J94" s="66">
        <v>52459496000</v>
      </c>
      <c r="K94" s="66">
        <v>53898055000</v>
      </c>
      <c r="L94" s="66"/>
      <c r="M94" s="66"/>
      <c r="N94" s="66"/>
    </row>
    <row r="95" spans="2:14">
      <c r="B95" s="59" t="s">
        <v>526</v>
      </c>
      <c r="C95" s="66"/>
      <c r="D95" s="66"/>
      <c r="E95" s="66">
        <v>1960213000</v>
      </c>
      <c r="F95" s="66">
        <v>503768000</v>
      </c>
      <c r="G95" s="66">
        <v>568058000</v>
      </c>
      <c r="H95" s="66">
        <v>532507000</v>
      </c>
      <c r="I95" s="66">
        <v>608283000</v>
      </c>
      <c r="J95" s="66">
        <v>2053817000</v>
      </c>
      <c r="K95" s="66">
        <v>1710914000</v>
      </c>
      <c r="L95" s="66"/>
      <c r="M95" s="66"/>
      <c r="N95" s="66"/>
    </row>
    <row r="96" spans="2:14">
      <c r="B96" s="59" t="s">
        <v>675</v>
      </c>
      <c r="C96" s="66"/>
      <c r="D96" s="66"/>
      <c r="E96" s="66">
        <v>570007000</v>
      </c>
      <c r="F96" s="66">
        <v>710465000</v>
      </c>
      <c r="G96" s="66">
        <v>562630000</v>
      </c>
      <c r="H96" s="66">
        <v>1025947000</v>
      </c>
      <c r="I96" s="66">
        <v>882077000</v>
      </c>
      <c r="J96" s="66">
        <v>1055690000</v>
      </c>
      <c r="K96" s="66">
        <v>1049723000</v>
      </c>
      <c r="L96" s="66"/>
      <c r="M96" s="66"/>
      <c r="N96" s="66"/>
    </row>
    <row r="97" spans="2:14">
      <c r="B97" s="59" t="s">
        <v>408</v>
      </c>
      <c r="C97" s="66"/>
      <c r="D97" s="66"/>
      <c r="E97" s="66">
        <v>12122723000</v>
      </c>
      <c r="F97" s="66">
        <v>6946000</v>
      </c>
      <c r="G97" s="66">
        <v>6028000</v>
      </c>
      <c r="H97" s="66">
        <v>4363604000</v>
      </c>
      <c r="I97" s="66">
        <v>11750630000</v>
      </c>
      <c r="J97" s="66">
        <v>14640589000</v>
      </c>
      <c r="K97" s="66">
        <v>15480926000</v>
      </c>
      <c r="L97" s="66"/>
      <c r="M97" s="66"/>
      <c r="N97" s="66"/>
    </row>
    <row r="98" spans="2:14">
      <c r="B98" s="59" t="s">
        <v>495</v>
      </c>
      <c r="C98" s="66"/>
      <c r="D98" s="66"/>
      <c r="E98" s="66">
        <v>1536041000</v>
      </c>
      <c r="F98" s="66">
        <v>1229386000</v>
      </c>
      <c r="G98" s="66">
        <v>1540943000</v>
      </c>
      <c r="H98" s="66">
        <v>2378018000</v>
      </c>
      <c r="I98" s="66">
        <v>2812397000</v>
      </c>
      <c r="J98" s="66">
        <v>3225633000</v>
      </c>
      <c r="K98" s="66">
        <v>3792385000</v>
      </c>
      <c r="L98" s="66"/>
      <c r="M98" s="66"/>
      <c r="N98" s="66"/>
    </row>
    <row r="99" spans="2:14">
      <c r="B99" s="59" t="s">
        <v>676</v>
      </c>
      <c r="C99" s="66"/>
      <c r="D99" s="66"/>
      <c r="E99" s="66">
        <v>36974520000</v>
      </c>
      <c r="F99" s="66">
        <v>22322071000</v>
      </c>
      <c r="G99" s="66">
        <v>1279887000</v>
      </c>
      <c r="H99" s="66">
        <v>1542878000</v>
      </c>
      <c r="I99" s="66">
        <v>1988145000</v>
      </c>
      <c r="J99" s="66">
        <v>2735393000</v>
      </c>
      <c r="K99" s="66">
        <v>3463248000</v>
      </c>
      <c r="L99" s="66"/>
      <c r="M99" s="66"/>
      <c r="N99" s="66"/>
    </row>
    <row r="100" spans="2:14">
      <c r="B100" s="59" t="s">
        <v>410</v>
      </c>
      <c r="C100" s="66">
        <f t="shared" ref="C100" si="48">+C91-C92-C98-C99-C97-C96-C95-C94-C93</f>
        <v>0</v>
      </c>
      <c r="D100" s="66">
        <f t="shared" ref="D100:N100" si="49">+D91-D92-D98-D99-D97-D96-D95-D94-D93</f>
        <v>0</v>
      </c>
      <c r="E100" s="66">
        <f t="shared" si="49"/>
        <v>0</v>
      </c>
      <c r="F100" s="66">
        <f t="shared" ref="F100" si="50">+F91-F92-F98-F99-F97-F96-F95-F94-F93</f>
        <v>0</v>
      </c>
      <c r="G100" s="66">
        <f t="shared" si="49"/>
        <v>0</v>
      </c>
      <c r="H100" s="66">
        <f t="shared" si="49"/>
        <v>0</v>
      </c>
      <c r="I100" s="66">
        <f t="shared" si="49"/>
        <v>0</v>
      </c>
      <c r="J100" s="66">
        <f t="shared" si="49"/>
        <v>0</v>
      </c>
      <c r="K100" s="66">
        <f t="shared" si="49"/>
        <v>0</v>
      </c>
      <c r="L100" s="66">
        <f t="shared" si="49"/>
        <v>0</v>
      </c>
      <c r="M100" s="66">
        <f t="shared" si="49"/>
        <v>0</v>
      </c>
      <c r="N100" s="66">
        <f t="shared" si="49"/>
        <v>0</v>
      </c>
    </row>
    <row r="101" spans="2:14">
      <c r="B101" s="58" t="s">
        <v>319</v>
      </c>
      <c r="C101" s="64"/>
      <c r="D101" s="64"/>
      <c r="E101" s="64">
        <v>1169588149000</v>
      </c>
      <c r="F101" s="64">
        <v>1246121867000</v>
      </c>
      <c r="G101" s="64">
        <v>1257538284000</v>
      </c>
      <c r="H101" s="64">
        <v>1305035786000</v>
      </c>
      <c r="I101" s="64">
        <v>1323796983000</v>
      </c>
      <c r="J101" s="64">
        <v>1371025565000</v>
      </c>
      <c r="K101" s="64">
        <v>1418778651000</v>
      </c>
      <c r="L101" s="64"/>
      <c r="M101" s="64"/>
      <c r="N101" s="64"/>
    </row>
    <row r="102" spans="2:14">
      <c r="B102" s="59" t="s">
        <v>525</v>
      </c>
      <c r="C102" s="66"/>
      <c r="D102" s="66"/>
      <c r="E102" s="66">
        <v>542729580000</v>
      </c>
      <c r="F102" s="66">
        <v>556903672000</v>
      </c>
      <c r="G102" s="66">
        <v>593139763000</v>
      </c>
      <c r="H102" s="66">
        <v>671134623000</v>
      </c>
      <c r="I102" s="66">
        <v>702753144000</v>
      </c>
      <c r="J102" s="66">
        <v>734811853000</v>
      </c>
      <c r="K102" s="66">
        <v>759521589000</v>
      </c>
      <c r="L102" s="66"/>
      <c r="M102" s="66"/>
      <c r="N102" s="66"/>
    </row>
    <row r="103" spans="2:14">
      <c r="B103" s="59" t="s">
        <v>498</v>
      </c>
      <c r="C103" s="66"/>
      <c r="D103" s="66"/>
      <c r="E103" s="66">
        <v>60067126000</v>
      </c>
      <c r="F103" s="66">
        <v>59157575000</v>
      </c>
      <c r="G103" s="66">
        <v>59739343000</v>
      </c>
      <c r="H103" s="66">
        <v>55427609000</v>
      </c>
      <c r="I103" s="66">
        <v>53876016000</v>
      </c>
      <c r="J103" s="66">
        <v>50635523000</v>
      </c>
      <c r="K103" s="66">
        <v>45642249000</v>
      </c>
      <c r="L103" s="66"/>
      <c r="M103" s="66"/>
      <c r="N103" s="66"/>
    </row>
    <row r="104" spans="2:14">
      <c r="B104" s="59" t="s">
        <v>528</v>
      </c>
      <c r="C104" s="66"/>
      <c r="D104" s="66"/>
      <c r="E104" s="66">
        <v>7827000</v>
      </c>
      <c r="F104" s="66"/>
      <c r="G104" s="66">
        <v>909701000</v>
      </c>
      <c r="H104" s="66"/>
      <c r="I104" s="66"/>
      <c r="J104" s="66"/>
      <c r="K104" s="66"/>
      <c r="L104" s="66"/>
      <c r="M104" s="66"/>
      <c r="N104" s="66"/>
    </row>
    <row r="105" spans="2:14">
      <c r="B105" s="59" t="s">
        <v>407</v>
      </c>
      <c r="C105" s="66"/>
      <c r="D105" s="66"/>
      <c r="E105" s="66"/>
      <c r="F105" s="66"/>
      <c r="G105" s="66"/>
      <c r="H105" s="66"/>
      <c r="I105" s="66"/>
      <c r="J105" s="66"/>
      <c r="K105" s="66"/>
      <c r="L105" s="66"/>
      <c r="M105" s="66"/>
      <c r="N105" s="66"/>
    </row>
    <row r="106" spans="2:14">
      <c r="B106" s="59" t="s">
        <v>339</v>
      </c>
      <c r="C106" s="66"/>
      <c r="D106" s="66"/>
      <c r="E106" s="66">
        <v>557150228000</v>
      </c>
      <c r="F106" s="66">
        <v>618986420000</v>
      </c>
      <c r="G106" s="66">
        <v>591855086000</v>
      </c>
      <c r="H106" s="66">
        <v>564834070000</v>
      </c>
      <c r="I106" s="66">
        <v>553747579000</v>
      </c>
      <c r="J106" s="66">
        <v>571638689000</v>
      </c>
      <c r="K106" s="66">
        <v>599200391000</v>
      </c>
      <c r="L106" s="66"/>
      <c r="M106" s="66"/>
      <c r="N106" s="66"/>
    </row>
    <row r="107" spans="2:14">
      <c r="B107" s="59" t="s">
        <v>529</v>
      </c>
      <c r="C107" s="66"/>
      <c r="D107" s="66"/>
      <c r="E107" s="66"/>
      <c r="F107" s="66"/>
      <c r="G107" s="66"/>
      <c r="H107" s="66"/>
      <c r="I107" s="66"/>
      <c r="J107" s="66"/>
      <c r="K107" s="66"/>
      <c r="L107" s="66"/>
      <c r="M107" s="66"/>
      <c r="N107" s="66"/>
    </row>
    <row r="108" spans="2:14">
      <c r="B108" s="59" t="s">
        <v>530</v>
      </c>
      <c r="C108" s="66"/>
      <c r="D108" s="66"/>
      <c r="E108" s="66">
        <v>9633388000</v>
      </c>
      <c r="F108" s="66">
        <v>11074200000</v>
      </c>
      <c r="G108" s="66">
        <v>11894391000</v>
      </c>
      <c r="H108" s="66">
        <v>13639484000</v>
      </c>
      <c r="I108" s="66">
        <v>13420244000</v>
      </c>
      <c r="J108" s="66">
        <v>13939500000</v>
      </c>
      <c r="K108" s="66">
        <v>14275811000</v>
      </c>
      <c r="L108" s="66"/>
      <c r="M108" s="66"/>
      <c r="N108" s="66"/>
    </row>
    <row r="109" spans="2:14">
      <c r="B109" s="59" t="s">
        <v>531</v>
      </c>
      <c r="C109" s="66">
        <f t="shared" ref="C109" si="51">+C101-C102-C103-C104-C105-C106-C107-C108</f>
        <v>0</v>
      </c>
      <c r="D109" s="66">
        <f t="shared" ref="D109:N109" si="52">+D101-D102-D103-D104-D105-D106-D107-D108</f>
        <v>0</v>
      </c>
      <c r="E109" s="66">
        <f t="shared" si="52"/>
        <v>0</v>
      </c>
      <c r="F109" s="66">
        <f t="shared" si="52"/>
        <v>0</v>
      </c>
      <c r="G109" s="66">
        <f t="shared" si="52"/>
        <v>0</v>
      </c>
      <c r="H109" s="66">
        <f t="shared" si="52"/>
        <v>0</v>
      </c>
      <c r="I109" s="66">
        <f t="shared" si="52"/>
        <v>0</v>
      </c>
      <c r="J109" s="66">
        <f t="shared" si="52"/>
        <v>0</v>
      </c>
      <c r="K109" s="66">
        <f t="shared" si="52"/>
        <v>138611000</v>
      </c>
      <c r="L109" s="66">
        <f t="shared" si="52"/>
        <v>0</v>
      </c>
      <c r="M109" s="66">
        <f t="shared" si="52"/>
        <v>0</v>
      </c>
      <c r="N109" s="66">
        <f t="shared" si="52"/>
        <v>0</v>
      </c>
    </row>
    <row r="110" spans="2:14">
      <c r="B110" s="60" t="s">
        <v>342</v>
      </c>
      <c r="C110" s="70">
        <f t="shared" ref="C110" si="53">+C101+C91</f>
        <v>0</v>
      </c>
      <c r="D110" s="70">
        <f t="shared" ref="D110:N110" si="54">+D101+D91</f>
        <v>0</v>
      </c>
      <c r="E110" s="70">
        <f t="shared" si="54"/>
        <v>1259331818000</v>
      </c>
      <c r="F110" s="70">
        <f t="shared" si="54"/>
        <v>1296413115000</v>
      </c>
      <c r="G110" s="70">
        <f t="shared" si="54"/>
        <v>1305283375000</v>
      </c>
      <c r="H110" s="70">
        <f t="shared" si="54"/>
        <v>1375400606000</v>
      </c>
      <c r="I110" s="70">
        <f t="shared" si="54"/>
        <v>1396948861000</v>
      </c>
      <c r="J110" s="70">
        <f t="shared" si="54"/>
        <v>1456656422000</v>
      </c>
      <c r="K110" s="70">
        <f t="shared" si="54"/>
        <v>1506781069000</v>
      </c>
      <c r="L110" s="70">
        <f t="shared" si="54"/>
        <v>0</v>
      </c>
      <c r="M110" s="70">
        <f t="shared" si="54"/>
        <v>0</v>
      </c>
      <c r="N110" s="70">
        <f t="shared" si="54"/>
        <v>0</v>
      </c>
    </row>
    <row r="111" spans="2:14">
      <c r="B111" s="61"/>
      <c r="C111" s="61"/>
      <c r="D111" s="61"/>
      <c r="E111" s="61"/>
      <c r="F111" s="61"/>
      <c r="G111" s="61"/>
      <c r="H111" s="61"/>
      <c r="I111" s="61"/>
      <c r="J111" s="61"/>
      <c r="K111" s="61"/>
      <c r="L111" s="61"/>
      <c r="M111" s="61"/>
      <c r="N111" s="61"/>
    </row>
    <row r="112" spans="2:14">
      <c r="B112" s="57" t="s">
        <v>343</v>
      </c>
      <c r="C112" s="62"/>
      <c r="D112" s="62"/>
      <c r="E112" s="62"/>
      <c r="F112" s="62"/>
      <c r="G112" s="62"/>
      <c r="H112" s="62"/>
      <c r="I112" s="62"/>
      <c r="J112" s="62"/>
      <c r="K112" s="62"/>
      <c r="L112" s="62"/>
      <c r="M112" s="62"/>
      <c r="N112" s="62"/>
    </row>
    <row r="113" spans="2:14">
      <c r="B113" s="59" t="s">
        <v>532</v>
      </c>
      <c r="C113" s="160"/>
      <c r="D113" s="160"/>
      <c r="E113" s="160">
        <v>707171245000</v>
      </c>
      <c r="F113" s="160">
        <v>707171245000</v>
      </c>
      <c r="G113" s="160">
        <v>707171245000</v>
      </c>
      <c r="H113" s="160">
        <v>707171245000</v>
      </c>
      <c r="I113" s="160">
        <v>707171245000</v>
      </c>
      <c r="J113" s="160">
        <v>707171245000</v>
      </c>
      <c r="K113" s="160">
        <v>707171245000</v>
      </c>
      <c r="L113" s="160"/>
      <c r="M113" s="160"/>
      <c r="N113" s="160"/>
    </row>
    <row r="114" spans="2:14">
      <c r="B114" s="59" t="s">
        <v>533</v>
      </c>
      <c r="C114" s="66"/>
      <c r="D114" s="66"/>
      <c r="E114" s="66">
        <v>1474128865000</v>
      </c>
      <c r="F114" s="66">
        <v>1644379996000</v>
      </c>
      <c r="G114" s="66">
        <v>1622816783000</v>
      </c>
      <c r="H114" s="66">
        <v>1651167532000</v>
      </c>
      <c r="I114" s="66">
        <v>1676443291000</v>
      </c>
      <c r="J114" s="66">
        <v>1740402475000</v>
      </c>
      <c r="K114" s="66">
        <v>1889138039000</v>
      </c>
      <c r="L114" s="66"/>
      <c r="M114" s="66"/>
      <c r="N114" s="66"/>
    </row>
    <row r="115" spans="2:14">
      <c r="B115" s="59" t="s">
        <v>677</v>
      </c>
      <c r="C115" s="66"/>
      <c r="D115" s="66"/>
      <c r="E115" s="66">
        <v>317985800000</v>
      </c>
      <c r="F115" s="66">
        <v>317985800000</v>
      </c>
      <c r="G115" s="66">
        <v>317985800000</v>
      </c>
      <c r="H115" s="66">
        <v>317985800000</v>
      </c>
      <c r="I115" s="66">
        <v>317985800000</v>
      </c>
      <c r="J115" s="66">
        <v>317468541000</v>
      </c>
      <c r="K115" s="66">
        <v>317468541000</v>
      </c>
      <c r="L115" s="66"/>
      <c r="M115" s="66"/>
      <c r="N115" s="66"/>
    </row>
    <row r="116" spans="2:14">
      <c r="B116" s="59" t="s">
        <v>345</v>
      </c>
      <c r="C116" s="66"/>
      <c r="D116" s="66"/>
      <c r="E116" s="66">
        <v>32840978000</v>
      </c>
      <c r="F116" s="66">
        <v>7940668000</v>
      </c>
      <c r="G116" s="66">
        <v>15083876000</v>
      </c>
      <c r="H116" s="66">
        <v>3284051000</v>
      </c>
      <c r="I116" s="66">
        <v>43154526000</v>
      </c>
      <c r="J116" s="66">
        <v>62989456000</v>
      </c>
      <c r="K116" s="66">
        <v>75392783000</v>
      </c>
      <c r="L116" s="66"/>
      <c r="M116" s="66"/>
      <c r="N116" s="66"/>
    </row>
    <row r="117" spans="2:14">
      <c r="B117" s="59" t="s">
        <v>419</v>
      </c>
      <c r="C117" s="66"/>
      <c r="D117" s="66"/>
      <c r="E117" s="66">
        <v>5406108000</v>
      </c>
      <c r="F117" s="66">
        <v>4507348000</v>
      </c>
      <c r="G117" s="66">
        <v>4850915000</v>
      </c>
      <c r="H117" s="66">
        <v>4966978000</v>
      </c>
      <c r="I117" s="66">
        <v>5991871000</v>
      </c>
      <c r="J117" s="66">
        <v>6467540000</v>
      </c>
      <c r="K117" s="66">
        <v>5505400000</v>
      </c>
      <c r="L117" s="66"/>
      <c r="M117" s="66"/>
      <c r="N117" s="66"/>
    </row>
    <row r="118" spans="2:14">
      <c r="B118" s="60" t="s">
        <v>420</v>
      </c>
      <c r="C118" s="70">
        <f t="shared" ref="C118" si="55">+C113+C116+C114</f>
        <v>0</v>
      </c>
      <c r="D118" s="70">
        <f t="shared" ref="D118" si="56">+D113+D116+D114</f>
        <v>0</v>
      </c>
      <c r="E118" s="70">
        <f>SUM(E113:E116)</f>
        <v>2532126888000</v>
      </c>
      <c r="F118" s="70">
        <f t="shared" ref="F118:N118" si="57">SUM(F113:F116)</f>
        <v>2677477709000</v>
      </c>
      <c r="G118" s="70">
        <f t="shared" si="57"/>
        <v>2663057704000</v>
      </c>
      <c r="H118" s="70">
        <f t="shared" si="57"/>
        <v>2679608628000</v>
      </c>
      <c r="I118" s="70">
        <f t="shared" si="57"/>
        <v>2744754862000</v>
      </c>
      <c r="J118" s="70">
        <f t="shared" si="57"/>
        <v>2828031717000</v>
      </c>
      <c r="K118" s="70">
        <f t="shared" si="57"/>
        <v>2989170608000</v>
      </c>
      <c r="L118" s="70">
        <f t="shared" si="57"/>
        <v>0</v>
      </c>
      <c r="M118" s="70">
        <f t="shared" si="57"/>
        <v>0</v>
      </c>
      <c r="N118" s="70">
        <f t="shared" si="57"/>
        <v>0</v>
      </c>
    </row>
    <row r="120" spans="2:14">
      <c r="B120" s="75" t="s">
        <v>348</v>
      </c>
    </row>
    <row r="121" spans="2:14">
      <c r="B121" s="82" t="s">
        <v>308</v>
      </c>
      <c r="C121" s="88">
        <v>2017</v>
      </c>
      <c r="D121" s="88">
        <v>2018</v>
      </c>
      <c r="E121" s="88">
        <v>2019</v>
      </c>
      <c r="F121" s="88">
        <v>2020</v>
      </c>
      <c r="G121" s="88">
        <v>2021</v>
      </c>
      <c r="H121" s="88">
        <v>2022</v>
      </c>
      <c r="I121" s="88">
        <v>2023</v>
      </c>
      <c r="J121" s="88">
        <v>2024</v>
      </c>
      <c r="K121" s="88">
        <v>2025</v>
      </c>
      <c r="L121" s="88">
        <v>2026</v>
      </c>
      <c r="M121" s="88">
        <v>2027</v>
      </c>
      <c r="N121" s="88">
        <v>2028</v>
      </c>
    </row>
    <row r="122" spans="2:14">
      <c r="B122" s="83" t="s">
        <v>349</v>
      </c>
      <c r="C122" s="90"/>
      <c r="D122" s="90"/>
      <c r="E122" s="90">
        <v>228990188000</v>
      </c>
      <c r="F122" s="90">
        <v>146755488000</v>
      </c>
      <c r="G122" s="90">
        <v>215063062000</v>
      </c>
      <c r="H122" s="90">
        <v>286949855000</v>
      </c>
      <c r="I122">
        <v>314784929000</v>
      </c>
      <c r="J122" s="776">
        <v>353183704000</v>
      </c>
      <c r="K122" s="90">
        <v>377940605000</v>
      </c>
      <c r="L122" s="90"/>
      <c r="M122" s="90"/>
      <c r="N122" s="90"/>
    </row>
    <row r="123" spans="2:14">
      <c r="B123" s="85" t="s">
        <v>534</v>
      </c>
      <c r="C123" s="66"/>
      <c r="D123" s="66"/>
      <c r="E123" s="66">
        <v>-6239186000</v>
      </c>
      <c r="F123" s="66">
        <v>-10362941000</v>
      </c>
      <c r="G123" s="66">
        <v>-11382267000</v>
      </c>
      <c r="H123" s="66">
        <v>-11321933000</v>
      </c>
      <c r="I123" s="66">
        <v>-11406755000</v>
      </c>
      <c r="J123" s="66">
        <v>-11931976000</v>
      </c>
      <c r="K123" s="66">
        <v>-10904547000</v>
      </c>
      <c r="L123" s="66"/>
      <c r="M123" s="66"/>
      <c r="N123" s="66"/>
    </row>
    <row r="124" spans="2:14">
      <c r="B124" s="86" t="s">
        <v>422</v>
      </c>
      <c r="C124" s="64">
        <f t="shared" ref="C124" si="58">+C122+C123</f>
        <v>0</v>
      </c>
      <c r="D124" s="64">
        <f t="shared" ref="D124:M124" si="59">+D122+D123</f>
        <v>0</v>
      </c>
      <c r="E124" s="64">
        <f t="shared" si="59"/>
        <v>222751002000</v>
      </c>
      <c r="F124" s="64">
        <f t="shared" si="59"/>
        <v>136392547000</v>
      </c>
      <c r="G124" s="64">
        <f t="shared" si="59"/>
        <v>203680795000</v>
      </c>
      <c r="H124" s="64">
        <f t="shared" si="59"/>
        <v>275627922000</v>
      </c>
      <c r="I124" s="64">
        <f t="shared" si="59"/>
        <v>303378174000</v>
      </c>
      <c r="J124" s="64">
        <f t="shared" si="59"/>
        <v>341251728000</v>
      </c>
      <c r="K124" s="64">
        <f t="shared" si="59"/>
        <v>367036058000</v>
      </c>
      <c r="L124" s="64">
        <f t="shared" si="59"/>
        <v>0</v>
      </c>
      <c r="M124" s="64">
        <f t="shared" si="59"/>
        <v>0</v>
      </c>
      <c r="N124" s="64"/>
    </row>
    <row r="125" spans="2:14">
      <c r="B125" s="85" t="s">
        <v>535</v>
      </c>
      <c r="C125" s="117"/>
      <c r="D125" s="117"/>
      <c r="E125" s="117">
        <v>392042683000</v>
      </c>
      <c r="F125" s="117">
        <v>248060813000</v>
      </c>
      <c r="G125" s="117">
        <v>-61667019000</v>
      </c>
      <c r="H125" s="117">
        <v>29523565000</v>
      </c>
      <c r="I125" s="117">
        <v>-10515477000</v>
      </c>
      <c r="J125" s="117">
        <v>66670135000</v>
      </c>
      <c r="K125" s="117">
        <v>96648526000</v>
      </c>
      <c r="L125" s="117"/>
      <c r="M125" s="117"/>
      <c r="N125" s="117"/>
    </row>
    <row r="126" spans="2:14">
      <c r="B126" s="85" t="s">
        <v>536</v>
      </c>
      <c r="C126" s="117"/>
      <c r="D126" s="117"/>
      <c r="E126" s="117"/>
      <c r="F126" s="117"/>
      <c r="G126" s="117"/>
      <c r="H126" s="117"/>
      <c r="I126" s="117"/>
      <c r="J126" s="117"/>
      <c r="K126" s="117"/>
      <c r="L126" s="117"/>
      <c r="M126" s="117"/>
      <c r="N126" s="117"/>
    </row>
    <row r="127" spans="2:14">
      <c r="B127" s="85" t="s">
        <v>537</v>
      </c>
      <c r="C127" s="117"/>
      <c r="D127" s="117"/>
      <c r="E127" s="117">
        <v>-13571392000</v>
      </c>
      <c r="F127" s="117">
        <v>-14876974000</v>
      </c>
      <c r="G127" s="117">
        <v>-9891724000</v>
      </c>
      <c r="H127" s="117">
        <v>-19570977000</v>
      </c>
      <c r="I127" s="117">
        <v>-19927831000</v>
      </c>
      <c r="J127" s="117">
        <v>-24856678000</v>
      </c>
      <c r="K127" s="117">
        <v>-27194129000</v>
      </c>
      <c r="L127" s="117"/>
      <c r="M127" s="117"/>
      <c r="N127" s="117"/>
    </row>
    <row r="128" spans="2:14">
      <c r="B128" s="85" t="s">
        <v>510</v>
      </c>
      <c r="C128" s="117"/>
      <c r="D128" s="117"/>
      <c r="E128" s="117">
        <v>-815911000</v>
      </c>
      <c r="F128" s="117">
        <v>-48061000</v>
      </c>
      <c r="G128" s="117">
        <v>-22747000</v>
      </c>
      <c r="H128" s="117">
        <v>-187451000</v>
      </c>
      <c r="I128" s="117">
        <v>-677619000</v>
      </c>
      <c r="J128" s="117">
        <v>-1276822000</v>
      </c>
      <c r="K128" s="117">
        <v>-1155459000</v>
      </c>
      <c r="L128" s="117"/>
      <c r="M128" s="117"/>
      <c r="N128" s="117"/>
    </row>
    <row r="129" spans="2:14">
      <c r="B129" s="85" t="s">
        <v>357</v>
      </c>
      <c r="C129" s="66"/>
      <c r="D129" s="66"/>
      <c r="E129" s="66">
        <v>-616120000</v>
      </c>
      <c r="F129" s="66">
        <v>326706000</v>
      </c>
      <c r="G129" s="66">
        <v>1900686000</v>
      </c>
      <c r="H129" s="66">
        <v>2104707000</v>
      </c>
      <c r="I129" s="66">
        <v>321727000</v>
      </c>
      <c r="J129" s="66">
        <v>5148606000</v>
      </c>
      <c r="K129" s="66">
        <v>1329679000</v>
      </c>
      <c r="L129" s="66"/>
      <c r="M129" s="66"/>
      <c r="N129" s="117"/>
    </row>
    <row r="130" spans="2:14">
      <c r="B130" s="86" t="s">
        <v>428</v>
      </c>
      <c r="C130" s="64">
        <f t="shared" ref="C130" si="60">+C124+C129+C125+C126+C127+C128</f>
        <v>0</v>
      </c>
      <c r="D130" s="64">
        <f t="shared" ref="D130:M130" si="61">+D124+D129+D125+D126+D127+D128</f>
        <v>0</v>
      </c>
      <c r="E130" s="64">
        <f t="shared" si="61"/>
        <v>599790262000</v>
      </c>
      <c r="F130" s="64">
        <f t="shared" si="61"/>
        <v>369855031000</v>
      </c>
      <c r="G130" s="64">
        <f t="shared" si="61"/>
        <v>133999991000</v>
      </c>
      <c r="H130" s="64">
        <f t="shared" si="61"/>
        <v>287497766000</v>
      </c>
      <c r="I130" s="64">
        <f t="shared" si="61"/>
        <v>272578974000</v>
      </c>
      <c r="J130" s="64">
        <f t="shared" si="61"/>
        <v>386936969000</v>
      </c>
      <c r="K130" s="64">
        <f t="shared" si="61"/>
        <v>436664675000</v>
      </c>
      <c r="L130" s="64">
        <f t="shared" si="61"/>
        <v>0</v>
      </c>
      <c r="M130" s="64">
        <f t="shared" si="61"/>
        <v>0</v>
      </c>
      <c r="N130" s="64"/>
    </row>
    <row r="131" spans="2:14">
      <c r="B131" s="85" t="s">
        <v>429</v>
      </c>
      <c r="C131" s="66"/>
      <c r="D131" s="66"/>
      <c r="E131" s="66">
        <v>758518000</v>
      </c>
      <c r="F131" s="66">
        <v>668096000</v>
      </c>
      <c r="G131" s="66">
        <v>569935000</v>
      </c>
      <c r="H131" s="66">
        <v>7540698000</v>
      </c>
      <c r="I131" s="66">
        <v>12349455000</v>
      </c>
      <c r="J131" s="66">
        <v>9686722000</v>
      </c>
      <c r="K131" s="66">
        <v>5482615000</v>
      </c>
      <c r="L131" s="66"/>
      <c r="M131" s="66"/>
      <c r="N131" s="131"/>
    </row>
    <row r="132" spans="2:14">
      <c r="B132" s="85" t="s">
        <v>430</v>
      </c>
      <c r="C132" s="66"/>
      <c r="D132" s="66"/>
      <c r="E132" s="66">
        <v>-33741318000</v>
      </c>
      <c r="F132" s="66">
        <v>-10399503000</v>
      </c>
      <c r="G132" s="66">
        <v>-10926386000</v>
      </c>
      <c r="H132" s="66">
        <v>-12324607000</v>
      </c>
      <c r="I132" s="66">
        <v>-12659185000</v>
      </c>
      <c r="J132" s="66">
        <v>-13089101000</v>
      </c>
      <c r="K132" s="66">
        <v>-13520499000</v>
      </c>
      <c r="L132" s="66"/>
      <c r="M132" s="66"/>
      <c r="N132" s="131"/>
    </row>
    <row r="133" spans="2:14">
      <c r="B133" s="85" t="s">
        <v>431</v>
      </c>
      <c r="C133" s="66"/>
      <c r="D133" s="66"/>
      <c r="E133" s="66"/>
      <c r="F133" s="66"/>
      <c r="G133" s="66"/>
      <c r="H133" s="66"/>
      <c r="I133" s="66"/>
      <c r="J133" s="66"/>
      <c r="K133" s="66"/>
      <c r="L133" s="66"/>
      <c r="M133" s="66"/>
      <c r="N133" s="131"/>
    </row>
    <row r="134" spans="2:14">
      <c r="B134" s="85" t="s">
        <v>432</v>
      </c>
      <c r="C134" s="66"/>
      <c r="D134" s="66"/>
      <c r="E134" s="66">
        <v>40114000</v>
      </c>
      <c r="F134" s="66">
        <v>-4584152000</v>
      </c>
      <c r="G134" s="66">
        <v>2574524000</v>
      </c>
      <c r="H134" s="66">
        <v>409217000</v>
      </c>
      <c r="I134" s="66">
        <v>2578578000</v>
      </c>
      <c r="J134" s="66">
        <v>7412134000</v>
      </c>
      <c r="K134" s="66">
        <v>-2387453000</v>
      </c>
      <c r="L134" s="66"/>
      <c r="M134" s="66"/>
      <c r="N134" s="131"/>
    </row>
    <row r="135" spans="2:14">
      <c r="B135" s="85" t="s">
        <v>433</v>
      </c>
      <c r="C135" s="66"/>
      <c r="D135" s="66"/>
      <c r="E135" s="66">
        <v>-21392623000</v>
      </c>
      <c r="F135" s="66">
        <v>-14675783000</v>
      </c>
      <c r="G135" s="66">
        <v>-36959020000</v>
      </c>
      <c r="H135" s="66">
        <v>-78978177000</v>
      </c>
      <c r="I135" s="66">
        <v>-32695535000</v>
      </c>
      <c r="J135" s="66">
        <v>-31616910000</v>
      </c>
      <c r="K135" s="66">
        <v>-24234722000</v>
      </c>
      <c r="L135" s="66"/>
      <c r="M135" s="66"/>
      <c r="N135" s="131"/>
    </row>
    <row r="136" spans="2:14">
      <c r="B136" s="86" t="s">
        <v>362</v>
      </c>
      <c r="C136" s="64">
        <f t="shared" ref="C136" si="62">+C130+C131+C132+C133+C134+C135</f>
        <v>0</v>
      </c>
      <c r="D136" s="64">
        <f t="shared" ref="D136:M136" si="63">+D130+D131+D132+D133+D134+D135</f>
        <v>0</v>
      </c>
      <c r="E136" s="64">
        <f t="shared" si="63"/>
        <v>545454953000</v>
      </c>
      <c r="F136" s="64">
        <f t="shared" si="63"/>
        <v>340863689000</v>
      </c>
      <c r="G136" s="64">
        <f t="shared" si="63"/>
        <v>89259044000</v>
      </c>
      <c r="H136" s="64">
        <f t="shared" si="63"/>
        <v>204144897000</v>
      </c>
      <c r="I136" s="64">
        <f t="shared" si="63"/>
        <v>242152287000</v>
      </c>
      <c r="J136" s="64">
        <f t="shared" si="63"/>
        <v>359329814000</v>
      </c>
      <c r="K136" s="64">
        <f t="shared" si="63"/>
        <v>402004616000</v>
      </c>
      <c r="L136" s="64">
        <f t="shared" si="63"/>
        <v>0</v>
      </c>
      <c r="M136" s="64">
        <f t="shared" si="63"/>
        <v>0</v>
      </c>
      <c r="N136" s="64"/>
    </row>
    <row r="137" spans="2:14">
      <c r="B137" s="85" t="s">
        <v>363</v>
      </c>
      <c r="C137" s="66"/>
      <c r="D137" s="66"/>
      <c r="E137" s="66">
        <v>-139973930000</v>
      </c>
      <c r="F137" s="66">
        <v>-91444590000</v>
      </c>
      <c r="G137" s="66">
        <v>-8154733000</v>
      </c>
      <c r="H137" s="66">
        <v>-22414777000</v>
      </c>
      <c r="I137" s="66">
        <v>-54049565000</v>
      </c>
      <c r="J137" s="66">
        <v>-92432675000</v>
      </c>
      <c r="K137" s="66">
        <v>-99079943000</v>
      </c>
      <c r="L137" s="66"/>
      <c r="M137" s="66"/>
      <c r="N137" s="91"/>
    </row>
    <row r="138" spans="2:14">
      <c r="B138" s="84" t="s">
        <v>365</v>
      </c>
      <c r="C138" s="130">
        <f t="shared" ref="C138" si="64">+C136+C137</f>
        <v>0</v>
      </c>
      <c r="D138" s="130">
        <f t="shared" ref="D138:M138" si="65">+D136+D137</f>
        <v>0</v>
      </c>
      <c r="E138" s="130">
        <f>+E136+E137</f>
        <v>405481023000</v>
      </c>
      <c r="F138" s="130">
        <f t="shared" si="65"/>
        <v>249419099000</v>
      </c>
      <c r="G138" s="130">
        <f t="shared" si="65"/>
        <v>81104311000</v>
      </c>
      <c r="H138" s="130">
        <f t="shared" si="65"/>
        <v>181730120000</v>
      </c>
      <c r="I138" s="130">
        <f t="shared" si="65"/>
        <v>188102722000</v>
      </c>
      <c r="J138" s="130">
        <f t="shared" si="65"/>
        <v>266897139000</v>
      </c>
      <c r="K138" s="130">
        <f t="shared" si="65"/>
        <v>302924673000</v>
      </c>
      <c r="L138" s="130">
        <f t="shared" si="65"/>
        <v>0</v>
      </c>
      <c r="M138" s="130">
        <f t="shared" si="65"/>
        <v>0</v>
      </c>
      <c r="N138" s="130"/>
    </row>
    <row r="139" spans="2:14">
      <c r="B139" s="87" t="s">
        <v>435</v>
      </c>
      <c r="C139" s="66"/>
      <c r="D139" s="66"/>
      <c r="E139" s="66">
        <v>2683026000</v>
      </c>
      <c r="F139" s="66">
        <v>-306891000</v>
      </c>
      <c r="G139" s="66">
        <v>48635000</v>
      </c>
      <c r="H139" s="66">
        <v>-145426000</v>
      </c>
      <c r="I139" s="66">
        <v>773011000</v>
      </c>
      <c r="J139" s="66">
        <v>71420000</v>
      </c>
      <c r="K139" s="66">
        <v>303966192000</v>
      </c>
      <c r="L139" s="66"/>
      <c r="M139" s="66"/>
      <c r="N139" s="91"/>
    </row>
    <row r="140" spans="2:14">
      <c r="B140" s="84" t="s">
        <v>366</v>
      </c>
      <c r="C140" s="111"/>
      <c r="D140" s="111"/>
      <c r="E140" s="111">
        <v>289.10000000000002</v>
      </c>
      <c r="F140" s="111">
        <v>146.4</v>
      </c>
      <c r="G140" s="111">
        <v>47.5</v>
      </c>
      <c r="H140" s="111">
        <v>106.6</v>
      </c>
      <c r="I140" s="111">
        <v>109.8</v>
      </c>
      <c r="J140" s="111">
        <v>156.5</v>
      </c>
      <c r="K140" s="111">
        <v>178.2</v>
      </c>
      <c r="L140" s="111"/>
      <c r="M140" s="111"/>
      <c r="N140" s="134"/>
    </row>
    <row r="142" spans="2:14">
      <c r="B142" s="75" t="s">
        <v>367</v>
      </c>
    </row>
    <row r="143" spans="2:14">
      <c r="B143" s="82" t="s">
        <v>308</v>
      </c>
      <c r="C143" s="88">
        <v>2017</v>
      </c>
      <c r="D143" s="88">
        <v>2018</v>
      </c>
      <c r="E143" s="88">
        <v>2019</v>
      </c>
      <c r="F143" s="88">
        <v>2020</v>
      </c>
      <c r="G143" s="88">
        <v>2021</v>
      </c>
      <c r="H143" s="88">
        <v>2022</v>
      </c>
      <c r="I143" s="88">
        <v>2023</v>
      </c>
      <c r="J143" s="88">
        <v>2024</v>
      </c>
      <c r="K143" s="88">
        <v>2025</v>
      </c>
      <c r="L143" s="88">
        <v>2026</v>
      </c>
      <c r="M143" s="88">
        <v>2027</v>
      </c>
      <c r="N143" s="88">
        <v>2028</v>
      </c>
    </row>
    <row r="144" spans="2:14">
      <c r="B144" s="83" t="s">
        <v>368</v>
      </c>
      <c r="C144" s="90"/>
      <c r="D144" s="90"/>
      <c r="E144" s="90">
        <v>234467049000</v>
      </c>
      <c r="F144" s="90">
        <v>81646865000</v>
      </c>
      <c r="G144" s="90">
        <v>161711868000</v>
      </c>
      <c r="H144" s="90">
        <v>223618521000</v>
      </c>
      <c r="I144" s="90">
        <v>249917979000</v>
      </c>
      <c r="J144" s="90">
        <v>273972102000</v>
      </c>
      <c r="K144" s="90">
        <v>272361196000</v>
      </c>
      <c r="L144" s="90"/>
      <c r="M144" s="90"/>
      <c r="N144" s="90"/>
    </row>
    <row r="145" spans="2:14">
      <c r="B145" s="86" t="s">
        <v>369</v>
      </c>
      <c r="C145" s="91"/>
      <c r="D145" s="91"/>
      <c r="E145" s="91">
        <v>-123273682000</v>
      </c>
      <c r="F145" s="91">
        <v>46829500000</v>
      </c>
      <c r="G145" s="91">
        <v>-25065797000</v>
      </c>
      <c r="H145" s="91">
        <v>-33725882000</v>
      </c>
      <c r="I145" s="91">
        <v>-67560226000</v>
      </c>
      <c r="J145" s="91">
        <v>1667936000</v>
      </c>
      <c r="K145" s="91">
        <v>-165820903000</v>
      </c>
      <c r="L145" s="91"/>
      <c r="M145" s="66"/>
      <c r="N145" s="66"/>
    </row>
    <row r="146" spans="2:14">
      <c r="B146" s="85" t="s">
        <v>370</v>
      </c>
      <c r="C146" s="93"/>
      <c r="D146" s="93"/>
      <c r="E146" s="93">
        <v>-31600056000</v>
      </c>
      <c r="F146" s="93">
        <v>-4085462000</v>
      </c>
      <c r="G146" s="93">
        <v>-14600675000</v>
      </c>
      <c r="H146" s="93">
        <v>-45818093000</v>
      </c>
      <c r="I146" s="93">
        <v>-62788732000</v>
      </c>
      <c r="J146" s="93">
        <v>-72203623000</v>
      </c>
      <c r="K146" s="93">
        <v>-170644152000</v>
      </c>
      <c r="L146" s="93"/>
      <c r="M146" s="93"/>
      <c r="N146" s="93"/>
    </row>
    <row r="147" spans="2:14">
      <c r="B147" s="86" t="s">
        <v>372</v>
      </c>
      <c r="C147" s="120"/>
      <c r="D147" s="120"/>
      <c r="E147" s="120">
        <v>-108375373000</v>
      </c>
      <c r="F147" s="120">
        <v>-108702217000</v>
      </c>
      <c r="G147" s="120">
        <v>-137724311000</v>
      </c>
      <c r="H147" s="120">
        <v>-168958838000</v>
      </c>
      <c r="I147" s="120">
        <v>-179393572000</v>
      </c>
      <c r="J147" s="120">
        <v>-220919382000</v>
      </c>
      <c r="K147" s="120">
        <v>-174163601000</v>
      </c>
      <c r="L147" s="120"/>
      <c r="M147" s="120"/>
      <c r="N147" s="120"/>
    </row>
    <row r="148" spans="2:14">
      <c r="B148" s="85" t="s">
        <v>373</v>
      </c>
      <c r="C148" s="93"/>
      <c r="D148" s="93"/>
      <c r="E148" s="93">
        <v>-228749517000</v>
      </c>
      <c r="F148" s="93">
        <v>-93820709000</v>
      </c>
      <c r="G148" s="93">
        <v>-123331563000</v>
      </c>
      <c r="H148" s="93">
        <v>-153524797000</v>
      </c>
      <c r="I148" s="93">
        <v>-162053952000</v>
      </c>
      <c r="J148" s="93">
        <v>-202993899000</v>
      </c>
      <c r="K148" s="93">
        <v>-155230628000</v>
      </c>
      <c r="L148" s="93"/>
      <c r="M148" s="93"/>
      <c r="N148" s="93"/>
    </row>
    <row r="149" spans="2:14">
      <c r="B149" s="85" t="s">
        <v>437</v>
      </c>
      <c r="C149" s="93"/>
      <c r="D149" s="93"/>
      <c r="E149" s="93">
        <v>-2778610000</v>
      </c>
      <c r="F149" s="93">
        <v>-8421942000</v>
      </c>
      <c r="G149" s="93">
        <v>-8714312000</v>
      </c>
      <c r="H149" s="93">
        <v>-9684503000</v>
      </c>
      <c r="I149" s="93">
        <v>-10520260000</v>
      </c>
      <c r="J149" s="93">
        <v>-10963279000</v>
      </c>
      <c r="K149" s="93">
        <v>-11464934000</v>
      </c>
      <c r="L149" s="93"/>
      <c r="M149" s="93"/>
      <c r="N149" s="93"/>
    </row>
    <row r="150" spans="2:14">
      <c r="B150" s="86" t="s">
        <v>375</v>
      </c>
      <c r="C150" s="64"/>
      <c r="D150" s="64"/>
      <c r="E150" s="64">
        <v>3113807000</v>
      </c>
      <c r="F150" s="64">
        <v>14527358000</v>
      </c>
      <c r="G150" s="64">
        <v>2736725000</v>
      </c>
      <c r="H150" s="64">
        <v>19952903000</v>
      </c>
      <c r="I150" s="64">
        <v>6408460000</v>
      </c>
      <c r="J150" s="64">
        <v>62502749000</v>
      </c>
      <c r="K150" s="64">
        <v>-70664067000</v>
      </c>
      <c r="L150" s="64"/>
      <c r="M150" s="64"/>
      <c r="N150" s="64"/>
    </row>
    <row r="151" spans="2:14">
      <c r="B151" s="85"/>
      <c r="C151" s="66"/>
      <c r="D151" s="66"/>
      <c r="E151" s="66"/>
      <c r="F151" s="66"/>
      <c r="G151" s="66"/>
      <c r="H151" s="66"/>
      <c r="I151" s="66"/>
      <c r="J151" s="66"/>
      <c r="K151" s="66"/>
      <c r="L151" s="66"/>
      <c r="M151" s="66"/>
      <c r="N151" s="66"/>
    </row>
    <row r="152" spans="2:14">
      <c r="B152" s="84" t="s">
        <v>376</v>
      </c>
      <c r="C152" s="131">
        <f t="shared" ref="C152" si="66">+C144+C146+C149</f>
        <v>0</v>
      </c>
      <c r="D152" s="131">
        <f t="shared" ref="D152:L152" si="67">+D144+D146+D149</f>
        <v>0</v>
      </c>
      <c r="E152" s="131">
        <f>+E144+E146+E149</f>
        <v>200088383000</v>
      </c>
      <c r="F152" s="131">
        <f t="shared" si="67"/>
        <v>69139461000</v>
      </c>
      <c r="G152" s="131">
        <f t="shared" si="67"/>
        <v>138396881000</v>
      </c>
      <c r="H152" s="131">
        <f>+H144+H146+H149</f>
        <v>168115925000</v>
      </c>
      <c r="I152" s="131">
        <f t="shared" si="67"/>
        <v>176608987000</v>
      </c>
      <c r="J152" s="131">
        <f>+J144+J146+J149</f>
        <v>190805200000</v>
      </c>
      <c r="K152" s="131">
        <f>+K144+K146+K149</f>
        <v>90252110000</v>
      </c>
      <c r="L152" s="131">
        <f t="shared" si="67"/>
        <v>0</v>
      </c>
      <c r="M152" s="131"/>
      <c r="N152" s="131"/>
    </row>
  </sheetData>
  <conditionalFormatting sqref="C122:H122 J122:N122 C123:N140">
    <cfRule type="cellIs" dxfId="215" priority="2" operator="lessThan">
      <formula>0</formula>
    </cfRule>
  </conditionalFormatting>
  <conditionalFormatting sqref="C67:N68 C69:E69 G69:N69 C70:D70 F70:N70 C71:E71 G71:N71 C72:N73 C75:H75 J75:N75 C76:N110">
    <cfRule type="cellIs" dxfId="214" priority="4" operator="lessThan">
      <formula>0</formula>
    </cfRule>
  </conditionalFormatting>
  <conditionalFormatting sqref="C112:N118">
    <cfRule type="cellIs" dxfId="213" priority="3" operator="lessThan">
      <formula>0</formula>
    </cfRule>
  </conditionalFormatting>
  <conditionalFormatting sqref="C144:N152">
    <cfRule type="cellIs" dxfId="212" priority="1" operator="lessThan">
      <formula>0</formula>
    </cfRule>
  </conditionalFormatting>
  <pageMargins left="0.7" right="0.7" top="0.75" bottom="0.75" header="0.3" footer="0.3"/>
  <pageSetup paperSize="9" orientation="portrait"/>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D0E51-95F7-4FCC-8B28-AFB424627EF6}">
  <dimension ref="B2:P152"/>
  <sheetViews>
    <sheetView zoomScale="80" zoomScaleNormal="80" workbookViewId="0">
      <pane xSplit="2" ySplit="6" topLeftCell="I7" activePane="bottomRight" state="frozen"/>
      <selection pane="bottomRight" activeCell="K29" sqref="K29"/>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3" width="36.42578125" customWidth="1"/>
    <col min="4" max="4" width="37.28515625" customWidth="1"/>
    <col min="5" max="5" width="36.28515625" customWidth="1"/>
    <col min="6" max="6" width="36.7109375" customWidth="1"/>
    <col min="7" max="7" width="36.28515625" customWidth="1"/>
    <col min="8" max="8" width="35.7109375" customWidth="1"/>
    <col min="9" max="9" width="35.5703125" customWidth="1"/>
    <col min="10" max="10" width="34.5703125" customWidth="1"/>
    <col min="11" max="11" width="38.42578125" customWidth="1"/>
    <col min="12" max="14" width="28.7109375" bestFit="1" customWidth="1"/>
  </cols>
  <sheetData>
    <row r="2" spans="2:14" ht="21">
      <c r="B2" s="313">
        <f ca="1">TODAY()-1</f>
        <v>46105</v>
      </c>
      <c r="C2" s="314"/>
      <c r="D2" s="344" t="s">
        <v>265</v>
      </c>
      <c r="E2" s="345" t="s">
        <v>266</v>
      </c>
    </row>
    <row r="3" spans="2:14" ht="25.5">
      <c r="B3" s="376" cm="1">
        <f t="array" aca="1" ref="B3" ca="1">_FV(B6,"Precio")</f>
        <v>270</v>
      </c>
      <c r="C3" s="779">
        <f ca="1">D3/B3</f>
        <v>1.0248148148148149E-2</v>
      </c>
      <c r="D3" s="346">
        <f>AVERAGE(G51:I51)</f>
        <v>2.7669999999999999</v>
      </c>
      <c r="E3" s="346">
        <f>AVERAGE(G50:I50)</f>
        <v>2.7669999999999999</v>
      </c>
    </row>
    <row r="4" spans="2:14" ht="28.5">
      <c r="B4" s="319"/>
      <c r="C4" s="324"/>
      <c r="D4" s="328"/>
      <c r="E4" s="328"/>
    </row>
    <row r="6" spans="2:14" ht="33.4">
      <c r="B6" s="3" t="e" vm="18">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+C68</f>
        <v>506333689000</v>
      </c>
      <c r="D7" s="5">
        <f t="shared" ref="D7:I7" si="0">+D68</f>
        <v>447681482000</v>
      </c>
      <c r="E7" s="5">
        <f t="shared" si="0"/>
        <v>517476569000</v>
      </c>
      <c r="F7" s="5">
        <f t="shared" si="0"/>
        <v>753184468000</v>
      </c>
      <c r="G7" s="5">
        <f t="shared" si="0"/>
        <v>630873381000</v>
      </c>
      <c r="H7" s="5">
        <f t="shared" si="0"/>
        <v>550328423000</v>
      </c>
      <c r="I7" s="5">
        <f t="shared" si="0"/>
        <v>1059307853000</v>
      </c>
      <c r="J7" s="5">
        <f t="shared" ref="J7:N7" si="1">+J68</f>
        <v>698242580000</v>
      </c>
      <c r="K7" s="5">
        <f t="shared" si="1"/>
        <v>851085855000</v>
      </c>
      <c r="L7" s="5">
        <f t="shared" si="1"/>
        <v>0</v>
      </c>
      <c r="M7" s="5">
        <f t="shared" si="1"/>
        <v>0</v>
      </c>
      <c r="N7" s="5">
        <f t="shared" si="1"/>
        <v>0</v>
      </c>
    </row>
    <row r="8" spans="2:14" ht="25.5">
      <c r="B8" s="146" t="s">
        <v>377</v>
      </c>
      <c r="C8" s="147">
        <f>+C72</f>
        <v>443900478000</v>
      </c>
      <c r="D8" s="147">
        <f t="shared" ref="D8:I8" si="2">+D72</f>
        <v>380546708000</v>
      </c>
      <c r="E8" s="147">
        <f t="shared" si="2"/>
        <v>415037907000</v>
      </c>
      <c r="F8" s="147">
        <f t="shared" si="2"/>
        <v>388039354000</v>
      </c>
      <c r="G8" s="147">
        <f t="shared" si="2"/>
        <v>379440494000</v>
      </c>
      <c r="H8" s="147">
        <f t="shared" si="2"/>
        <v>450662188000</v>
      </c>
      <c r="I8" s="147">
        <f t="shared" si="2"/>
        <v>1018819588000</v>
      </c>
      <c r="J8" s="147">
        <f t="shared" ref="J8:N8" si="3">+J72</f>
        <v>603795333000</v>
      </c>
      <c r="K8" s="147">
        <f t="shared" si="3"/>
        <v>812364214000</v>
      </c>
      <c r="L8" s="147">
        <f t="shared" si="3"/>
        <v>0</v>
      </c>
      <c r="M8" s="147">
        <f t="shared" si="3"/>
        <v>0</v>
      </c>
      <c r="N8" s="147">
        <f t="shared" si="3"/>
        <v>0</v>
      </c>
    </row>
    <row r="9" spans="2:14" ht="25.5">
      <c r="B9" s="146" t="s">
        <v>378</v>
      </c>
      <c r="C9" s="147">
        <f>+C74</f>
        <v>9898569000</v>
      </c>
      <c r="D9" s="147">
        <f t="shared" ref="D9:I9" si="4">+D74</f>
        <v>8718442000</v>
      </c>
      <c r="E9" s="147">
        <f t="shared" si="4"/>
        <v>7597649000</v>
      </c>
      <c r="F9" s="147">
        <f t="shared" si="4"/>
        <v>5643002000</v>
      </c>
      <c r="G9" s="147">
        <f t="shared" si="4"/>
        <v>2598652000</v>
      </c>
      <c r="H9" s="147">
        <f t="shared" si="4"/>
        <v>3357705000</v>
      </c>
      <c r="I9" s="147">
        <f t="shared" si="4"/>
        <v>3686287000</v>
      </c>
      <c r="J9" s="147">
        <f t="shared" ref="J9:N9" si="5">+J74</f>
        <v>4311061000</v>
      </c>
      <c r="K9" s="147">
        <f t="shared" si="5"/>
        <v>4452597000</v>
      </c>
      <c r="L9" s="147">
        <f t="shared" si="5"/>
        <v>0</v>
      </c>
      <c r="M9" s="147">
        <f t="shared" si="5"/>
        <v>0</v>
      </c>
      <c r="N9" s="147">
        <f t="shared" si="5"/>
        <v>0</v>
      </c>
    </row>
    <row r="10" spans="2:14" ht="25.5">
      <c r="B10" s="4" t="s">
        <v>379</v>
      </c>
      <c r="C10" s="5">
        <f>+C77</f>
        <v>2945429593000</v>
      </c>
      <c r="D10" s="5">
        <f t="shared" ref="D10:I10" si="6">+D77</f>
        <v>3139252608000</v>
      </c>
      <c r="E10" s="5">
        <f t="shared" si="6"/>
        <v>3225433973000</v>
      </c>
      <c r="F10" s="5">
        <f t="shared" si="6"/>
        <v>3493970270000</v>
      </c>
      <c r="G10" s="5">
        <f t="shared" si="6"/>
        <v>2463706706000</v>
      </c>
      <c r="H10" s="5">
        <f t="shared" si="6"/>
        <v>3216992310000</v>
      </c>
      <c r="I10" s="5">
        <f t="shared" si="6"/>
        <v>2911831137000</v>
      </c>
      <c r="J10" s="5">
        <f t="shared" ref="J10:N10" si="7">+J77</f>
        <v>3334388297000</v>
      </c>
      <c r="K10" s="5">
        <f t="shared" si="7"/>
        <v>3266228197000</v>
      </c>
      <c r="L10" s="5">
        <f t="shared" si="7"/>
        <v>0</v>
      </c>
      <c r="M10" s="5">
        <f t="shared" si="7"/>
        <v>0</v>
      </c>
      <c r="N10" s="5">
        <f t="shared" si="7"/>
        <v>0</v>
      </c>
    </row>
    <row r="11" spans="2:14" ht="25.5">
      <c r="B11" s="8" t="s">
        <v>272</v>
      </c>
      <c r="C11" s="9">
        <f>+C10+C7</f>
        <v>3451763282000</v>
      </c>
      <c r="D11" s="9">
        <f t="shared" ref="D11:I11" si="8">+D10+D7</f>
        <v>3586934090000</v>
      </c>
      <c r="E11" s="9">
        <f t="shared" si="8"/>
        <v>3742910542000</v>
      </c>
      <c r="F11" s="9">
        <f t="shared" si="8"/>
        <v>4247154738000</v>
      </c>
      <c r="G11" s="9">
        <f t="shared" si="8"/>
        <v>3094580087000</v>
      </c>
      <c r="H11" s="9">
        <f t="shared" si="8"/>
        <v>3767320733000</v>
      </c>
      <c r="I11" s="9">
        <f t="shared" si="8"/>
        <v>3971138990000</v>
      </c>
      <c r="J11" s="9">
        <f t="shared" ref="J11:N11" si="9">+J10+J7</f>
        <v>4032630877000</v>
      </c>
      <c r="K11" s="9">
        <f t="shared" si="9"/>
        <v>4117314052000</v>
      </c>
      <c r="L11" s="9">
        <f t="shared" si="9"/>
        <v>0</v>
      </c>
      <c r="M11" s="9">
        <f t="shared" si="9"/>
        <v>0</v>
      </c>
      <c r="N11" s="9">
        <f t="shared" si="9"/>
        <v>0</v>
      </c>
    </row>
    <row r="12" spans="2:14" ht="25.5">
      <c r="B12" s="10" t="s">
        <v>273</v>
      </c>
      <c r="C12" s="11">
        <f>+C91</f>
        <v>679539531000</v>
      </c>
      <c r="D12" s="11">
        <f t="shared" ref="D12:I12" si="10">+D91</f>
        <v>460154595000</v>
      </c>
      <c r="E12" s="11">
        <f t="shared" si="10"/>
        <v>441905751000</v>
      </c>
      <c r="F12" s="11">
        <f t="shared" si="10"/>
        <v>483096393000</v>
      </c>
      <c r="G12" s="11">
        <f t="shared" si="10"/>
        <v>458113901000</v>
      </c>
      <c r="H12" s="11">
        <f t="shared" si="10"/>
        <v>449090199000</v>
      </c>
      <c r="I12" s="11">
        <f t="shared" si="10"/>
        <v>1136292296000</v>
      </c>
      <c r="J12" s="11">
        <f t="shared" ref="J12:N12" si="11">+J91</f>
        <v>1116674150000</v>
      </c>
      <c r="K12" s="11">
        <f t="shared" si="11"/>
        <v>1201177461000</v>
      </c>
      <c r="L12" s="11">
        <f t="shared" si="11"/>
        <v>0</v>
      </c>
      <c r="M12" s="11">
        <f t="shared" si="11"/>
        <v>0</v>
      </c>
      <c r="N12" s="11">
        <f t="shared" si="11"/>
        <v>0</v>
      </c>
    </row>
    <row r="13" spans="2:14" ht="25.5">
      <c r="B13" s="10" t="s">
        <v>274</v>
      </c>
      <c r="C13" s="11">
        <f>+C101</f>
        <v>1052900130000</v>
      </c>
      <c r="D13" s="11">
        <f t="shared" ref="D13:I13" si="12">+D101</f>
        <v>1282714990000</v>
      </c>
      <c r="E13" s="11">
        <f t="shared" si="12"/>
        <v>1480481697000</v>
      </c>
      <c r="F13" s="11">
        <f t="shared" si="12"/>
        <v>1862309537000</v>
      </c>
      <c r="G13" s="11">
        <f t="shared" si="12"/>
        <v>1227018815000</v>
      </c>
      <c r="H13" s="11">
        <f t="shared" si="12"/>
        <v>1890726450000</v>
      </c>
      <c r="I13" s="11">
        <f t="shared" si="12"/>
        <v>1400848003000</v>
      </c>
      <c r="J13" s="11">
        <f t="shared" ref="J13:N13" si="13">+J101</f>
        <v>1418794468000</v>
      </c>
      <c r="K13" s="11">
        <f t="shared" si="13"/>
        <v>1410179210000</v>
      </c>
      <c r="L13" s="11">
        <f t="shared" si="13"/>
        <v>0</v>
      </c>
      <c r="M13" s="11">
        <f t="shared" si="13"/>
        <v>0</v>
      </c>
      <c r="N13" s="11">
        <f t="shared" si="13"/>
        <v>0</v>
      </c>
    </row>
    <row r="14" spans="2:14" ht="25.5">
      <c r="B14" s="12" t="s">
        <v>275</v>
      </c>
      <c r="C14" s="13">
        <f>+C12+C13</f>
        <v>1732439661000</v>
      </c>
      <c r="D14" s="13">
        <f t="shared" ref="D14:I14" si="14">+D12+D13</f>
        <v>1742869585000</v>
      </c>
      <c r="E14" s="13">
        <f t="shared" si="14"/>
        <v>1922387448000</v>
      </c>
      <c r="F14" s="13">
        <f t="shared" si="14"/>
        <v>2345405930000</v>
      </c>
      <c r="G14" s="13">
        <f t="shared" si="14"/>
        <v>1685132716000</v>
      </c>
      <c r="H14" s="13">
        <f t="shared" si="14"/>
        <v>2339816649000</v>
      </c>
      <c r="I14" s="13">
        <f t="shared" si="14"/>
        <v>2537140299000</v>
      </c>
      <c r="J14" s="13">
        <f t="shared" ref="J14:N14" si="15">+J12+J13</f>
        <v>2535468618000</v>
      </c>
      <c r="K14" s="13">
        <f t="shared" si="15"/>
        <v>2611356671000</v>
      </c>
      <c r="L14" s="13">
        <f t="shared" si="15"/>
        <v>0</v>
      </c>
      <c r="M14" s="13">
        <f t="shared" si="15"/>
        <v>0</v>
      </c>
      <c r="N14" s="13">
        <f t="shared" si="15"/>
        <v>0</v>
      </c>
    </row>
    <row r="15" spans="2:14" ht="25.5">
      <c r="B15" s="14" t="s">
        <v>276</v>
      </c>
      <c r="C15" s="15">
        <f>+C116</f>
        <v>1659322543000</v>
      </c>
      <c r="D15" s="15">
        <f t="shared" ref="D15:I15" si="16">+D116</f>
        <v>1802236436000</v>
      </c>
      <c r="E15" s="15">
        <f t="shared" si="16"/>
        <v>1778042746000</v>
      </c>
      <c r="F15" s="15">
        <f t="shared" si="16"/>
        <v>1857194667000</v>
      </c>
      <c r="G15" s="15">
        <f t="shared" si="16"/>
        <v>1373710894000</v>
      </c>
      <c r="H15" s="15">
        <f t="shared" si="16"/>
        <v>1391896387000</v>
      </c>
      <c r="I15" s="15">
        <f t="shared" si="16"/>
        <v>1397738540000</v>
      </c>
      <c r="J15" s="15">
        <f t="shared" ref="J15:N15" si="17">+J116</f>
        <v>1460256514000</v>
      </c>
      <c r="K15" s="15">
        <f t="shared" si="17"/>
        <v>1466516505000</v>
      </c>
      <c r="L15" s="15">
        <f t="shared" si="17"/>
        <v>0</v>
      </c>
      <c r="M15" s="15">
        <f t="shared" si="17"/>
        <v>0</v>
      </c>
      <c r="N15" s="15">
        <f t="shared" si="17"/>
        <v>0</v>
      </c>
    </row>
    <row r="16" spans="2:14" ht="25.5">
      <c r="B16" s="79" t="s">
        <v>278</v>
      </c>
      <c r="C16" s="80">
        <v>1999743052</v>
      </c>
      <c r="D16" s="80">
        <v>2023984118</v>
      </c>
      <c r="E16" s="80">
        <v>2019896893</v>
      </c>
      <c r="F16" s="80">
        <v>2019896893</v>
      </c>
      <c r="G16" s="80">
        <v>2019896893</v>
      </c>
      <c r="H16" s="80">
        <v>2019896893</v>
      </c>
      <c r="I16" s="80">
        <v>2019896893</v>
      </c>
      <c r="J16" s="80">
        <v>2019896893</v>
      </c>
      <c r="K16" s="80">
        <v>2019896893</v>
      </c>
      <c r="L16" s="80"/>
      <c r="M16" s="80"/>
      <c r="N16" s="80"/>
    </row>
    <row r="18" spans="2:14" ht="25.5">
      <c r="B18" s="18" t="s">
        <v>279</v>
      </c>
      <c r="C18" s="19">
        <f t="shared" ref="C18:I18" si="18">(C15/C16)</f>
        <v>829.76787509798532</v>
      </c>
      <c r="D18" s="19">
        <f t="shared" si="18"/>
        <v>890.44000887757954</v>
      </c>
      <c r="E18" s="19">
        <f t="shared" si="18"/>
        <v>880.26411257022517</v>
      </c>
      <c r="F18" s="19">
        <f t="shared" si="18"/>
        <v>919.45023205696862</v>
      </c>
      <c r="G18" s="19">
        <f t="shared" si="18"/>
        <v>680.08961188099613</v>
      </c>
      <c r="H18" s="19">
        <f t="shared" si="18"/>
        <v>689.0927907378092</v>
      </c>
      <c r="I18" s="19">
        <f t="shared" si="18"/>
        <v>691.9850933203054</v>
      </c>
      <c r="J18" s="19">
        <f t="shared" ref="J18:N18" si="19">(J15/J16)</f>
        <v>722.93616523722233</v>
      </c>
      <c r="K18" s="19">
        <f t="shared" si="19"/>
        <v>726.0353288735912</v>
      </c>
      <c r="L18" s="19" t="e">
        <f t="shared" si="19"/>
        <v>#DIV/0!</v>
      </c>
      <c r="M18" s="19" t="e">
        <f t="shared" si="19"/>
        <v>#DIV/0!</v>
      </c>
      <c r="N18" s="19" t="e">
        <f t="shared" si="19"/>
        <v>#DIV/0!</v>
      </c>
    </row>
    <row r="19" spans="2:14" ht="25.5">
      <c r="B19" s="76" t="s">
        <v>282</v>
      </c>
      <c r="C19" s="77">
        <v>547</v>
      </c>
      <c r="D19" s="77">
        <v>399</v>
      </c>
      <c r="E19" s="77">
        <v>412</v>
      </c>
      <c r="F19" s="77">
        <v>715.6</v>
      </c>
      <c r="G19" s="77">
        <v>480</v>
      </c>
      <c r="H19" s="101">
        <v>432</v>
      </c>
      <c r="I19" s="101">
        <v>238.28</v>
      </c>
      <c r="J19" s="101">
        <v>358.23</v>
      </c>
      <c r="K19" s="101">
        <v>257.63</v>
      </c>
      <c r="L19" s="101"/>
      <c r="M19" s="101"/>
      <c r="N19" s="101"/>
    </row>
    <row r="20" spans="2:14" ht="25.5">
      <c r="B20" s="18" t="s">
        <v>283</v>
      </c>
      <c r="C20" s="22">
        <f>+C19/C40</f>
        <v>6.107355144801077</v>
      </c>
      <c r="D20" s="22">
        <f t="shared" ref="D20:I20" si="20">+D19/D40</f>
        <v>23.829394924915409</v>
      </c>
      <c r="E20" s="22">
        <f t="shared" si="20"/>
        <v>9.4609445363149636</v>
      </c>
      <c r="F20" s="22">
        <f t="shared" si="20"/>
        <v>23.477118789371534</v>
      </c>
      <c r="G20" s="22">
        <f t="shared" si="20"/>
        <v>181.81818181818181</v>
      </c>
      <c r="H20" s="22">
        <f t="shared" si="20"/>
        <v>22.700998423541776</v>
      </c>
      <c r="I20" s="22">
        <f t="shared" si="20"/>
        <v>39.812087981468601</v>
      </c>
      <c r="J20" s="22">
        <f t="shared" ref="J20:N20" si="21">+J19/J40</f>
        <v>8.2509316662448775</v>
      </c>
      <c r="K20" s="22">
        <f t="shared" si="21"/>
        <v>43.36579215058017</v>
      </c>
      <c r="L20" s="22" t="e">
        <f t="shared" si="21"/>
        <v>#DIV/0!</v>
      </c>
      <c r="M20" s="22" t="e">
        <f t="shared" si="21"/>
        <v>#DIV/0!</v>
      </c>
      <c r="N20" s="22" t="e">
        <f t="shared" si="21"/>
        <v>#DIV/0!</v>
      </c>
    </row>
    <row r="21" spans="2:14" ht="25.5">
      <c r="B21" s="18" t="s">
        <v>380</v>
      </c>
      <c r="C21" s="22">
        <f t="shared" ref="C21:I21" si="22">+C19/C18</f>
        <v>0.6592205078262473</v>
      </c>
      <c r="D21" s="22">
        <f t="shared" si="22"/>
        <v>0.4480930731121896</v>
      </c>
      <c r="E21" s="22">
        <f t="shared" si="22"/>
        <v>0.46804134590586494</v>
      </c>
      <c r="F21" s="22">
        <f t="shared" si="22"/>
        <v>0.77829117341031007</v>
      </c>
      <c r="G21" s="22">
        <f t="shared" si="22"/>
        <v>0.70578934248446024</v>
      </c>
      <c r="H21" s="22">
        <f t="shared" si="22"/>
        <v>0.62691121690223917</v>
      </c>
      <c r="I21" s="22">
        <f t="shared" si="22"/>
        <v>0.3443426777543388</v>
      </c>
      <c r="J21" s="22">
        <f t="shared" ref="J21:N21" si="23">+J19/J18</f>
        <v>0.49552092871498743</v>
      </c>
      <c r="K21" s="22">
        <f t="shared" si="23"/>
        <v>0.35484499135834136</v>
      </c>
      <c r="L21" s="22" t="e">
        <f t="shared" si="23"/>
        <v>#DIV/0!</v>
      </c>
      <c r="M21" s="22" t="e">
        <f t="shared" si="23"/>
        <v>#DIV/0!</v>
      </c>
      <c r="N21" s="22" t="e">
        <f t="shared" si="23"/>
        <v>#DIV/0!</v>
      </c>
    </row>
    <row r="22" spans="2:14" ht="25.5">
      <c r="B22" s="18" t="s">
        <v>285</v>
      </c>
      <c r="C22" s="22">
        <f>+C20*C21</f>
        <v>4.02609376003101</v>
      </c>
      <c r="D22" s="22">
        <f t="shared" ref="D22:I22" si="24">+D20*D21</f>
        <v>10.67778680230936</v>
      </c>
      <c r="E22" s="22">
        <f t="shared" si="24"/>
        <v>4.4281132143175945</v>
      </c>
      <c r="F22" s="22">
        <f t="shared" si="24"/>
        <v>18.272034330873211</v>
      </c>
      <c r="G22" s="22">
        <f t="shared" si="24"/>
        <v>128.32533499717459</v>
      </c>
      <c r="H22" s="22">
        <f t="shared" si="24"/>
        <v>14.231510546598388</v>
      </c>
      <c r="I22" s="22">
        <f t="shared" si="24"/>
        <v>13.709000982530227</v>
      </c>
      <c r="J22" s="22">
        <f t="shared" ref="J22:N22" si="25">+J20*J21</f>
        <v>4.0885093220215607</v>
      </c>
      <c r="K22" s="22">
        <f t="shared" si="25"/>
        <v>15.388134140920247</v>
      </c>
      <c r="L22" s="22" t="e">
        <f t="shared" si="25"/>
        <v>#DIV/0!</v>
      </c>
      <c r="M22" s="22" t="e">
        <f t="shared" si="25"/>
        <v>#DIV/0!</v>
      </c>
      <c r="N22" s="22" t="e">
        <f t="shared" si="25"/>
        <v>#DIV/0!</v>
      </c>
    </row>
    <row r="23" spans="2:14" ht="25.5">
      <c r="B23" s="23" t="s">
        <v>286</v>
      </c>
      <c r="C23" s="24">
        <f>IF(C41&lt;10%,0,IF(15%&lt;C41,2,1))</f>
        <v>1</v>
      </c>
      <c r="D23" s="24">
        <f>IF(D41&lt;10%,0,IF(15%&lt;D41,2,1))</f>
        <v>0</v>
      </c>
      <c r="E23" s="24">
        <f t="shared" ref="E23:I23" si="26">IF(E41&lt;10%,0,IF(15%&lt;E41,2,1))</f>
        <v>0</v>
      </c>
      <c r="F23" s="24">
        <f t="shared" si="26"/>
        <v>0</v>
      </c>
      <c r="G23" s="24">
        <f t="shared" si="26"/>
        <v>0</v>
      </c>
      <c r="H23" s="24">
        <f t="shared" si="26"/>
        <v>0</v>
      </c>
      <c r="I23" s="24">
        <f t="shared" si="26"/>
        <v>0</v>
      </c>
      <c r="J23" s="24">
        <f t="shared" ref="J23:N23" si="27">IF(J41&lt;10%,0,IF(15%&lt;J41,2,1))</f>
        <v>0</v>
      </c>
      <c r="K23" s="24">
        <f t="shared" si="27"/>
        <v>0</v>
      </c>
      <c r="L23" s="24" t="e">
        <f t="shared" si="27"/>
        <v>#DIV/0!</v>
      </c>
      <c r="M23" s="24" t="e">
        <f t="shared" si="27"/>
        <v>#DIV/0!</v>
      </c>
      <c r="N23" s="24" t="e">
        <f t="shared" si="27"/>
        <v>#DIV/0!</v>
      </c>
    </row>
    <row r="24" spans="2:14" ht="25.5">
      <c r="B24" s="23" t="s">
        <v>287</v>
      </c>
      <c r="C24" s="24">
        <f>IF(C41&lt;10%,1,IF(15%&lt;C41,2.5,2))</f>
        <v>2</v>
      </c>
      <c r="D24" s="24">
        <f t="shared" ref="D24:I24" si="28">IF(D41&lt;10%,1,IF(15%&lt;D41,2.5,2))</f>
        <v>1</v>
      </c>
      <c r="E24" s="24">
        <f t="shared" si="28"/>
        <v>1</v>
      </c>
      <c r="F24" s="24">
        <f t="shared" si="28"/>
        <v>1</v>
      </c>
      <c r="G24" s="24">
        <f t="shared" si="28"/>
        <v>1</v>
      </c>
      <c r="H24" s="24">
        <f t="shared" si="28"/>
        <v>1</v>
      </c>
      <c r="I24" s="24">
        <f t="shared" si="28"/>
        <v>1</v>
      </c>
      <c r="J24" s="24">
        <f t="shared" ref="J24:N24" si="29">IF(J41&lt;10%,1,IF(15%&lt;J41,2.5,2))</f>
        <v>1</v>
      </c>
      <c r="K24" s="24">
        <f t="shared" si="29"/>
        <v>1</v>
      </c>
      <c r="L24" s="24" t="e">
        <f t="shared" si="29"/>
        <v>#DIV/0!</v>
      </c>
      <c r="M24" s="24" t="e">
        <f t="shared" si="29"/>
        <v>#DIV/0!</v>
      </c>
      <c r="N24" s="24" t="e">
        <f t="shared" si="29"/>
        <v>#DIV/0!</v>
      </c>
    </row>
    <row r="25" spans="2:14" ht="25.5">
      <c r="B25" s="25" t="s">
        <v>288</v>
      </c>
      <c r="C25" s="26">
        <f t="shared" ref="C25:I25" si="30">+C23*C18</f>
        <v>829.76787509798532</v>
      </c>
      <c r="D25" s="26">
        <f t="shared" si="30"/>
        <v>0</v>
      </c>
      <c r="E25" s="26">
        <f t="shared" si="30"/>
        <v>0</v>
      </c>
      <c r="F25" s="26">
        <f t="shared" si="30"/>
        <v>0</v>
      </c>
      <c r="G25" s="26">
        <f t="shared" si="30"/>
        <v>0</v>
      </c>
      <c r="H25" s="26">
        <f t="shared" si="30"/>
        <v>0</v>
      </c>
      <c r="I25" s="26">
        <f t="shared" si="30"/>
        <v>0</v>
      </c>
      <c r="J25" s="26">
        <f t="shared" ref="J25:N25" si="31">+J23*J18</f>
        <v>0</v>
      </c>
      <c r="K25" s="26">
        <f t="shared" si="31"/>
        <v>0</v>
      </c>
      <c r="L25" s="26" t="e">
        <f t="shared" si="31"/>
        <v>#DIV/0!</v>
      </c>
      <c r="M25" s="26" t="e">
        <f t="shared" si="31"/>
        <v>#DIV/0!</v>
      </c>
      <c r="N25" s="26" t="e">
        <f t="shared" si="31"/>
        <v>#DIV/0!</v>
      </c>
    </row>
    <row r="26" spans="2:14" ht="25.5">
      <c r="B26" s="25" t="s">
        <v>289</v>
      </c>
      <c r="C26" s="26">
        <f>AVERAGE(C25,C27)</f>
        <v>1244.651812646978</v>
      </c>
      <c r="D26" s="26">
        <f t="shared" ref="D26:I26" si="32">AVERAGE(D25,D27)</f>
        <v>445.22000443878977</v>
      </c>
      <c r="E26" s="26">
        <f t="shared" si="32"/>
        <v>440.13205628511258</v>
      </c>
      <c r="F26" s="26">
        <f t="shared" si="32"/>
        <v>459.72511602848431</v>
      </c>
      <c r="G26" s="26">
        <f t="shared" si="32"/>
        <v>340.04480594049807</v>
      </c>
      <c r="H26" s="26">
        <f t="shared" si="32"/>
        <v>344.5463953689046</v>
      </c>
      <c r="I26" s="26">
        <f t="shared" si="32"/>
        <v>345.9925466601527</v>
      </c>
      <c r="J26" s="26">
        <f>AVERAGE(J25,J27)</f>
        <v>361.46808261861116</v>
      </c>
      <c r="K26" s="26">
        <f t="shared" ref="K26:N26" si="33">AVERAGE(K25,K27)</f>
        <v>363.0176644367956</v>
      </c>
      <c r="L26" s="26" t="e">
        <f t="shared" si="33"/>
        <v>#DIV/0!</v>
      </c>
      <c r="M26" s="26" t="e">
        <f t="shared" si="33"/>
        <v>#DIV/0!</v>
      </c>
      <c r="N26" s="26" t="e">
        <f t="shared" si="33"/>
        <v>#DIV/0!</v>
      </c>
    </row>
    <row r="27" spans="2:14" ht="25.5">
      <c r="B27" s="25" t="s">
        <v>290</v>
      </c>
      <c r="C27" s="26">
        <f t="shared" ref="C27:I27" si="34">+C18*C24</f>
        <v>1659.5357501959706</v>
      </c>
      <c r="D27" s="26">
        <f t="shared" si="34"/>
        <v>890.44000887757954</v>
      </c>
      <c r="E27" s="26">
        <f t="shared" si="34"/>
        <v>880.26411257022517</v>
      </c>
      <c r="F27" s="26">
        <f t="shared" si="34"/>
        <v>919.45023205696862</v>
      </c>
      <c r="G27" s="26">
        <f t="shared" si="34"/>
        <v>680.08961188099613</v>
      </c>
      <c r="H27" s="26">
        <f t="shared" si="34"/>
        <v>689.0927907378092</v>
      </c>
      <c r="I27" s="26">
        <f t="shared" si="34"/>
        <v>691.9850933203054</v>
      </c>
      <c r="J27" s="26">
        <f t="shared" ref="J27:N27" si="35">+J18*J24</f>
        <v>722.93616523722233</v>
      </c>
      <c r="K27" s="26">
        <f t="shared" si="35"/>
        <v>726.0353288735912</v>
      </c>
      <c r="L27" s="26" t="e">
        <f t="shared" si="35"/>
        <v>#DIV/0!</v>
      </c>
      <c r="M27" s="26" t="e">
        <f t="shared" si="35"/>
        <v>#DIV/0!</v>
      </c>
      <c r="N27" s="26" t="e">
        <f t="shared" si="35"/>
        <v>#DIV/0!</v>
      </c>
    </row>
    <row r="29" spans="2:14" ht="25.5">
      <c r="B29" s="243" t="s">
        <v>291</v>
      </c>
      <c r="C29" s="81">
        <f t="shared" ref="C29:I29" si="36">C7-C12</f>
        <v>-173205842000</v>
      </c>
      <c r="D29" s="81">
        <f t="shared" si="36"/>
        <v>-12473113000</v>
      </c>
      <c r="E29" s="81">
        <f t="shared" si="36"/>
        <v>75570818000</v>
      </c>
      <c r="F29" s="81">
        <f t="shared" si="36"/>
        <v>270088075000</v>
      </c>
      <c r="G29" s="81">
        <f t="shared" si="36"/>
        <v>172759480000</v>
      </c>
      <c r="H29" s="81">
        <f t="shared" si="36"/>
        <v>101238224000</v>
      </c>
      <c r="I29" s="81">
        <f t="shared" si="36"/>
        <v>-76984443000</v>
      </c>
      <c r="J29" s="81">
        <f t="shared" ref="J29:N29" si="37">J7-J12</f>
        <v>-418431570000</v>
      </c>
      <c r="K29" s="81">
        <f t="shared" si="37"/>
        <v>-350091606000</v>
      </c>
      <c r="L29" s="81">
        <f t="shared" si="37"/>
        <v>0</v>
      </c>
      <c r="M29" s="81">
        <f t="shared" si="37"/>
        <v>0</v>
      </c>
      <c r="N29" s="81">
        <f t="shared" si="37"/>
        <v>0</v>
      </c>
    </row>
    <row r="30" spans="2:14" ht="25.5">
      <c r="B30" s="30" t="s">
        <v>149</v>
      </c>
      <c r="C30" s="241">
        <f t="shared" ref="C30:I30" si="38">C7/C12</f>
        <v>0.74511292706531296</v>
      </c>
      <c r="D30" s="241">
        <f t="shared" si="38"/>
        <v>0.97289364675365242</v>
      </c>
      <c r="E30" s="241">
        <f t="shared" si="38"/>
        <v>1.1710111665869676</v>
      </c>
      <c r="F30" s="241">
        <f t="shared" si="38"/>
        <v>1.5590769852839701</v>
      </c>
      <c r="G30" s="241">
        <f t="shared" si="38"/>
        <v>1.3771103204309882</v>
      </c>
      <c r="H30" s="242">
        <f t="shared" si="38"/>
        <v>1.2254296001681391</v>
      </c>
      <c r="I30" s="242">
        <f t="shared" si="38"/>
        <v>0.93224943681216332</v>
      </c>
      <c r="J30" s="242">
        <f t="shared" ref="J30:N30" si="39">J7/J12</f>
        <v>0.62528767232589744</v>
      </c>
      <c r="K30" s="242">
        <f t="shared" si="39"/>
        <v>0.70854297773074848</v>
      </c>
      <c r="L30" s="242" t="e">
        <f t="shared" si="39"/>
        <v>#DIV/0!</v>
      </c>
      <c r="M30" s="242" t="e">
        <f t="shared" si="39"/>
        <v>#DIV/0!</v>
      </c>
      <c r="N30" s="242" t="e">
        <f t="shared" si="39"/>
        <v>#DIV/0!</v>
      </c>
    </row>
    <row r="31" spans="2:14" ht="25.5">
      <c r="B31" s="30" t="s">
        <v>292</v>
      </c>
      <c r="C31" s="241">
        <f t="shared" ref="C31:I31" si="40">+(C7-C9)/C12</f>
        <v>0.73054634403601748</v>
      </c>
      <c r="D31" s="241">
        <f t="shared" si="40"/>
        <v>0.95394687952643398</v>
      </c>
      <c r="E31" s="241">
        <f t="shared" si="40"/>
        <v>1.1538182493578817</v>
      </c>
      <c r="F31" s="241">
        <f t="shared" si="40"/>
        <v>1.5473960825039734</v>
      </c>
      <c r="G31" s="241">
        <f t="shared" si="40"/>
        <v>1.371437818473882</v>
      </c>
      <c r="H31" s="241">
        <f t="shared" si="40"/>
        <v>1.2179529172935701</v>
      </c>
      <c r="I31" s="241">
        <f t="shared" si="40"/>
        <v>0.92900530058684827</v>
      </c>
      <c r="J31" s="241">
        <f t="shared" ref="J31:N31" si="41">+(J7-J9)/J12</f>
        <v>0.62142704655606118</v>
      </c>
      <c r="K31" s="241">
        <f t="shared" si="41"/>
        <v>0.70483611746690944</v>
      </c>
      <c r="L31" s="241" t="e">
        <f t="shared" si="41"/>
        <v>#DIV/0!</v>
      </c>
      <c r="M31" s="241" t="e">
        <f t="shared" si="41"/>
        <v>#DIV/0!</v>
      </c>
      <c r="N31" s="241" t="e">
        <f t="shared" si="41"/>
        <v>#DIV/0!</v>
      </c>
    </row>
    <row r="32" spans="2:14" ht="25.5">
      <c r="B32" s="32" t="s">
        <v>153</v>
      </c>
      <c r="C32" s="33">
        <f t="shared" ref="C32:I32" si="42">C14/C11</f>
        <v>0.50189990432837561</v>
      </c>
      <c r="D32" s="33">
        <f t="shared" si="42"/>
        <v>0.48589395323960355</v>
      </c>
      <c r="E32" s="33">
        <f t="shared" si="42"/>
        <v>0.51360763941015397</v>
      </c>
      <c r="F32" s="33">
        <f t="shared" si="42"/>
        <v>0.55222992207353849</v>
      </c>
      <c r="G32" s="33">
        <f t="shared" si="42"/>
        <v>0.54454325582946206</v>
      </c>
      <c r="H32" s="33">
        <f t="shared" si="42"/>
        <v>0.62108241236385331</v>
      </c>
      <c r="I32" s="33">
        <f t="shared" si="42"/>
        <v>0.63889486250391858</v>
      </c>
      <c r="J32" s="33">
        <f t="shared" ref="J32:N32" si="43">J14/J11</f>
        <v>0.62873808571495493</v>
      </c>
      <c r="K32" s="33">
        <f t="shared" si="43"/>
        <v>0.6342379128770913</v>
      </c>
      <c r="L32" s="33" t="e">
        <f t="shared" si="43"/>
        <v>#DIV/0!</v>
      </c>
      <c r="M32" s="33" t="e">
        <f t="shared" si="43"/>
        <v>#DIV/0!</v>
      </c>
      <c r="N32" s="33" t="e">
        <f t="shared" si="43"/>
        <v>#DIV/0!</v>
      </c>
    </row>
    <row r="35" spans="2:14" ht="25.5">
      <c r="B35" s="35" t="s">
        <v>293</v>
      </c>
      <c r="C35" s="36">
        <f>+C121</f>
        <v>1715058587000</v>
      </c>
      <c r="D35" s="36">
        <f t="shared" ref="D35:I35" si="44">+D121</f>
        <v>1680422138000</v>
      </c>
      <c r="E35" s="36">
        <f t="shared" si="44"/>
        <v>1696320042000</v>
      </c>
      <c r="F35" s="36">
        <f t="shared" si="44"/>
        <v>1761974992000</v>
      </c>
      <c r="G35" s="36">
        <f t="shared" si="44"/>
        <v>1587562346000</v>
      </c>
      <c r="H35" s="36">
        <f t="shared" si="44"/>
        <v>2286048014000</v>
      </c>
      <c r="I35" s="36">
        <f t="shared" si="44"/>
        <v>2081914793000</v>
      </c>
      <c r="J35" s="36">
        <f t="shared" ref="J35:N35" si="45">+J121</f>
        <v>2666444095000</v>
      </c>
      <c r="K35" s="36">
        <f t="shared" si="45"/>
        <v>2340591599000</v>
      </c>
      <c r="L35" s="36">
        <f t="shared" si="45"/>
        <v>0</v>
      </c>
      <c r="M35" s="36">
        <f t="shared" si="45"/>
        <v>0</v>
      </c>
      <c r="N35" s="36">
        <f t="shared" si="45"/>
        <v>0</v>
      </c>
    </row>
    <row r="36" spans="2:14" ht="25.5">
      <c r="B36" s="39" t="s">
        <v>156</v>
      </c>
      <c r="C36" s="40">
        <f>+C128</f>
        <v>131783576000</v>
      </c>
      <c r="D36" s="40">
        <f t="shared" ref="D36:I36" si="46">+D128</f>
        <v>70630026000</v>
      </c>
      <c r="E36" s="40">
        <f t="shared" si="46"/>
        <v>217261624000</v>
      </c>
      <c r="F36" s="40">
        <f t="shared" si="46"/>
        <v>90401966000</v>
      </c>
      <c r="G36" s="40">
        <f t="shared" si="46"/>
        <v>52377422000</v>
      </c>
      <c r="H36" s="40">
        <f t="shared" si="46"/>
        <v>85093260000</v>
      </c>
      <c r="I36" s="40">
        <f t="shared" si="46"/>
        <v>100477586000</v>
      </c>
      <c r="J36" s="40">
        <f t="shared" ref="J36:N36" si="47">+J128</f>
        <v>165433433000</v>
      </c>
      <c r="K36" s="40">
        <f t="shared" si="47"/>
        <v>77830381000</v>
      </c>
      <c r="L36" s="40">
        <f t="shared" si="47"/>
        <v>0</v>
      </c>
      <c r="M36" s="40">
        <f t="shared" si="47"/>
        <v>0</v>
      </c>
      <c r="N36" s="40">
        <f t="shared" si="47"/>
        <v>0</v>
      </c>
    </row>
    <row r="37" spans="2:14" ht="25.5">
      <c r="B37" s="35" t="s">
        <v>381</v>
      </c>
      <c r="C37" s="41">
        <f>C36/C35</f>
        <v>7.683911033646805E-2</v>
      </c>
      <c r="D37" s="41">
        <f t="shared" ref="D37:I37" si="48">D36/D35</f>
        <v>4.2031120873033866E-2</v>
      </c>
      <c r="E37" s="41">
        <f t="shared" si="48"/>
        <v>0.12807820377093676</v>
      </c>
      <c r="F37" s="41">
        <f t="shared" si="48"/>
        <v>5.1307178825157812E-2</v>
      </c>
      <c r="G37" s="41">
        <f t="shared" si="48"/>
        <v>3.2992355942410338E-2</v>
      </c>
      <c r="H37" s="41">
        <f t="shared" si="48"/>
        <v>3.7222866483503349E-2</v>
      </c>
      <c r="I37" s="41">
        <f t="shared" si="48"/>
        <v>4.8262102914987066E-2</v>
      </c>
      <c r="J37" s="41">
        <f t="shared" ref="J37:N37" si="49">J36/J35</f>
        <v>6.2042715731491831E-2</v>
      </c>
      <c r="K37" s="41">
        <f t="shared" si="49"/>
        <v>3.3252439696550409E-2</v>
      </c>
      <c r="L37" s="41" t="e">
        <f t="shared" si="49"/>
        <v>#DIV/0!</v>
      </c>
      <c r="M37" s="41" t="e">
        <f t="shared" si="49"/>
        <v>#DIV/0!</v>
      </c>
      <c r="N37" s="41" t="e">
        <f t="shared" si="49"/>
        <v>#DIV/0!</v>
      </c>
    </row>
    <row r="38" spans="2:14" ht="25.5">
      <c r="B38" s="43" t="s">
        <v>295</v>
      </c>
      <c r="C38" s="44">
        <f>+C139</f>
        <v>179105263000</v>
      </c>
      <c r="D38" s="44">
        <f t="shared" ref="D38:I38" si="50">+D139</f>
        <v>33889642000</v>
      </c>
      <c r="E38" s="44">
        <f t="shared" si="50"/>
        <v>87961357000</v>
      </c>
      <c r="F38" s="44">
        <f t="shared" si="50"/>
        <v>61567956000</v>
      </c>
      <c r="G38" s="44">
        <f t="shared" si="50"/>
        <v>5325189000</v>
      </c>
      <c r="H38" s="44">
        <f t="shared" si="50"/>
        <v>39041577000</v>
      </c>
      <c r="I38" s="44">
        <f t="shared" si="50"/>
        <v>12089319000</v>
      </c>
      <c r="J38" s="44">
        <f t="shared" ref="J38:N38" si="51">+J139</f>
        <v>87697692000</v>
      </c>
      <c r="K38" s="44">
        <f t="shared" si="51"/>
        <v>11999920000</v>
      </c>
      <c r="L38" s="44">
        <f t="shared" si="51"/>
        <v>0</v>
      </c>
      <c r="M38" s="44">
        <f t="shared" si="51"/>
        <v>0</v>
      </c>
      <c r="N38" s="44">
        <f t="shared" si="51"/>
        <v>0</v>
      </c>
    </row>
    <row r="39" spans="2:14" ht="25.5">
      <c r="B39" s="30" t="s">
        <v>296</v>
      </c>
      <c r="C39" s="45">
        <f>C38/C35</f>
        <v>0.10443098816425447</v>
      </c>
      <c r="D39" s="45">
        <f t="shared" ref="D39:I39" si="52">D38/D35</f>
        <v>2.0167338452428792E-2</v>
      </c>
      <c r="E39" s="45">
        <f t="shared" si="52"/>
        <v>5.1854222565390171E-2</v>
      </c>
      <c r="F39" s="45">
        <f t="shared" si="52"/>
        <v>3.4942582204367634E-2</v>
      </c>
      <c r="G39" s="45">
        <f t="shared" si="52"/>
        <v>3.3543180294098511E-3</v>
      </c>
      <c r="H39" s="45">
        <f t="shared" si="52"/>
        <v>1.7078196416219278E-2</v>
      </c>
      <c r="I39" s="45">
        <f t="shared" si="52"/>
        <v>5.8068269847775661E-3</v>
      </c>
      <c r="J39" s="45">
        <f t="shared" ref="J39:N39" si="53">J38/J35</f>
        <v>3.2889379591511746E-2</v>
      </c>
      <c r="K39" s="45">
        <f t="shared" si="53"/>
        <v>5.1268747632550998E-3</v>
      </c>
      <c r="L39" s="45" t="e">
        <f t="shared" si="53"/>
        <v>#DIV/0!</v>
      </c>
      <c r="M39" s="45" t="e">
        <f t="shared" si="53"/>
        <v>#DIV/0!</v>
      </c>
      <c r="N39" s="45" t="e">
        <f t="shared" si="53"/>
        <v>#DIV/0!</v>
      </c>
    </row>
    <row r="40" spans="2:14" ht="25.5">
      <c r="B40" s="46" t="s">
        <v>159</v>
      </c>
      <c r="C40" s="121">
        <f>+C140</f>
        <v>89.564138163086369</v>
      </c>
      <c r="D40" s="121">
        <f t="shared" ref="D40:I40" si="54">+D140</f>
        <v>16.744025656430569</v>
      </c>
      <c r="E40" s="121">
        <f t="shared" si="54"/>
        <v>43.547449033082898</v>
      </c>
      <c r="F40" s="121">
        <f t="shared" si="54"/>
        <v>30.480741969238725</v>
      </c>
      <c r="G40" s="121">
        <f t="shared" si="54"/>
        <v>2.64</v>
      </c>
      <c r="H40" s="121">
        <f t="shared" si="54"/>
        <v>19.03</v>
      </c>
      <c r="I40" s="121">
        <f t="shared" si="54"/>
        <v>5.9851168848745786</v>
      </c>
      <c r="J40" s="121">
        <f t="shared" ref="J40:N40" si="55">+J140</f>
        <v>43.416915142509701</v>
      </c>
      <c r="K40" s="121">
        <f t="shared" si="55"/>
        <v>5.9408576950566161</v>
      </c>
      <c r="L40" s="121">
        <f t="shared" si="55"/>
        <v>0</v>
      </c>
      <c r="M40" s="121">
        <f t="shared" si="55"/>
        <v>0</v>
      </c>
      <c r="N40" s="121">
        <f t="shared" si="55"/>
        <v>0</v>
      </c>
    </row>
    <row r="41" spans="2:14" ht="25.5">
      <c r="B41" s="48" t="s">
        <v>160</v>
      </c>
      <c r="C41" s="49">
        <f t="shared" ref="C41:I41" si="56">C38/C15</f>
        <v>0.10793878728133449</v>
      </c>
      <c r="D41" s="49">
        <f t="shared" si="56"/>
        <v>1.8804215319948175E-2</v>
      </c>
      <c r="E41" s="49">
        <f t="shared" si="56"/>
        <v>4.9470889942260142E-2</v>
      </c>
      <c r="F41" s="49">
        <f t="shared" si="56"/>
        <v>3.3151051472408738E-2</v>
      </c>
      <c r="G41" s="49">
        <f t="shared" si="56"/>
        <v>3.8764990677871117E-3</v>
      </c>
      <c r="H41" s="49">
        <f t="shared" si="56"/>
        <v>2.8049197745349131E-2</v>
      </c>
      <c r="I41" s="49">
        <f t="shared" si="56"/>
        <v>8.6491991556589681E-3</v>
      </c>
      <c r="J41" s="49">
        <f t="shared" ref="J41:N41" si="57">J38/J15</f>
        <v>6.0056360755258373E-2</v>
      </c>
      <c r="K41" s="49">
        <f t="shared" si="57"/>
        <v>8.1826013952703523E-3</v>
      </c>
      <c r="L41" s="49" t="e">
        <f t="shared" si="57"/>
        <v>#DIV/0!</v>
      </c>
      <c r="M41" s="49" t="e">
        <f t="shared" si="57"/>
        <v>#DIV/0!</v>
      </c>
      <c r="N41" s="49" t="e">
        <f t="shared" si="57"/>
        <v>#DIV/0!</v>
      </c>
    </row>
    <row r="42" spans="2:14" ht="25.5">
      <c r="B42" s="48" t="s">
        <v>382</v>
      </c>
      <c r="C42" s="49">
        <f>AVERAGE(G41:I41)</f>
        <v>1.3524965322931737E-2</v>
      </c>
      <c r="D42" s="49"/>
      <c r="E42" s="49"/>
      <c r="F42" s="49"/>
      <c r="G42" s="49"/>
      <c r="H42" s="49"/>
      <c r="I42" s="49"/>
      <c r="J42" s="49"/>
      <c r="K42" s="49"/>
      <c r="L42" s="49"/>
      <c r="M42" s="49"/>
      <c r="N42" s="49"/>
    </row>
    <row r="43" spans="2:14" ht="25.5">
      <c r="B43" s="48" t="s">
        <v>298</v>
      </c>
      <c r="C43" s="50">
        <f>+C152</f>
        <v>-230481694000</v>
      </c>
      <c r="D43" s="50">
        <f t="shared" ref="D43:I43" si="58">+D152</f>
        <v>-110614378000</v>
      </c>
      <c r="E43" s="50">
        <f t="shared" si="58"/>
        <v>54480731000</v>
      </c>
      <c r="F43" s="50">
        <f t="shared" si="58"/>
        <v>27642200000</v>
      </c>
      <c r="G43" s="50">
        <f t="shared" si="58"/>
        <v>-31197081000</v>
      </c>
      <c r="H43" s="50">
        <f t="shared" si="58"/>
        <v>-243713211000</v>
      </c>
      <c r="I43" s="50">
        <f t="shared" si="58"/>
        <v>-288205968000</v>
      </c>
      <c r="J43" s="50">
        <f t="shared" ref="J43:N43" si="59">+J152</f>
        <v>-4841685000</v>
      </c>
      <c r="K43" s="50">
        <f t="shared" si="59"/>
        <v>-272782834000</v>
      </c>
      <c r="L43" s="50">
        <f t="shared" si="59"/>
        <v>0</v>
      </c>
      <c r="M43" s="50">
        <f t="shared" si="59"/>
        <v>0</v>
      </c>
      <c r="N43" s="50">
        <f t="shared" si="59"/>
        <v>0</v>
      </c>
    </row>
    <row r="44" spans="2:14" ht="25.5">
      <c r="B44" s="51" t="s">
        <v>111</v>
      </c>
      <c r="C44" s="51">
        <f>SUM(C46:C49)</f>
        <v>23</v>
      </c>
      <c r="D44" s="51">
        <f t="shared" ref="D44:F44" si="60">SUM(D46:D49)</f>
        <v>30</v>
      </c>
      <c r="E44" s="51">
        <f t="shared" si="60"/>
        <v>66</v>
      </c>
      <c r="F44" s="51">
        <f t="shared" si="60"/>
        <v>10</v>
      </c>
      <c r="G44" s="51">
        <f>SUM(G46:G49)</f>
        <v>16.8459</v>
      </c>
      <c r="H44" s="51">
        <f>SUM(H46:H49)</f>
        <v>0.79100000000000004</v>
      </c>
      <c r="I44" s="51">
        <f t="shared" ref="I44:K44" si="61">SUM(I46:I48)</f>
        <v>5.71</v>
      </c>
      <c r="J44" s="51">
        <f t="shared" si="61"/>
        <v>1.8</v>
      </c>
      <c r="K44" s="51">
        <f t="shared" si="61"/>
        <v>0</v>
      </c>
      <c r="L44" s="55"/>
      <c r="M44" s="55"/>
      <c r="N44" s="55"/>
    </row>
    <row r="45" spans="2:14" ht="25.5">
      <c r="B45" s="51" t="s">
        <v>112</v>
      </c>
      <c r="C45" s="51">
        <f>+C46+C47</f>
        <v>23</v>
      </c>
      <c r="D45" s="51">
        <f t="shared" ref="D45:K45" si="62">+D46+D47</f>
        <v>30</v>
      </c>
      <c r="E45" s="51">
        <f t="shared" si="62"/>
        <v>6</v>
      </c>
      <c r="F45" s="51">
        <f t="shared" si="62"/>
        <v>10</v>
      </c>
      <c r="G45" s="51">
        <f t="shared" si="62"/>
        <v>9.1999999999999993</v>
      </c>
      <c r="H45" s="51">
        <f t="shared" si="62"/>
        <v>0.79100000000000004</v>
      </c>
      <c r="I45" s="51">
        <f t="shared" si="62"/>
        <v>5.71</v>
      </c>
      <c r="J45" s="51">
        <f t="shared" si="62"/>
        <v>1.8</v>
      </c>
      <c r="K45" s="51">
        <f t="shared" si="62"/>
        <v>0</v>
      </c>
      <c r="L45" s="55"/>
      <c r="M45" s="55"/>
      <c r="N45" s="55"/>
    </row>
    <row r="46" spans="2:14" ht="18">
      <c r="B46" s="135" t="s">
        <v>114</v>
      </c>
      <c r="C46" s="94">
        <v>15</v>
      </c>
      <c r="D46" s="94">
        <v>20</v>
      </c>
      <c r="E46" s="94">
        <v>2</v>
      </c>
      <c r="F46" s="94">
        <v>10</v>
      </c>
      <c r="G46" s="94">
        <v>9.1999999999999993</v>
      </c>
      <c r="H46" s="94">
        <v>0.79100000000000004</v>
      </c>
      <c r="I46" s="155">
        <v>5.71</v>
      </c>
      <c r="J46" s="155">
        <v>1.8</v>
      </c>
      <c r="K46" s="155"/>
      <c r="L46" s="813"/>
      <c r="M46" s="813"/>
      <c r="N46" s="813"/>
    </row>
    <row r="47" spans="2:14" ht="18">
      <c r="B47" s="135" t="s">
        <v>115</v>
      </c>
      <c r="C47" s="94">
        <v>8</v>
      </c>
      <c r="D47" s="94">
        <v>10</v>
      </c>
      <c r="E47" s="94">
        <v>4</v>
      </c>
      <c r="F47" s="94"/>
      <c r="G47" s="94"/>
      <c r="H47" s="94"/>
      <c r="I47" s="155"/>
      <c r="J47" s="155"/>
      <c r="K47" s="155"/>
      <c r="L47" s="813"/>
      <c r="M47" s="813"/>
      <c r="N47" s="813"/>
    </row>
    <row r="48" spans="2:14" ht="18">
      <c r="B48" s="135" t="s">
        <v>116</v>
      </c>
      <c r="C48" s="94"/>
      <c r="D48" s="94"/>
      <c r="E48" s="94"/>
      <c r="F48" s="94"/>
      <c r="G48" s="94"/>
      <c r="H48" s="94"/>
      <c r="I48" s="155"/>
      <c r="J48" s="155"/>
      <c r="K48" s="155"/>
      <c r="L48" s="813"/>
      <c r="M48" s="813"/>
      <c r="N48" s="813"/>
    </row>
    <row r="49" spans="2:16" ht="18">
      <c r="B49" s="135" t="s">
        <v>117</v>
      </c>
      <c r="C49" s="94"/>
      <c r="D49" s="94"/>
      <c r="E49" s="94">
        <v>60</v>
      </c>
      <c r="F49" s="94"/>
      <c r="G49" s="94">
        <v>7.6459000000000001</v>
      </c>
      <c r="H49" s="94"/>
      <c r="I49" s="94"/>
      <c r="J49" s="94"/>
      <c r="K49" s="94"/>
      <c r="L49" s="78"/>
      <c r="M49" s="78"/>
      <c r="N49" s="78"/>
    </row>
    <row r="50" spans="2:16" ht="25.5">
      <c r="B50" s="51" t="s">
        <v>119</v>
      </c>
      <c r="C50" s="51">
        <f>SUM(C52:C55)</f>
        <v>20</v>
      </c>
      <c r="D50" s="51">
        <f t="shared" ref="D50:F50" si="63">SUM(D52:D55)</f>
        <v>12</v>
      </c>
      <c r="E50" s="51">
        <f t="shared" si="63"/>
        <v>74</v>
      </c>
      <c r="F50" s="51">
        <f t="shared" si="63"/>
        <v>16.8459</v>
      </c>
      <c r="G50" s="51">
        <f>SUM(G52:G55)</f>
        <v>0.79100000000000004</v>
      </c>
      <c r="H50" s="51">
        <f>SUM(H52:H55)</f>
        <v>5.71</v>
      </c>
      <c r="I50" s="51">
        <f t="shared" ref="I50:N50" si="64">SUM(I52:I55)</f>
        <v>1.8</v>
      </c>
      <c r="J50" s="51">
        <f t="shared" si="64"/>
        <v>0</v>
      </c>
      <c r="K50" s="51">
        <f t="shared" si="64"/>
        <v>0</v>
      </c>
      <c r="L50" s="51">
        <f t="shared" si="64"/>
        <v>0</v>
      </c>
      <c r="M50" s="51">
        <f t="shared" si="64"/>
        <v>0</v>
      </c>
      <c r="N50" s="51">
        <f t="shared" si="64"/>
        <v>0</v>
      </c>
    </row>
    <row r="51" spans="2:16" ht="25.5">
      <c r="B51" s="51" t="s">
        <v>383</v>
      </c>
      <c r="C51" s="51">
        <f>+C52+C53</f>
        <v>20</v>
      </c>
      <c r="D51" s="51">
        <f t="shared" ref="D51:I51" si="65">+D52+D53</f>
        <v>12</v>
      </c>
      <c r="E51" s="51">
        <f t="shared" si="65"/>
        <v>14</v>
      </c>
      <c r="F51" s="51">
        <f t="shared" si="65"/>
        <v>9.1999999999999993</v>
      </c>
      <c r="G51" s="51">
        <f t="shared" si="65"/>
        <v>0.79100000000000004</v>
      </c>
      <c r="H51" s="51">
        <f t="shared" si="65"/>
        <v>5.71</v>
      </c>
      <c r="I51" s="51">
        <f t="shared" si="65"/>
        <v>1.8</v>
      </c>
      <c r="J51" s="51">
        <f t="shared" ref="J51:N51" si="66">+J52+J53</f>
        <v>0</v>
      </c>
      <c r="K51" s="51">
        <f t="shared" si="66"/>
        <v>0</v>
      </c>
      <c r="L51" s="51">
        <f t="shared" si="66"/>
        <v>0</v>
      </c>
      <c r="M51" s="51">
        <f t="shared" si="66"/>
        <v>0</v>
      </c>
      <c r="N51" s="51">
        <f t="shared" si="66"/>
        <v>0</v>
      </c>
    </row>
    <row r="52" spans="2:16" ht="18">
      <c r="B52" s="135" t="s">
        <v>121</v>
      </c>
      <c r="C52" s="94">
        <v>20</v>
      </c>
      <c r="D52" s="94">
        <v>2</v>
      </c>
      <c r="E52" s="94">
        <v>10</v>
      </c>
      <c r="F52" s="94">
        <v>9.1999999999999993</v>
      </c>
      <c r="G52" s="94">
        <v>0.79100000000000004</v>
      </c>
      <c r="H52" s="94">
        <v>5.71</v>
      </c>
      <c r="I52" s="155">
        <v>1.8</v>
      </c>
      <c r="J52" s="155"/>
      <c r="K52" s="155"/>
      <c r="L52" s="155"/>
      <c r="M52" s="155"/>
      <c r="N52" s="155"/>
    </row>
    <row r="53" spans="2:16" ht="18">
      <c r="B53" s="135" t="s">
        <v>122</v>
      </c>
      <c r="C53" s="94"/>
      <c r="D53" s="94">
        <v>10</v>
      </c>
      <c r="E53" s="94">
        <v>4</v>
      </c>
      <c r="F53" s="94"/>
      <c r="G53" s="94"/>
      <c r="H53" s="94"/>
      <c r="I53" s="155"/>
      <c r="J53" s="155"/>
      <c r="K53" s="155"/>
      <c r="L53" s="155"/>
      <c r="M53" s="155"/>
      <c r="N53" s="155"/>
    </row>
    <row r="54" spans="2:16" ht="18">
      <c r="B54" s="135" t="s">
        <v>123</v>
      </c>
      <c r="C54" s="94"/>
      <c r="D54" s="94"/>
      <c r="E54" s="94"/>
      <c r="F54" s="94"/>
      <c r="G54" s="94"/>
      <c r="H54" s="94"/>
      <c r="I54" s="155"/>
      <c r="J54" s="155"/>
      <c r="K54" s="155"/>
      <c r="L54" s="155"/>
      <c r="M54" s="155"/>
      <c r="N54" s="155"/>
    </row>
    <row r="55" spans="2:16" ht="18">
      <c r="B55" s="135" t="s">
        <v>124</v>
      </c>
      <c r="C55" s="94"/>
      <c r="D55" s="94"/>
      <c r="E55" s="94">
        <v>60</v>
      </c>
      <c r="F55" s="851">
        <v>7.6459000000000001</v>
      </c>
      <c r="G55" s="94"/>
      <c r="H55" s="94"/>
      <c r="I55" s="94"/>
      <c r="J55" s="94"/>
      <c r="K55" s="94"/>
      <c r="L55" s="94"/>
      <c r="M55" s="94"/>
      <c r="N55" s="94"/>
    </row>
    <row r="56" spans="2:16" ht="25.5">
      <c r="B56" s="541" t="s">
        <v>167</v>
      </c>
      <c r="C56" s="99">
        <f t="shared" ref="C56:H56" si="67">(C53+C54+C52)/C40</f>
        <v>0.22330366160150189</v>
      </c>
      <c r="D56" s="99">
        <f t="shared" si="67"/>
        <v>0.71667353157640323</v>
      </c>
      <c r="E56" s="99">
        <f t="shared" si="67"/>
        <v>0.32148840657380945</v>
      </c>
      <c r="F56" s="99">
        <f t="shared" si="67"/>
        <v>0.30182992294887939</v>
      </c>
      <c r="G56" s="99">
        <f t="shared" si="67"/>
        <v>0.29962121212121212</v>
      </c>
      <c r="H56" s="99">
        <f t="shared" si="67"/>
        <v>0.30005254860746189</v>
      </c>
      <c r="I56" s="99">
        <f>(I53+I54+I52)/I40</f>
        <v>0.30074600623906111</v>
      </c>
      <c r="J56" s="99">
        <f>(J53+J54+J52)/J40</f>
        <v>0</v>
      </c>
      <c r="K56" s="99">
        <f t="shared" ref="K56:N56" si="68">(K53+K54+L52)/K40</f>
        <v>0</v>
      </c>
      <c r="L56" s="99" t="e">
        <f t="shared" si="68"/>
        <v>#DIV/0!</v>
      </c>
      <c r="M56" s="99" t="e">
        <f t="shared" si="68"/>
        <v>#DIV/0!</v>
      </c>
      <c r="N56" s="99" t="e">
        <f t="shared" si="68"/>
        <v>#DIV/0!</v>
      </c>
    </row>
    <row r="57" spans="2:16" ht="28.5">
      <c r="B57" s="540" t="s">
        <v>303</v>
      </c>
      <c r="C57" s="54">
        <f>AVERAGE(G56:I56)</f>
        <v>0.30013992232257836</v>
      </c>
      <c r="D57" s="54"/>
      <c r="E57" s="54"/>
      <c r="F57" s="54"/>
      <c r="G57" s="54"/>
      <c r="H57" s="54"/>
      <c r="I57" s="54"/>
      <c r="J57" s="54"/>
      <c r="K57" s="54"/>
      <c r="L57" s="54"/>
      <c r="M57" s="54"/>
      <c r="N57" s="54"/>
    </row>
    <row r="58" spans="2:16" ht="25.5">
      <c r="B58" s="541" t="s">
        <v>299</v>
      </c>
      <c r="C58" s="99">
        <f>+C50/C19</f>
        <v>3.6563071297989032E-2</v>
      </c>
      <c r="D58" s="99">
        <f t="shared" ref="D58:I58" si="69">+D50/D19</f>
        <v>3.007518796992481E-2</v>
      </c>
      <c r="E58" s="99">
        <f t="shared" si="69"/>
        <v>0.1796116504854369</v>
      </c>
      <c r="F58" s="99">
        <f t="shared" si="69"/>
        <v>2.3540944661822247E-2</v>
      </c>
      <c r="G58" s="99">
        <f t="shared" si="69"/>
        <v>1.6479166666666667E-3</v>
      </c>
      <c r="H58" s="99">
        <f t="shared" si="69"/>
        <v>1.3217592592592593E-2</v>
      </c>
      <c r="I58" s="99">
        <f t="shared" si="69"/>
        <v>7.554137988920598E-3</v>
      </c>
      <c r="J58" s="99">
        <f t="shared" ref="J58:N58" si="70">+J50/J19</f>
        <v>0</v>
      </c>
      <c r="K58" s="99">
        <f t="shared" si="70"/>
        <v>0</v>
      </c>
      <c r="L58" s="99" t="e">
        <f t="shared" si="70"/>
        <v>#DIV/0!</v>
      </c>
      <c r="M58" s="99" t="e">
        <f t="shared" si="70"/>
        <v>#DIV/0!</v>
      </c>
      <c r="N58" s="99" t="e">
        <f t="shared" si="70"/>
        <v>#DIV/0!</v>
      </c>
    </row>
    <row r="59" spans="2:16" ht="25.5">
      <c r="B59" s="542" t="s">
        <v>384</v>
      </c>
      <c r="C59" s="534">
        <f>AVERAGE(G58:I58)</f>
        <v>7.4732157493932862E-3</v>
      </c>
      <c r="D59" s="534"/>
      <c r="E59" s="534"/>
      <c r="F59" s="534"/>
      <c r="G59" s="534"/>
      <c r="H59" s="534"/>
      <c r="I59" s="534"/>
      <c r="J59" s="534"/>
      <c r="K59" s="534"/>
      <c r="L59" s="534"/>
      <c r="M59" s="534"/>
      <c r="N59" s="534"/>
      <c r="O59" s="534"/>
      <c r="P59" s="534"/>
    </row>
    <row r="60" spans="2:16" ht="25.5">
      <c r="B60" s="543" t="s">
        <v>176</v>
      </c>
      <c r="C60" s="355">
        <f>+C41*(100%-C56)</f>
        <v>8.3835660852586882E-2</v>
      </c>
      <c r="D60" s="355">
        <f t="shared" ref="D60:I60" si="71">+D41*(100%-D56)</f>
        <v>5.3277319180778113E-3</v>
      </c>
      <c r="E60" s="355">
        <f t="shared" si="71"/>
        <v>3.356657236293463E-2</v>
      </c>
      <c r="F60" s="549">
        <f t="shared" si="71"/>
        <v>2.3145072160817272E-2</v>
      </c>
      <c r="G60" s="355">
        <f t="shared" si="71"/>
        <v>2.7150177183099889E-3</v>
      </c>
      <c r="H60" s="355">
        <f>+H41*(100%-H56)</f>
        <v>1.963296447546245E-2</v>
      </c>
      <c r="I60" s="355">
        <f t="shared" si="71"/>
        <v>6.0479870524282739E-3</v>
      </c>
      <c r="J60" s="355">
        <f t="shared" ref="J60:N60" si="72">+J41*(100%-J56)</f>
        <v>6.0056360755258373E-2</v>
      </c>
      <c r="K60" s="355">
        <f t="shared" si="72"/>
        <v>8.1826013952703523E-3</v>
      </c>
      <c r="L60" s="355" t="e">
        <f t="shared" si="72"/>
        <v>#DIV/0!</v>
      </c>
      <c r="M60" s="355" t="e">
        <f t="shared" si="72"/>
        <v>#DIV/0!</v>
      </c>
      <c r="N60" s="355" t="e">
        <f t="shared" si="72"/>
        <v>#DIV/0!</v>
      </c>
    </row>
    <row r="61" spans="2:16" ht="25.5">
      <c r="B61" s="542" t="s">
        <v>306</v>
      </c>
      <c r="C61" s="534">
        <f>AVERAGE(G60:I60)</f>
        <v>9.4653230820669048E-3</v>
      </c>
      <c r="D61" s="534"/>
      <c r="E61" s="534"/>
      <c r="F61" s="534"/>
      <c r="G61" s="534"/>
      <c r="H61" s="534"/>
      <c r="I61" s="534"/>
      <c r="J61" s="534"/>
      <c r="K61" s="534"/>
      <c r="L61" s="534"/>
      <c r="M61" s="534"/>
      <c r="N61" s="534"/>
      <c r="O61" s="534"/>
    </row>
    <row r="62" spans="2:16" ht="25.5">
      <c r="B62" s="543" t="s">
        <v>300</v>
      </c>
      <c r="C62" s="785">
        <f ca="1">B3</f>
        <v>270</v>
      </c>
    </row>
    <row r="64" spans="2:16">
      <c r="B64" s="75" t="s">
        <v>307</v>
      </c>
    </row>
    <row r="65" spans="2:14" ht="14.65" thickBot="1"/>
    <row r="66" spans="2:14">
      <c r="B66" s="57" t="s">
        <v>385</v>
      </c>
      <c r="C66" s="158">
        <v>2017</v>
      </c>
      <c r="D66" s="158">
        <v>2018</v>
      </c>
      <c r="E66" s="158">
        <v>2019</v>
      </c>
      <c r="F66" s="158">
        <v>2020</v>
      </c>
      <c r="G66" s="158">
        <v>2021</v>
      </c>
      <c r="H66" s="158">
        <v>2022</v>
      </c>
      <c r="I66" s="158">
        <v>2023</v>
      </c>
      <c r="J66" s="158">
        <v>2024</v>
      </c>
      <c r="K66" s="158">
        <v>2025</v>
      </c>
      <c r="L66" s="158">
        <v>2026</v>
      </c>
      <c r="M66" s="158">
        <v>2027</v>
      </c>
      <c r="N66" s="158">
        <v>2028</v>
      </c>
    </row>
    <row r="67" spans="2:14">
      <c r="B67" s="157" t="s">
        <v>309</v>
      </c>
      <c r="C67" s="66"/>
      <c r="D67" s="66"/>
      <c r="E67" s="66"/>
      <c r="F67" s="66"/>
      <c r="G67" s="66"/>
      <c r="H67" s="66"/>
      <c r="I67" s="66"/>
      <c r="J67" s="66"/>
      <c r="K67" s="66"/>
      <c r="L67" s="66"/>
      <c r="M67" s="66"/>
      <c r="N67" s="66"/>
    </row>
    <row r="68" spans="2:14">
      <c r="B68" s="58" t="s">
        <v>310</v>
      </c>
      <c r="C68" s="64">
        <v>506333689000</v>
      </c>
      <c r="D68" s="64">
        <v>447681482000</v>
      </c>
      <c r="E68" s="64">
        <v>517476569000</v>
      </c>
      <c r="F68" s="159">
        <v>753184468000</v>
      </c>
      <c r="G68" s="64">
        <v>630873381000</v>
      </c>
      <c r="H68" s="141">
        <v>550328423000</v>
      </c>
      <c r="I68" s="64">
        <v>1059307853000</v>
      </c>
      <c r="J68" s="64">
        <v>698242580000</v>
      </c>
      <c r="K68" s="64">
        <v>851085855000</v>
      </c>
      <c r="L68" s="64"/>
      <c r="M68" s="64"/>
      <c r="N68" s="64"/>
    </row>
    <row r="69" spans="2:14">
      <c r="B69" s="59" t="s">
        <v>386</v>
      </c>
      <c r="C69" s="66"/>
      <c r="D69" s="66"/>
      <c r="E69" s="66"/>
      <c r="F69" s="66"/>
      <c r="G69" s="66"/>
      <c r="H69" s="160"/>
      <c r="I69" s="66"/>
      <c r="J69" s="66">
        <v>58863189000</v>
      </c>
      <c r="K69" s="66">
        <v>28288013000</v>
      </c>
      <c r="L69" s="66"/>
      <c r="M69" s="66"/>
      <c r="N69" s="66"/>
    </row>
    <row r="70" spans="2:14" ht="15">
      <c r="B70" s="59" t="s">
        <v>387</v>
      </c>
      <c r="C70" s="66"/>
      <c r="D70" s="66"/>
      <c r="E70" s="66"/>
      <c r="F70" s="66"/>
      <c r="G70" s="66"/>
      <c r="H70" s="160"/>
      <c r="I70" s="66"/>
      <c r="J70" s="66">
        <v>755548000</v>
      </c>
      <c r="K70" s="66"/>
      <c r="L70" s="66"/>
      <c r="M70" s="66"/>
      <c r="N70" s="66"/>
    </row>
    <row r="71" spans="2:14">
      <c r="B71" s="59" t="s">
        <v>388</v>
      </c>
      <c r="C71" s="66"/>
      <c r="D71" s="66"/>
      <c r="E71" s="66"/>
      <c r="F71" s="66"/>
      <c r="G71" s="66"/>
      <c r="H71" s="160"/>
      <c r="I71" s="66"/>
      <c r="J71" s="66">
        <v>2103633000</v>
      </c>
      <c r="K71" s="66">
        <v>3079196000</v>
      </c>
      <c r="L71" s="66"/>
      <c r="M71" s="66"/>
      <c r="N71" s="66"/>
    </row>
    <row r="72" spans="2:14">
      <c r="B72" s="59" t="s">
        <v>389</v>
      </c>
      <c r="C72" s="66">
        <v>443900478000</v>
      </c>
      <c r="D72" s="66">
        <v>380546708000</v>
      </c>
      <c r="E72" s="66">
        <v>415037907000</v>
      </c>
      <c r="F72" s="66">
        <v>388039354000</v>
      </c>
      <c r="G72" s="66">
        <v>379440494000</v>
      </c>
      <c r="H72" s="160">
        <v>450662188000</v>
      </c>
      <c r="I72" s="66">
        <v>1018819588000</v>
      </c>
      <c r="J72" s="66">
        <v>603795333000</v>
      </c>
      <c r="K72" s="66">
        <v>812364214000</v>
      </c>
      <c r="L72" s="66"/>
      <c r="M72" s="66"/>
      <c r="N72" s="66"/>
    </row>
    <row r="73" spans="2:14">
      <c r="B73" s="59" t="s">
        <v>390</v>
      </c>
      <c r="C73" s="66"/>
      <c r="D73" s="66"/>
      <c r="E73" s="66"/>
      <c r="F73" s="66"/>
      <c r="G73" s="66"/>
      <c r="H73" s="160"/>
      <c r="I73" s="66"/>
      <c r="J73" s="66">
        <v>27932279000</v>
      </c>
      <c r="K73" s="66">
        <v>1867591000</v>
      </c>
      <c r="L73" s="66"/>
      <c r="M73" s="66"/>
      <c r="N73" s="66"/>
    </row>
    <row r="74" spans="2:14">
      <c r="B74" s="59" t="s">
        <v>391</v>
      </c>
      <c r="C74" s="161">
        <v>9898569000</v>
      </c>
      <c r="D74" s="66">
        <v>8718442000</v>
      </c>
      <c r="E74" s="66">
        <v>7597649000</v>
      </c>
      <c r="F74" s="66">
        <v>5643002000</v>
      </c>
      <c r="G74" s="66">
        <v>2598652000</v>
      </c>
      <c r="H74" s="160">
        <v>3357705000</v>
      </c>
      <c r="I74" s="66">
        <v>3686287000</v>
      </c>
      <c r="J74" s="66">
        <v>4311061000</v>
      </c>
      <c r="K74" s="66">
        <v>4452597000</v>
      </c>
      <c r="L74" s="66"/>
      <c r="M74" s="66"/>
      <c r="N74" s="66"/>
    </row>
    <row r="75" spans="2:14">
      <c r="B75" s="59" t="s">
        <v>392</v>
      </c>
      <c r="C75" s="66"/>
      <c r="D75" s="66"/>
      <c r="E75" s="66"/>
      <c r="F75" s="66"/>
      <c r="G75" s="66"/>
      <c r="H75" s="160"/>
      <c r="I75" s="66"/>
      <c r="J75" s="66">
        <v>481537000</v>
      </c>
      <c r="K75" s="66">
        <v>1034244000</v>
      </c>
      <c r="L75" s="66"/>
      <c r="M75" s="66"/>
      <c r="N75" s="66"/>
    </row>
    <row r="76" spans="2:14">
      <c r="B76" s="59" t="s">
        <v>318</v>
      </c>
      <c r="C76" s="66">
        <f t="shared" ref="C76:N76" si="73">+C68-C69-C74-C75-C73-C72-C71-C70</f>
        <v>52534642000</v>
      </c>
      <c r="D76" s="66">
        <f t="shared" si="73"/>
        <v>58416332000</v>
      </c>
      <c r="E76" s="66">
        <f t="shared" si="73"/>
        <v>94841013000</v>
      </c>
      <c r="F76" s="66">
        <f t="shared" si="73"/>
        <v>359502112000</v>
      </c>
      <c r="G76" s="66">
        <f t="shared" si="73"/>
        <v>248834235000</v>
      </c>
      <c r="H76" s="66">
        <f t="shared" si="73"/>
        <v>96308530000</v>
      </c>
      <c r="I76" s="66">
        <f t="shared" si="73"/>
        <v>36801978000</v>
      </c>
      <c r="J76" s="66">
        <f>+J68-J69-J74-J75-J73-J72-J71-J70</f>
        <v>0</v>
      </c>
      <c r="K76" s="66">
        <f>+K68-K69-K74-K75-K73-K72-K71-K70</f>
        <v>0</v>
      </c>
      <c r="L76" s="66">
        <f t="shared" si="73"/>
        <v>0</v>
      </c>
      <c r="M76" s="66">
        <f t="shared" si="73"/>
        <v>0</v>
      </c>
      <c r="N76" s="66">
        <f t="shared" si="73"/>
        <v>0</v>
      </c>
    </row>
    <row r="77" spans="2:14">
      <c r="B77" s="58" t="s">
        <v>319</v>
      </c>
      <c r="C77" s="64">
        <v>2945429593000</v>
      </c>
      <c r="D77" s="64">
        <v>3139252608000</v>
      </c>
      <c r="E77" s="64">
        <v>3225433973000</v>
      </c>
      <c r="F77" s="159">
        <v>3493970270000</v>
      </c>
      <c r="G77" s="64">
        <v>2463706706000</v>
      </c>
      <c r="H77" s="141">
        <v>3216992310000</v>
      </c>
      <c r="I77" s="64">
        <v>2911831137000</v>
      </c>
      <c r="J77" s="64">
        <v>3334388297000</v>
      </c>
      <c r="K77" s="64">
        <v>3266228197000</v>
      </c>
      <c r="L77" s="64"/>
      <c r="M77" s="64"/>
      <c r="N77" s="64"/>
    </row>
    <row r="78" spans="2:14">
      <c r="B78" s="59" t="s">
        <v>393</v>
      </c>
      <c r="C78" s="66"/>
      <c r="D78" s="66"/>
      <c r="E78" s="66"/>
      <c r="F78" s="66"/>
      <c r="G78" s="66"/>
      <c r="H78" s="160"/>
      <c r="I78" s="66"/>
      <c r="J78" s="66">
        <v>13799904000</v>
      </c>
      <c r="K78" s="66">
        <v>2706041000</v>
      </c>
      <c r="L78" s="66"/>
      <c r="M78" s="66"/>
      <c r="N78" s="66"/>
    </row>
    <row r="79" spans="2:14">
      <c r="B79" s="59" t="s">
        <v>394</v>
      </c>
      <c r="C79" s="66"/>
      <c r="D79" s="66"/>
      <c r="E79" s="66"/>
      <c r="F79" s="66"/>
      <c r="G79" s="66"/>
      <c r="H79" s="160"/>
      <c r="I79" s="66"/>
      <c r="J79" s="66">
        <v>8280000</v>
      </c>
      <c r="K79" s="66">
        <v>8280000</v>
      </c>
      <c r="L79" s="66"/>
      <c r="M79" s="66"/>
      <c r="N79" s="66"/>
    </row>
    <row r="80" spans="2:14">
      <c r="B80" s="59" t="s">
        <v>377</v>
      </c>
      <c r="C80" s="66">
        <v>17734897000</v>
      </c>
      <c r="D80" s="66">
        <v>10010290000</v>
      </c>
      <c r="E80" s="66">
        <v>140807424000</v>
      </c>
      <c r="F80" s="66">
        <v>326257220000</v>
      </c>
      <c r="G80" s="66">
        <v>437987023000</v>
      </c>
      <c r="H80" s="160">
        <v>1056801236000</v>
      </c>
      <c r="I80" s="66">
        <v>586641672000</v>
      </c>
      <c r="J80" s="66">
        <v>879974686000</v>
      </c>
      <c r="K80" s="66">
        <v>681214603000</v>
      </c>
      <c r="L80" s="66"/>
      <c r="M80" s="66"/>
      <c r="N80" s="66"/>
    </row>
    <row r="81" spans="2:14">
      <c r="B81" s="59" t="s">
        <v>397</v>
      </c>
      <c r="C81" s="66"/>
      <c r="D81" s="66"/>
      <c r="E81" s="66"/>
      <c r="F81" s="66"/>
      <c r="G81" s="66">
        <v>626167449000</v>
      </c>
      <c r="H81" s="160">
        <v>624456554000</v>
      </c>
      <c r="I81" s="66">
        <v>622286927000</v>
      </c>
      <c r="J81" s="66">
        <v>621120119000</v>
      </c>
      <c r="K81" s="66">
        <v>617500991000</v>
      </c>
      <c r="L81" s="66"/>
      <c r="M81" s="66"/>
      <c r="N81" s="66"/>
    </row>
    <row r="82" spans="2:14">
      <c r="B82" s="59" t="s">
        <v>396</v>
      </c>
      <c r="C82" s="66"/>
      <c r="D82" s="66"/>
      <c r="E82" s="66"/>
      <c r="F82" s="66"/>
      <c r="G82" s="66">
        <v>161446233000</v>
      </c>
      <c r="H82" s="160">
        <v>161446233000</v>
      </c>
      <c r="I82" s="66">
        <v>161446233000</v>
      </c>
      <c r="J82" s="66">
        <v>161446233000</v>
      </c>
      <c r="K82" s="66">
        <v>161446233000</v>
      </c>
      <c r="L82" s="66"/>
      <c r="M82" s="66"/>
      <c r="N82" s="66"/>
    </row>
    <row r="83" spans="2:14">
      <c r="B83" s="59" t="s">
        <v>398</v>
      </c>
      <c r="C83" s="66">
        <v>1792790810000</v>
      </c>
      <c r="D83" s="66">
        <v>1973452022000</v>
      </c>
      <c r="E83" s="66">
        <v>1927638151000</v>
      </c>
      <c r="F83" s="66">
        <v>2038778931000</v>
      </c>
      <c r="G83" s="66">
        <v>1159550462000</v>
      </c>
      <c r="H83" s="160">
        <v>1296488784000</v>
      </c>
      <c r="I83" s="66">
        <v>1461647895000</v>
      </c>
      <c r="J83" s="66">
        <v>1589645164000</v>
      </c>
      <c r="K83" s="66">
        <v>1724853142000</v>
      </c>
      <c r="L83" s="66"/>
      <c r="M83" s="66"/>
      <c r="N83" s="66"/>
    </row>
    <row r="84" spans="2:14">
      <c r="B84" s="59" t="s">
        <v>399</v>
      </c>
      <c r="C84" s="66"/>
      <c r="D84" s="66"/>
      <c r="E84" s="66"/>
      <c r="F84" s="66"/>
      <c r="G84" s="66"/>
      <c r="H84" s="160"/>
      <c r="I84" s="66"/>
      <c r="J84" s="66">
        <v>9068051000</v>
      </c>
      <c r="K84" s="66">
        <v>10854348000</v>
      </c>
      <c r="L84" s="66"/>
      <c r="M84" s="66"/>
      <c r="N84" s="66"/>
    </row>
    <row r="85" spans="2:14">
      <c r="B85" s="59" t="s">
        <v>400</v>
      </c>
      <c r="C85" s="66"/>
      <c r="D85" s="66"/>
      <c r="E85" s="66"/>
      <c r="F85" s="161"/>
      <c r="G85" s="66"/>
      <c r="H85" s="160"/>
      <c r="I85" s="66"/>
      <c r="J85" s="66">
        <v>25016231000</v>
      </c>
      <c r="K85" s="66">
        <v>28309893000</v>
      </c>
      <c r="L85" s="66"/>
      <c r="M85" s="66"/>
      <c r="N85" s="66"/>
    </row>
    <row r="86" spans="2:14">
      <c r="B86" s="59" t="s">
        <v>401</v>
      </c>
      <c r="C86" s="66"/>
      <c r="D86" s="66"/>
      <c r="E86" s="66"/>
      <c r="F86" s="66"/>
      <c r="G86" s="66"/>
      <c r="H86" s="160"/>
      <c r="I86" s="66"/>
      <c r="J86" s="66">
        <v>34309629000</v>
      </c>
      <c r="K86" s="66">
        <v>39334666000</v>
      </c>
      <c r="L86" s="66"/>
      <c r="M86" s="66"/>
      <c r="N86" s="66"/>
    </row>
    <row r="87" spans="2:14">
      <c r="B87" s="59" t="s">
        <v>328</v>
      </c>
      <c r="C87" s="66">
        <f t="shared" ref="C87:N87" si="74">+C77-C84-C85-C83-C78-C86-C82-C81-C80-C79</f>
        <v>1134903886000</v>
      </c>
      <c r="D87" s="66">
        <f t="shared" si="74"/>
        <v>1155790296000</v>
      </c>
      <c r="E87" s="66">
        <f t="shared" si="74"/>
        <v>1156988398000</v>
      </c>
      <c r="F87" s="66">
        <f t="shared" si="74"/>
        <v>1128934119000</v>
      </c>
      <c r="G87" s="66">
        <f t="shared" si="74"/>
        <v>78555539000</v>
      </c>
      <c r="H87" s="66">
        <f t="shared" si="74"/>
        <v>77799503000</v>
      </c>
      <c r="I87" s="66">
        <f t="shared" si="74"/>
        <v>79808410000</v>
      </c>
      <c r="J87" s="66">
        <f t="shared" si="74"/>
        <v>0</v>
      </c>
      <c r="K87" s="66">
        <f t="shared" si="74"/>
        <v>0</v>
      </c>
      <c r="L87" s="66">
        <f t="shared" si="74"/>
        <v>0</v>
      </c>
      <c r="M87" s="66">
        <f t="shared" si="74"/>
        <v>0</v>
      </c>
      <c r="N87" s="66">
        <f t="shared" si="74"/>
        <v>0</v>
      </c>
    </row>
    <row r="88" spans="2:14" ht="14.65" thickBot="1">
      <c r="B88" s="60" t="s">
        <v>329</v>
      </c>
      <c r="C88" s="70">
        <f t="shared" ref="C88:J88" si="75">+C77+C68</f>
        <v>3451763282000</v>
      </c>
      <c r="D88" s="70">
        <f t="shared" si="75"/>
        <v>3586934090000</v>
      </c>
      <c r="E88" s="70">
        <f t="shared" si="75"/>
        <v>3742910542000</v>
      </c>
      <c r="F88" s="70">
        <f t="shared" si="75"/>
        <v>4247154738000</v>
      </c>
      <c r="G88" s="70">
        <f t="shared" si="75"/>
        <v>3094580087000</v>
      </c>
      <c r="H88" s="162">
        <f t="shared" si="75"/>
        <v>3767320733000</v>
      </c>
      <c r="I88" s="162">
        <f t="shared" si="75"/>
        <v>3971138990000</v>
      </c>
      <c r="J88" s="162">
        <f t="shared" si="75"/>
        <v>4032630877000</v>
      </c>
      <c r="K88" s="70">
        <v>4117314052000</v>
      </c>
      <c r="L88" s="70"/>
      <c r="M88" s="70"/>
      <c r="N88" s="70"/>
    </row>
    <row r="89" spans="2:14" ht="14.65" thickBot="1">
      <c r="B89" s="61"/>
      <c r="C89" s="72"/>
      <c r="D89" s="72"/>
      <c r="E89" s="72"/>
      <c r="F89" s="72"/>
      <c r="G89" s="72"/>
      <c r="H89" s="163"/>
      <c r="I89" s="72"/>
      <c r="J89" s="72"/>
      <c r="K89" s="72"/>
      <c r="L89" s="72"/>
      <c r="M89" s="72"/>
      <c r="N89" s="72"/>
    </row>
    <row r="90" spans="2:14">
      <c r="B90" s="57" t="s">
        <v>330</v>
      </c>
      <c r="C90" s="62"/>
      <c r="D90" s="62"/>
      <c r="E90" s="62"/>
      <c r="F90" s="62"/>
      <c r="G90" s="62"/>
      <c r="H90" s="164"/>
      <c r="I90" s="62"/>
      <c r="J90" s="62"/>
      <c r="K90" s="62"/>
      <c r="L90" s="62"/>
      <c r="M90" s="62"/>
      <c r="N90" s="62"/>
    </row>
    <row r="91" spans="2:14">
      <c r="B91" s="58" t="s">
        <v>310</v>
      </c>
      <c r="C91" s="64">
        <v>679539531000</v>
      </c>
      <c r="D91" s="64">
        <v>460154595000</v>
      </c>
      <c r="E91" s="64">
        <v>441905751000</v>
      </c>
      <c r="F91" s="64">
        <v>483096393000</v>
      </c>
      <c r="G91" s="64">
        <v>458113901000</v>
      </c>
      <c r="H91" s="141">
        <v>449090199000</v>
      </c>
      <c r="I91" s="64">
        <v>1136292296000</v>
      </c>
      <c r="J91" s="64">
        <v>1116674150000</v>
      </c>
      <c r="K91" s="64">
        <v>1201177461000</v>
      </c>
      <c r="L91" s="64"/>
      <c r="M91" s="64"/>
      <c r="N91" s="64"/>
    </row>
    <row r="92" spans="2:14">
      <c r="B92" s="59" t="s">
        <v>402</v>
      </c>
      <c r="C92" s="66"/>
      <c r="D92" s="66"/>
      <c r="E92" s="66"/>
      <c r="F92" s="66"/>
      <c r="G92" s="66"/>
      <c r="H92" s="160"/>
      <c r="I92" s="66"/>
      <c r="J92" s="66">
        <v>342632055000</v>
      </c>
      <c r="K92" s="66">
        <v>417410666000</v>
      </c>
      <c r="L92" s="66"/>
      <c r="M92" s="66"/>
      <c r="N92" s="66"/>
    </row>
    <row r="93" spans="2:14">
      <c r="B93" s="59" t="s">
        <v>403</v>
      </c>
      <c r="C93" s="66"/>
      <c r="D93" s="66"/>
      <c r="E93" s="66"/>
      <c r="F93" s="66"/>
      <c r="G93" s="66"/>
      <c r="H93" s="160"/>
      <c r="I93" s="66"/>
      <c r="J93" s="66">
        <v>4680453000</v>
      </c>
      <c r="K93" s="66">
        <v>6395674000</v>
      </c>
      <c r="L93" s="66"/>
      <c r="M93" s="66"/>
      <c r="N93" s="66"/>
    </row>
    <row r="94" spans="2:14">
      <c r="B94" s="59" t="s">
        <v>404</v>
      </c>
      <c r="C94" s="66"/>
      <c r="D94" s="66"/>
      <c r="E94" s="66"/>
      <c r="F94" s="66"/>
      <c r="G94" s="66"/>
      <c r="H94" s="160"/>
      <c r="I94" s="66"/>
      <c r="J94" s="66"/>
      <c r="K94" s="66"/>
      <c r="L94" s="66"/>
      <c r="M94" s="66"/>
      <c r="N94" s="66"/>
    </row>
    <row r="95" spans="2:14">
      <c r="B95" s="59" t="s">
        <v>405</v>
      </c>
      <c r="C95" s="66">
        <v>291485659000</v>
      </c>
      <c r="D95" s="66">
        <v>226470636000</v>
      </c>
      <c r="E95" s="66">
        <v>224197455000</v>
      </c>
      <c r="F95" s="66">
        <v>210110353000</v>
      </c>
      <c r="G95" s="66">
        <v>319078190000</v>
      </c>
      <c r="H95" s="160">
        <v>274231675000</v>
      </c>
      <c r="I95" s="66">
        <v>696933133000</v>
      </c>
      <c r="J95" s="66">
        <v>516879700000</v>
      </c>
      <c r="K95" s="66">
        <v>633060459000</v>
      </c>
      <c r="L95" s="66"/>
      <c r="M95" s="66"/>
      <c r="N95" s="66"/>
    </row>
    <row r="96" spans="2:14">
      <c r="B96" s="59" t="s">
        <v>406</v>
      </c>
      <c r="C96" s="66"/>
      <c r="D96" s="66"/>
      <c r="E96" s="66"/>
      <c r="F96" s="66"/>
      <c r="G96" s="66"/>
      <c r="H96" s="160"/>
      <c r="I96" s="66"/>
      <c r="J96" s="66">
        <v>189417400000</v>
      </c>
      <c r="K96" s="66">
        <v>75008242000</v>
      </c>
      <c r="L96" s="66"/>
      <c r="M96" s="66"/>
      <c r="N96" s="66"/>
    </row>
    <row r="97" spans="2:14">
      <c r="B97" s="59" t="s">
        <v>407</v>
      </c>
      <c r="C97" s="66"/>
      <c r="D97" s="66"/>
      <c r="E97" s="66"/>
      <c r="F97" s="66"/>
      <c r="G97" s="66"/>
      <c r="H97" s="160"/>
      <c r="I97" s="66"/>
      <c r="J97" s="66">
        <v>34385507000</v>
      </c>
      <c r="K97" s="66">
        <v>49979342000</v>
      </c>
      <c r="L97" s="66"/>
      <c r="M97" s="66"/>
      <c r="N97" s="66"/>
    </row>
    <row r="98" spans="2:14">
      <c r="B98" s="59" t="s">
        <v>408</v>
      </c>
      <c r="C98" s="66"/>
      <c r="D98" s="66"/>
      <c r="E98" s="66"/>
      <c r="F98" s="66"/>
      <c r="G98" s="66"/>
      <c r="H98" s="160"/>
      <c r="I98" s="66"/>
      <c r="J98" s="66"/>
      <c r="K98" s="66"/>
      <c r="L98" s="66"/>
      <c r="M98" s="66"/>
      <c r="N98" s="66"/>
    </row>
    <row r="99" spans="2:14">
      <c r="B99" s="59" t="s">
        <v>409</v>
      </c>
      <c r="C99" s="66"/>
      <c r="D99" s="66"/>
      <c r="E99" s="66"/>
      <c r="F99" s="66"/>
      <c r="G99" s="66"/>
      <c r="H99" s="160"/>
      <c r="I99" s="66"/>
      <c r="J99" s="66"/>
      <c r="K99" s="66">
        <v>19323078000</v>
      </c>
      <c r="L99" s="66"/>
      <c r="M99" s="66"/>
      <c r="N99" s="66"/>
    </row>
    <row r="100" spans="2:14">
      <c r="B100" s="59" t="s">
        <v>410</v>
      </c>
      <c r="C100" s="66">
        <f t="shared" ref="C100:N100" si="76">+C91-C92-C98-C99-C97-C96-C95-C94-C93</f>
        <v>388053872000</v>
      </c>
      <c r="D100" s="66">
        <f t="shared" si="76"/>
        <v>233683959000</v>
      </c>
      <c r="E100" s="66">
        <f t="shared" si="76"/>
        <v>217708296000</v>
      </c>
      <c r="F100" s="66">
        <f t="shared" si="76"/>
        <v>272986040000</v>
      </c>
      <c r="G100" s="66">
        <f t="shared" si="76"/>
        <v>139035711000</v>
      </c>
      <c r="H100" s="66">
        <f t="shared" si="76"/>
        <v>174858524000</v>
      </c>
      <c r="I100" s="66">
        <f t="shared" si="76"/>
        <v>439359163000</v>
      </c>
      <c r="J100" s="66">
        <f t="shared" si="76"/>
        <v>28679035000</v>
      </c>
      <c r="K100" s="66">
        <f t="shared" si="76"/>
        <v>0</v>
      </c>
      <c r="L100" s="66">
        <f t="shared" si="76"/>
        <v>0</v>
      </c>
      <c r="M100" s="66">
        <f t="shared" si="76"/>
        <v>0</v>
      </c>
      <c r="N100" s="66">
        <f t="shared" si="76"/>
        <v>0</v>
      </c>
    </row>
    <row r="101" spans="2:14">
      <c r="B101" s="58" t="s">
        <v>319</v>
      </c>
      <c r="C101" s="64">
        <v>1052900130000</v>
      </c>
      <c r="D101" s="64">
        <v>1282714990000</v>
      </c>
      <c r="E101" s="64">
        <v>1480481697000</v>
      </c>
      <c r="F101" s="64">
        <v>1862309537000</v>
      </c>
      <c r="G101" s="64">
        <v>1227018815000</v>
      </c>
      <c r="H101" s="141">
        <v>1890726450000</v>
      </c>
      <c r="I101" s="64">
        <v>1400848003000</v>
      </c>
      <c r="J101" s="64">
        <v>1418794468000</v>
      </c>
      <c r="K101" s="64">
        <v>1410179210000</v>
      </c>
      <c r="L101" s="64"/>
      <c r="M101" s="64"/>
      <c r="N101" s="64"/>
    </row>
    <row r="102" spans="2:14">
      <c r="B102" s="59" t="s">
        <v>411</v>
      </c>
      <c r="C102" s="66">
        <v>825620657000</v>
      </c>
      <c r="D102" s="66">
        <v>1094284859000</v>
      </c>
      <c r="E102" s="66"/>
      <c r="F102" s="66"/>
      <c r="G102" s="66"/>
      <c r="H102" s="160"/>
      <c r="I102" s="66"/>
      <c r="J102" s="66">
        <v>833705200000</v>
      </c>
      <c r="K102" s="66">
        <v>800219162000</v>
      </c>
      <c r="L102" s="66"/>
      <c r="M102" s="66"/>
      <c r="N102" s="66"/>
    </row>
    <row r="103" spans="2:14">
      <c r="B103" s="59" t="s">
        <v>678</v>
      </c>
      <c r="C103" s="66">
        <v>3873367000</v>
      </c>
      <c r="D103" s="66">
        <v>202257000</v>
      </c>
      <c r="E103" s="66">
        <v>144534651000</v>
      </c>
      <c r="F103" s="66">
        <v>335100846000</v>
      </c>
      <c r="G103" s="66">
        <v>446976539000</v>
      </c>
      <c r="H103" s="160">
        <v>1010308649000</v>
      </c>
      <c r="I103" s="66">
        <v>505018991000</v>
      </c>
      <c r="J103" s="66">
        <v>512836538000</v>
      </c>
      <c r="K103" s="66">
        <v>6707935000</v>
      </c>
      <c r="L103" s="66"/>
      <c r="M103" s="66"/>
      <c r="N103" s="66"/>
    </row>
    <row r="104" spans="2:14">
      <c r="B104" s="59" t="s">
        <v>413</v>
      </c>
      <c r="C104" s="66"/>
      <c r="D104" s="66"/>
      <c r="E104" s="66"/>
      <c r="F104" s="66"/>
      <c r="G104" s="66"/>
      <c r="H104" s="160"/>
      <c r="I104" s="66"/>
      <c r="J104" s="66">
        <v>25584323000</v>
      </c>
      <c r="K104" s="66">
        <v>219508836000</v>
      </c>
      <c r="L104" s="66"/>
      <c r="M104" s="66"/>
      <c r="N104" s="66"/>
    </row>
    <row r="105" spans="2:14">
      <c r="B105" s="59" t="s">
        <v>414</v>
      </c>
      <c r="C105" s="66"/>
      <c r="D105" s="66"/>
      <c r="E105" s="66"/>
      <c r="F105" s="66"/>
      <c r="G105" s="66"/>
      <c r="H105" s="160"/>
      <c r="I105" s="66"/>
      <c r="J105" s="66">
        <v>26085339000</v>
      </c>
      <c r="K105" s="66">
        <v>328320729000</v>
      </c>
      <c r="L105" s="66"/>
      <c r="M105" s="66"/>
      <c r="N105" s="66"/>
    </row>
    <row r="106" spans="2:14">
      <c r="B106" s="59" t="s">
        <v>679</v>
      </c>
      <c r="C106" s="66"/>
      <c r="D106" s="66"/>
      <c r="E106" s="66"/>
      <c r="F106" s="66"/>
      <c r="G106" s="66"/>
      <c r="H106" s="160"/>
      <c r="I106" s="66"/>
      <c r="J106" s="66">
        <v>3685816000</v>
      </c>
      <c r="K106" s="66">
        <v>28593670000</v>
      </c>
      <c r="L106" s="66"/>
      <c r="M106" s="66"/>
      <c r="N106" s="66"/>
    </row>
    <row r="107" spans="2:14">
      <c r="B107" s="59" t="s">
        <v>341</v>
      </c>
      <c r="C107" s="66">
        <f t="shared" ref="C107:G107" si="77">+C101-C102-C104-C105-C103-C106</f>
        <v>223406106000</v>
      </c>
      <c r="D107" s="66">
        <f t="shared" si="77"/>
        <v>188227874000</v>
      </c>
      <c r="E107" s="66">
        <f t="shared" si="77"/>
        <v>1335947046000</v>
      </c>
      <c r="F107" s="66">
        <f t="shared" si="77"/>
        <v>1527208691000</v>
      </c>
      <c r="G107" s="66">
        <f t="shared" si="77"/>
        <v>780042276000</v>
      </c>
      <c r="H107" s="66">
        <f t="shared" ref="H107:N107" si="78">+H101-H102-H104-H105-H103-H106</f>
        <v>880417801000</v>
      </c>
      <c r="I107" s="66">
        <f t="shared" si="78"/>
        <v>895829012000</v>
      </c>
      <c r="J107" s="66">
        <f t="shared" si="78"/>
        <v>16897252000</v>
      </c>
      <c r="K107" s="66">
        <f t="shared" si="78"/>
        <v>26828878000</v>
      </c>
      <c r="L107" s="66">
        <f t="shared" si="78"/>
        <v>0</v>
      </c>
      <c r="M107" s="66">
        <f t="shared" si="78"/>
        <v>0</v>
      </c>
      <c r="N107" s="66">
        <f t="shared" si="78"/>
        <v>0</v>
      </c>
    </row>
    <row r="108" spans="2:14" ht="14.65" thickBot="1">
      <c r="B108" s="60" t="s">
        <v>342</v>
      </c>
      <c r="C108" s="70">
        <f t="shared" ref="C108:I108" si="79">+C101+C91</f>
        <v>1732439661000</v>
      </c>
      <c r="D108" s="70">
        <f t="shared" si="79"/>
        <v>1742869585000</v>
      </c>
      <c r="E108" s="70">
        <f t="shared" si="79"/>
        <v>1922387448000</v>
      </c>
      <c r="F108" s="70">
        <f t="shared" si="79"/>
        <v>2345405930000</v>
      </c>
      <c r="G108" s="70">
        <f t="shared" si="79"/>
        <v>1685132716000</v>
      </c>
      <c r="H108" s="162">
        <f t="shared" si="79"/>
        <v>2339816649000</v>
      </c>
      <c r="I108" s="162">
        <f t="shared" si="79"/>
        <v>2537140299000</v>
      </c>
      <c r="J108" s="162">
        <f t="shared" ref="J108:N108" si="80">+J101+J91</f>
        <v>2535468618000</v>
      </c>
      <c r="K108" s="162">
        <f t="shared" si="80"/>
        <v>2611356671000</v>
      </c>
      <c r="L108" s="162">
        <f t="shared" si="80"/>
        <v>0</v>
      </c>
      <c r="M108" s="162">
        <f t="shared" si="80"/>
        <v>0</v>
      </c>
      <c r="N108" s="162">
        <f t="shared" si="80"/>
        <v>0</v>
      </c>
    </row>
    <row r="109" spans="2:14" ht="14.65" thickBot="1">
      <c r="B109" s="61"/>
      <c r="C109" s="61"/>
      <c r="D109" s="61"/>
      <c r="E109" s="61"/>
      <c r="F109" s="61"/>
      <c r="G109" s="61"/>
      <c r="H109" s="61"/>
      <c r="I109" s="61"/>
      <c r="J109" s="61"/>
      <c r="K109" s="61"/>
      <c r="L109" s="61"/>
      <c r="M109" s="61"/>
      <c r="N109" s="61"/>
    </row>
    <row r="110" spans="2:14">
      <c r="B110" s="57" t="s">
        <v>343</v>
      </c>
      <c r="C110" s="62"/>
      <c r="D110" s="62"/>
      <c r="E110" s="62"/>
      <c r="F110" s="62"/>
      <c r="G110" s="62"/>
      <c r="H110" s="164"/>
      <c r="I110" s="62"/>
      <c r="J110" s="62"/>
      <c r="K110" s="62"/>
      <c r="L110" s="62"/>
      <c r="M110" s="62"/>
      <c r="N110" s="62"/>
    </row>
    <row r="111" spans="2:14">
      <c r="B111" s="59" t="s">
        <v>415</v>
      </c>
      <c r="C111" s="160">
        <v>1525052051000</v>
      </c>
      <c r="D111" s="160">
        <v>1541487324000</v>
      </c>
      <c r="E111" s="160">
        <v>1538604559000</v>
      </c>
      <c r="F111" s="160">
        <v>1538604559000</v>
      </c>
      <c r="G111" s="160">
        <v>1232423425000</v>
      </c>
      <c r="H111" s="160">
        <v>1232423425000</v>
      </c>
      <c r="I111" s="160">
        <v>1232423425000</v>
      </c>
      <c r="J111" s="160">
        <v>1232423425000</v>
      </c>
      <c r="K111" s="160">
        <v>1232423425000</v>
      </c>
      <c r="L111" s="160"/>
      <c r="M111" s="160"/>
      <c r="N111" s="160"/>
    </row>
    <row r="112" spans="2:14">
      <c r="B112" s="59" t="s">
        <v>416</v>
      </c>
      <c r="C112" s="66">
        <v>250637745000</v>
      </c>
      <c r="D112" s="66">
        <v>257886018000</v>
      </c>
      <c r="E112" s="66">
        <v>199453834000</v>
      </c>
      <c r="F112" s="66">
        <v>245257323000</v>
      </c>
      <c r="G112" s="66">
        <v>237950449000</v>
      </c>
      <c r="H112" s="160">
        <v>264853494000</v>
      </c>
      <c r="I112" s="66">
        <v>273312360000</v>
      </c>
      <c r="J112" s="66">
        <v>334691725000</v>
      </c>
      <c r="K112" s="160">
        <v>342940327000</v>
      </c>
      <c r="L112" s="66"/>
      <c r="M112" s="66"/>
      <c r="N112" s="66"/>
    </row>
    <row r="113" spans="2:14">
      <c r="B113" s="59" t="s">
        <v>680</v>
      </c>
      <c r="C113" s="66">
        <v>-4950658000</v>
      </c>
      <c r="D113" s="66">
        <v>-2882677000</v>
      </c>
      <c r="E113" s="66"/>
      <c r="F113" s="66"/>
      <c r="G113" s="66"/>
      <c r="H113" s="160"/>
      <c r="I113" s="66"/>
      <c r="J113" s="66"/>
      <c r="K113" s="66"/>
      <c r="L113" s="66"/>
      <c r="M113" s="66"/>
      <c r="N113" s="66"/>
    </row>
    <row r="114" spans="2:14">
      <c r="B114" s="59" t="s">
        <v>345</v>
      </c>
      <c r="C114" s="66">
        <v>-111416595000</v>
      </c>
      <c r="D114" s="66">
        <v>5745771000</v>
      </c>
      <c r="E114" s="66">
        <v>39984353000</v>
      </c>
      <c r="F114" s="66">
        <v>73332785000</v>
      </c>
      <c r="G114" s="66">
        <v>-96662980000</v>
      </c>
      <c r="H114" s="160">
        <v>-105380532000</v>
      </c>
      <c r="I114" s="66">
        <v>-107997245000</v>
      </c>
      <c r="J114" s="66">
        <v>-106858636000</v>
      </c>
      <c r="K114" s="66">
        <v>-108847247000</v>
      </c>
      <c r="L114" s="66"/>
      <c r="M114" s="66"/>
      <c r="N114" s="66"/>
    </row>
    <row r="115" spans="2:14">
      <c r="B115" s="59" t="s">
        <v>419</v>
      </c>
      <c r="C115" s="66">
        <v>60001078000</v>
      </c>
      <c r="D115" s="66">
        <v>41828069000</v>
      </c>
      <c r="E115" s="66">
        <v>42480348000</v>
      </c>
      <c r="F115" s="66">
        <v>44554141000</v>
      </c>
      <c r="G115" s="66">
        <v>35736477000</v>
      </c>
      <c r="H115" s="160">
        <v>35607697000</v>
      </c>
      <c r="I115" s="66">
        <v>36260151000</v>
      </c>
      <c r="J115" s="66">
        <v>36905745000</v>
      </c>
      <c r="K115" s="66">
        <v>39440876000</v>
      </c>
      <c r="L115" s="66"/>
      <c r="M115" s="66"/>
      <c r="N115" s="66"/>
    </row>
    <row r="116" spans="2:14" ht="14.65" thickBot="1">
      <c r="B116" s="60" t="s">
        <v>420</v>
      </c>
      <c r="C116" s="70">
        <f>+C111+C114+C112+C113</f>
        <v>1659322543000</v>
      </c>
      <c r="D116" s="70">
        <f>+D111+D114+D112+D113</f>
        <v>1802236436000</v>
      </c>
      <c r="E116" s="70">
        <f t="shared" ref="E116:I116" si="81">+E111+E114+E112+E113</f>
        <v>1778042746000</v>
      </c>
      <c r="F116" s="70">
        <f t="shared" si="81"/>
        <v>1857194667000</v>
      </c>
      <c r="G116" s="70">
        <f t="shared" si="81"/>
        <v>1373710894000</v>
      </c>
      <c r="H116" s="70">
        <f t="shared" si="81"/>
        <v>1391896387000</v>
      </c>
      <c r="I116" s="70">
        <f t="shared" si="81"/>
        <v>1397738540000</v>
      </c>
      <c r="J116" s="70">
        <f t="shared" ref="J116:N116" si="82">+J111+J114+J112+J113</f>
        <v>1460256514000</v>
      </c>
      <c r="K116" s="70">
        <f t="shared" si="82"/>
        <v>1466516505000</v>
      </c>
      <c r="L116" s="70">
        <f t="shared" si="82"/>
        <v>0</v>
      </c>
      <c r="M116" s="70">
        <f t="shared" si="82"/>
        <v>0</v>
      </c>
      <c r="N116" s="70">
        <f t="shared" si="82"/>
        <v>0</v>
      </c>
    </row>
    <row r="117" spans="2:14" ht="14.65" thickBot="1">
      <c r="B117" s="60" t="s">
        <v>347</v>
      </c>
      <c r="C117" s="70">
        <f>+C116+C115</f>
        <v>1719323621000</v>
      </c>
      <c r="D117" s="70">
        <f t="shared" ref="D117:I117" si="83">+D116+D115</f>
        <v>1844064505000</v>
      </c>
      <c r="E117" s="70">
        <f t="shared" si="83"/>
        <v>1820523094000</v>
      </c>
      <c r="F117" s="70">
        <f t="shared" si="83"/>
        <v>1901748808000</v>
      </c>
      <c r="G117" s="70">
        <f t="shared" si="83"/>
        <v>1409447371000</v>
      </c>
      <c r="H117" s="70">
        <f t="shared" si="83"/>
        <v>1427504084000</v>
      </c>
      <c r="I117" s="70">
        <f t="shared" si="83"/>
        <v>1433998691000</v>
      </c>
      <c r="J117" s="70">
        <f t="shared" ref="J117:N117" si="84">+J116+J115</f>
        <v>1497162259000</v>
      </c>
      <c r="K117" s="70">
        <f t="shared" si="84"/>
        <v>1505957381000</v>
      </c>
      <c r="L117" s="70">
        <f t="shared" si="84"/>
        <v>0</v>
      </c>
      <c r="M117" s="70">
        <f t="shared" si="84"/>
        <v>0</v>
      </c>
      <c r="N117" s="70">
        <f t="shared" si="84"/>
        <v>0</v>
      </c>
    </row>
    <row r="119" spans="2:14" ht="14.65" thickBot="1">
      <c r="B119" s="75" t="s">
        <v>348</v>
      </c>
    </row>
    <row r="120" spans="2:14" ht="14.65" thickBot="1">
      <c r="B120" s="82" t="s">
        <v>308</v>
      </c>
      <c r="C120" s="88">
        <v>2017</v>
      </c>
      <c r="D120" s="88">
        <v>2018</v>
      </c>
      <c r="E120" s="88">
        <v>2019</v>
      </c>
      <c r="F120" s="88">
        <v>2020</v>
      </c>
      <c r="G120" s="88">
        <v>2021</v>
      </c>
      <c r="H120" s="88">
        <v>2022</v>
      </c>
      <c r="I120" s="88">
        <v>2023</v>
      </c>
      <c r="J120" s="88">
        <v>2024</v>
      </c>
      <c r="K120" s="88">
        <v>2025</v>
      </c>
      <c r="L120" s="88">
        <v>2026</v>
      </c>
      <c r="M120" s="88">
        <v>2027</v>
      </c>
      <c r="N120" s="88">
        <v>2028</v>
      </c>
    </row>
    <row r="121" spans="2:14">
      <c r="B121" s="83" t="s">
        <v>349</v>
      </c>
      <c r="C121" s="90">
        <v>1715058587000</v>
      </c>
      <c r="D121" s="90">
        <v>1680422138000</v>
      </c>
      <c r="E121" s="90">
        <v>1696320042000</v>
      </c>
      <c r="F121" s="90">
        <v>1761974992000</v>
      </c>
      <c r="G121" s="90">
        <v>1587562346000</v>
      </c>
      <c r="H121" s="90">
        <v>2286048014000</v>
      </c>
      <c r="I121" s="90">
        <v>2081914793000</v>
      </c>
      <c r="J121" s="90">
        <v>2666444095000</v>
      </c>
      <c r="K121" s="90">
        <v>2340591599000</v>
      </c>
      <c r="L121" s="90"/>
      <c r="M121" s="90"/>
      <c r="N121" s="90"/>
    </row>
    <row r="122" spans="2:14">
      <c r="B122" s="85" t="s">
        <v>534</v>
      </c>
      <c r="C122" s="66">
        <v>-1416530252000</v>
      </c>
      <c r="D122" s="66">
        <v>-1430939294000</v>
      </c>
      <c r="E122" s="66">
        <v>-1435824962000</v>
      </c>
      <c r="F122" s="66">
        <v>-1535659758000</v>
      </c>
      <c r="G122" s="66">
        <v>-1419845320000</v>
      </c>
      <c r="H122" s="66">
        <v>-2138800011000</v>
      </c>
      <c r="I122" s="66">
        <v>-1809283828000</v>
      </c>
      <c r="J122" s="66">
        <v>-2332769218000</v>
      </c>
      <c r="K122" s="66">
        <v>-2083913245000</v>
      </c>
      <c r="L122" s="66"/>
      <c r="M122" s="66"/>
      <c r="N122" s="66"/>
    </row>
    <row r="123" spans="2:14">
      <c r="B123" s="86" t="s">
        <v>422</v>
      </c>
      <c r="C123" s="64">
        <f t="shared" ref="C123:F123" si="85">+C121+C122</f>
        <v>298528335000</v>
      </c>
      <c r="D123" s="64">
        <f>+D121+D122</f>
        <v>249482844000</v>
      </c>
      <c r="E123" s="64">
        <f t="shared" si="85"/>
        <v>260495080000</v>
      </c>
      <c r="F123" s="64">
        <f t="shared" si="85"/>
        <v>226315234000</v>
      </c>
      <c r="G123" s="64">
        <f>+G121+G122</f>
        <v>167717026000</v>
      </c>
      <c r="H123" s="64">
        <f t="shared" ref="H123:I123" si="86">+H121+H122</f>
        <v>147248003000</v>
      </c>
      <c r="I123" s="64">
        <f t="shared" si="86"/>
        <v>272630965000</v>
      </c>
      <c r="J123" s="64">
        <f>+J121+J122</f>
        <v>333674877000</v>
      </c>
      <c r="K123" s="64">
        <v>256678354000</v>
      </c>
      <c r="L123" s="64"/>
      <c r="M123" s="64"/>
      <c r="N123" s="64"/>
    </row>
    <row r="124" spans="2:14">
      <c r="B124" s="85" t="s">
        <v>592</v>
      </c>
      <c r="C124" s="117">
        <v>992262000</v>
      </c>
      <c r="D124" s="117">
        <v>404758000</v>
      </c>
      <c r="E124" s="117">
        <v>21776000</v>
      </c>
      <c r="F124" s="117">
        <v>3499700000</v>
      </c>
      <c r="G124" s="117">
        <v>3508214000</v>
      </c>
      <c r="H124" s="117">
        <v>9115113000</v>
      </c>
      <c r="I124" s="117">
        <v>9280648000</v>
      </c>
      <c r="J124" s="117">
        <v>13170426000</v>
      </c>
      <c r="K124" s="117">
        <v>13883395000</v>
      </c>
      <c r="L124" s="117"/>
      <c r="M124" s="117"/>
      <c r="N124" s="117"/>
    </row>
    <row r="125" spans="2:14">
      <c r="B125" s="85" t="s">
        <v>537</v>
      </c>
      <c r="C125" s="117">
        <v>-166794955000</v>
      </c>
      <c r="D125" s="117">
        <v>-131942956000</v>
      </c>
      <c r="E125" s="117">
        <v>-85139635000</v>
      </c>
      <c r="F125" s="117">
        <v>-97736922000</v>
      </c>
      <c r="G125" s="117">
        <v>-105338537000</v>
      </c>
      <c r="H125" s="117">
        <v>-89410203000</v>
      </c>
      <c r="I125" s="117">
        <v>-109618694000</v>
      </c>
      <c r="J125" s="117">
        <v>-130011540000</v>
      </c>
      <c r="K125" s="117">
        <v>-133143142000</v>
      </c>
      <c r="L125" s="117"/>
      <c r="M125" s="117"/>
      <c r="N125" s="117"/>
    </row>
    <row r="126" spans="2:14">
      <c r="B126" s="85" t="s">
        <v>425</v>
      </c>
      <c r="C126" s="117">
        <v>-8505102000</v>
      </c>
      <c r="D126" s="117">
        <v>-6999902000</v>
      </c>
      <c r="E126" s="117">
        <v>-19633352000</v>
      </c>
      <c r="F126" s="117">
        <v>-42657613000</v>
      </c>
      <c r="G126" s="117">
        <v>-12786215000</v>
      </c>
      <c r="H126" s="117">
        <v>4676160000</v>
      </c>
      <c r="I126" s="117">
        <v>-66943935000</v>
      </c>
      <c r="J126" s="117">
        <v>-44408099000</v>
      </c>
      <c r="K126" s="117">
        <v>-52439755000</v>
      </c>
      <c r="L126" s="117"/>
      <c r="M126" s="117"/>
      <c r="N126" s="117"/>
    </row>
    <row r="127" spans="2:14">
      <c r="B127" s="85" t="s">
        <v>427</v>
      </c>
      <c r="C127" s="117">
        <v>7563036000</v>
      </c>
      <c r="D127" s="117">
        <v>-40314718000</v>
      </c>
      <c r="E127" s="117">
        <v>61517755000</v>
      </c>
      <c r="F127" s="117">
        <v>981567000</v>
      </c>
      <c r="G127" s="117">
        <v>-723066000</v>
      </c>
      <c r="H127" s="117">
        <v>13464187000</v>
      </c>
      <c r="I127" s="117">
        <v>-4871398000</v>
      </c>
      <c r="J127" s="117">
        <v>-6992231000</v>
      </c>
      <c r="K127" s="117">
        <v>-7148471000</v>
      </c>
      <c r="L127" s="117"/>
      <c r="M127" s="117"/>
      <c r="N127" s="117"/>
    </row>
    <row r="128" spans="2:14">
      <c r="B128" s="86" t="s">
        <v>428</v>
      </c>
      <c r="C128" s="64">
        <f t="shared" ref="C128:G128" si="87">+C123+C127+C124+C125+C126</f>
        <v>131783576000</v>
      </c>
      <c r="D128" s="64">
        <f t="shared" si="87"/>
        <v>70630026000</v>
      </c>
      <c r="E128" s="64">
        <f t="shared" si="87"/>
        <v>217261624000</v>
      </c>
      <c r="F128" s="64">
        <f t="shared" si="87"/>
        <v>90401966000</v>
      </c>
      <c r="G128" s="64">
        <f t="shared" si="87"/>
        <v>52377422000</v>
      </c>
      <c r="H128" s="64">
        <f>+H123+H127+H124+H125+H126</f>
        <v>85093260000</v>
      </c>
      <c r="I128" s="64">
        <f>+I123+I127+I124+I125+I126</f>
        <v>100477586000</v>
      </c>
      <c r="J128" s="64">
        <f>+J123+J127+J124+J125+J126</f>
        <v>165433433000</v>
      </c>
      <c r="K128" s="64">
        <v>77830381000</v>
      </c>
      <c r="L128" s="64"/>
      <c r="M128" s="64"/>
      <c r="N128" s="64"/>
    </row>
    <row r="129" spans="2:14">
      <c r="B129" s="85" t="s">
        <v>429</v>
      </c>
      <c r="C129" s="66">
        <v>3253830000</v>
      </c>
      <c r="D129" s="66">
        <v>9430961000</v>
      </c>
      <c r="E129" s="66">
        <v>17185618000</v>
      </c>
      <c r="F129" s="66">
        <v>17390324000</v>
      </c>
      <c r="G129" s="131">
        <v>17113677000</v>
      </c>
      <c r="H129" s="131">
        <v>26085998000</v>
      </c>
      <c r="I129" s="131">
        <v>21988449000</v>
      </c>
      <c r="J129" s="131">
        <v>46356597000</v>
      </c>
      <c r="K129" s="131">
        <v>45438724000</v>
      </c>
      <c r="L129" s="131"/>
      <c r="M129" s="131"/>
      <c r="N129" s="131"/>
    </row>
    <row r="130" spans="2:14">
      <c r="B130" s="85" t="s">
        <v>430</v>
      </c>
      <c r="C130" s="66">
        <v>-54337780000</v>
      </c>
      <c r="D130" s="66">
        <v>-75162358000</v>
      </c>
      <c r="E130" s="66">
        <v>-74309776000</v>
      </c>
      <c r="F130" s="66">
        <v>-76025513000</v>
      </c>
      <c r="G130" s="131">
        <v>-61979608000</v>
      </c>
      <c r="H130" s="131">
        <v>-68263558000</v>
      </c>
      <c r="I130" s="131">
        <v>-73041318000</v>
      </c>
      <c r="J130" s="131">
        <v>-74920898000</v>
      </c>
      <c r="K130" s="131">
        <v>-81892381000</v>
      </c>
      <c r="L130" s="131"/>
      <c r="M130" s="131"/>
      <c r="N130" s="131"/>
    </row>
    <row r="131" spans="2:14">
      <c r="B131" s="85" t="s">
        <v>431</v>
      </c>
      <c r="C131" s="66">
        <v>12231938000</v>
      </c>
      <c r="D131" s="66">
        <v>8042867000</v>
      </c>
      <c r="E131" s="66"/>
      <c r="F131" s="66"/>
      <c r="G131" s="131"/>
      <c r="H131" s="131"/>
      <c r="I131" s="131"/>
      <c r="J131" s="131"/>
      <c r="K131" s="131"/>
      <c r="L131" s="131"/>
      <c r="M131" s="131"/>
      <c r="N131" s="131"/>
    </row>
    <row r="132" spans="2:14">
      <c r="B132" s="85" t="s">
        <v>432</v>
      </c>
      <c r="C132" s="66">
        <v>-895291000</v>
      </c>
      <c r="D132" s="66">
        <v>-1314246000</v>
      </c>
      <c r="E132" s="66">
        <v>-731092000</v>
      </c>
      <c r="F132" s="66">
        <v>985097000</v>
      </c>
      <c r="G132" s="131">
        <v>-3163451000</v>
      </c>
      <c r="H132" s="131">
        <v>-217680000</v>
      </c>
      <c r="I132" s="131">
        <v>-2315108000</v>
      </c>
      <c r="J132" s="131">
        <v>3126113000</v>
      </c>
      <c r="K132" s="131">
        <v>190220000</v>
      </c>
      <c r="L132" s="131"/>
      <c r="M132" s="131"/>
      <c r="N132" s="131"/>
    </row>
    <row r="133" spans="2:14">
      <c r="B133" s="85" t="s">
        <v>433</v>
      </c>
      <c r="C133" s="66">
        <v>-7497526000</v>
      </c>
      <c r="D133" s="66">
        <v>-6075200000</v>
      </c>
      <c r="E133" s="66">
        <v>-2622206000</v>
      </c>
      <c r="F133" s="66">
        <v>-5841967000</v>
      </c>
      <c r="G133" s="131">
        <v>-18504048000</v>
      </c>
      <c r="H133" s="131">
        <v>-41390847000</v>
      </c>
      <c r="I133" s="131">
        <v>-33455883000</v>
      </c>
      <c r="J133" s="131">
        <v>-30004625000</v>
      </c>
      <c r="K133" s="131">
        <v>-24570068000</v>
      </c>
      <c r="L133" s="131"/>
      <c r="M133" s="131"/>
      <c r="N133" s="131"/>
    </row>
    <row r="134" spans="2:14">
      <c r="B134" s="86" t="s">
        <v>362</v>
      </c>
      <c r="C134" s="64">
        <f t="shared" ref="C134:E134" si="88">+C128+C129+C130+C131+C132+C133</f>
        <v>84538747000</v>
      </c>
      <c r="D134" s="64">
        <f t="shared" si="88"/>
        <v>5552050000</v>
      </c>
      <c r="E134" s="64">
        <f t="shared" si="88"/>
        <v>156784168000</v>
      </c>
      <c r="F134" s="64">
        <f>+F128+F129+F130+F131+F132+F133</f>
        <v>26909907000</v>
      </c>
      <c r="G134" s="64">
        <f t="shared" ref="G134:K134" si="89">+G128+G129+G130+G131+G132+G133</f>
        <v>-14156008000</v>
      </c>
      <c r="H134" s="64">
        <f t="shared" si="89"/>
        <v>1307173000</v>
      </c>
      <c r="I134" s="64">
        <f t="shared" si="89"/>
        <v>13653726000</v>
      </c>
      <c r="J134" s="64">
        <f t="shared" si="89"/>
        <v>109990620000</v>
      </c>
      <c r="K134" s="64">
        <f t="shared" si="89"/>
        <v>16996876000</v>
      </c>
      <c r="L134" s="64"/>
      <c r="M134" s="64"/>
      <c r="N134" s="64"/>
    </row>
    <row r="135" spans="2:14">
      <c r="B135" s="85" t="s">
        <v>363</v>
      </c>
      <c r="C135" s="66">
        <v>98158576000</v>
      </c>
      <c r="D135" s="66">
        <v>30002965000</v>
      </c>
      <c r="E135" s="66">
        <v>-48259343000</v>
      </c>
      <c r="F135" s="66">
        <v>29816942000</v>
      </c>
      <c r="G135" s="91">
        <v>22821404000</v>
      </c>
      <c r="H135" s="91">
        <v>40881579000</v>
      </c>
      <c r="I135" s="91">
        <v>4043555000</v>
      </c>
      <c r="J135" s="91">
        <v>-18676592000</v>
      </c>
      <c r="K135" s="91">
        <v>139780000</v>
      </c>
      <c r="L135" s="91"/>
      <c r="M135" s="91"/>
      <c r="N135" s="91"/>
    </row>
    <row r="136" spans="2:14">
      <c r="B136" s="85" t="s">
        <v>681</v>
      </c>
      <c r="C136" s="132"/>
      <c r="D136" s="132"/>
      <c r="E136" s="132">
        <v>-17646975000</v>
      </c>
      <c r="F136" s="132">
        <v>7581806000</v>
      </c>
      <c r="G136" s="278"/>
      <c r="H136" s="278"/>
      <c r="I136" s="278"/>
      <c r="J136" s="278"/>
      <c r="K136" s="278"/>
      <c r="L136" s="278"/>
      <c r="M136" s="278"/>
      <c r="N136" s="278"/>
    </row>
    <row r="137" spans="2:14">
      <c r="B137" s="84" t="s">
        <v>365</v>
      </c>
      <c r="C137" s="130">
        <f t="shared" ref="C137:E137" si="90">+C134+C135+C136</f>
        <v>182697323000</v>
      </c>
      <c r="D137" s="130">
        <f t="shared" si="90"/>
        <v>35555015000</v>
      </c>
      <c r="E137" s="130">
        <f t="shared" si="90"/>
        <v>90877850000</v>
      </c>
      <c r="F137" s="130">
        <f>+F134+F135+F136</f>
        <v>64308655000</v>
      </c>
      <c r="G137" s="130">
        <f t="shared" ref="G137:I137" si="91">+G134+G135+G136</f>
        <v>8665396000</v>
      </c>
      <c r="H137" s="130">
        <f t="shared" si="91"/>
        <v>42188752000</v>
      </c>
      <c r="I137" s="130">
        <f t="shared" si="91"/>
        <v>17697281000</v>
      </c>
      <c r="J137" s="130">
        <f t="shared" ref="J137:N137" si="92">+J134+J135+J136</f>
        <v>91314028000</v>
      </c>
      <c r="K137" s="130">
        <f t="shared" si="92"/>
        <v>17136656000</v>
      </c>
      <c r="L137" s="130">
        <f t="shared" si="92"/>
        <v>0</v>
      </c>
      <c r="M137" s="130">
        <f t="shared" si="92"/>
        <v>0</v>
      </c>
      <c r="N137" s="130">
        <f t="shared" si="92"/>
        <v>0</v>
      </c>
    </row>
    <row r="138" spans="2:14" ht="28.5">
      <c r="B138" s="87" t="s">
        <v>435</v>
      </c>
      <c r="C138" s="66">
        <v>3592060000</v>
      </c>
      <c r="D138" s="66">
        <v>1665373000</v>
      </c>
      <c r="E138" s="66">
        <v>2916493000</v>
      </c>
      <c r="F138" s="66">
        <v>2740699000</v>
      </c>
      <c r="G138" s="91">
        <v>3340207000</v>
      </c>
      <c r="H138" s="91">
        <v>3147175000</v>
      </c>
      <c r="I138" s="91">
        <v>2163183000</v>
      </c>
      <c r="J138" s="91">
        <v>3616336000</v>
      </c>
      <c r="K138" s="91">
        <v>5136736000</v>
      </c>
      <c r="L138" s="91"/>
      <c r="M138" s="91"/>
      <c r="N138" s="91"/>
    </row>
    <row r="139" spans="2:14">
      <c r="B139" s="84" t="s">
        <v>436</v>
      </c>
      <c r="C139" s="64">
        <f>+C137-C138</f>
        <v>179105263000</v>
      </c>
      <c r="D139" s="64">
        <f t="shared" ref="D139:H139" si="93">+D137-D138</f>
        <v>33889642000</v>
      </c>
      <c r="E139" s="64">
        <f t="shared" si="93"/>
        <v>87961357000</v>
      </c>
      <c r="F139" s="64">
        <f t="shared" si="93"/>
        <v>61567956000</v>
      </c>
      <c r="G139" s="64">
        <f t="shared" si="93"/>
        <v>5325189000</v>
      </c>
      <c r="H139" s="64">
        <f t="shared" si="93"/>
        <v>39041577000</v>
      </c>
      <c r="I139" s="64">
        <f>+I137-I138-3444779000</f>
        <v>12089319000</v>
      </c>
      <c r="J139" s="66">
        <f t="shared" ref="J139:N139" si="94">+J137-J138</f>
        <v>87697692000</v>
      </c>
      <c r="K139" s="66">
        <f t="shared" si="94"/>
        <v>11999920000</v>
      </c>
      <c r="L139" s="66">
        <f t="shared" si="94"/>
        <v>0</v>
      </c>
      <c r="M139" s="66">
        <f t="shared" si="94"/>
        <v>0</v>
      </c>
      <c r="N139" s="66">
        <f t="shared" si="94"/>
        <v>0</v>
      </c>
    </row>
    <row r="140" spans="2:14">
      <c r="B140" s="84" t="s">
        <v>366</v>
      </c>
      <c r="C140" s="111">
        <f>+C139/C16</f>
        <v>89.564138163086369</v>
      </c>
      <c r="D140" s="111">
        <f>+D139/D16</f>
        <v>16.744025656430569</v>
      </c>
      <c r="E140" s="279">
        <f>+E139/E16</f>
        <v>43.547449033082898</v>
      </c>
      <c r="F140" s="279">
        <f>+F139/F16</f>
        <v>30.480741969238725</v>
      </c>
      <c r="G140" s="134">
        <v>2.64</v>
      </c>
      <c r="H140" s="134">
        <v>19.03</v>
      </c>
      <c r="I140" s="134">
        <f>+I139/I16</f>
        <v>5.9851168848745786</v>
      </c>
      <c r="J140" s="134">
        <f>+J139/J16</f>
        <v>43.416915142509701</v>
      </c>
      <c r="K140" s="134">
        <f>+K139/K16</f>
        <v>5.9408576950566161</v>
      </c>
      <c r="L140" s="134"/>
      <c r="M140" s="134"/>
      <c r="N140" s="134"/>
    </row>
    <row r="142" spans="2:14" ht="14.65" thickBot="1">
      <c r="B142" s="75" t="s">
        <v>367</v>
      </c>
    </row>
    <row r="143" spans="2:14" ht="14.65" thickBot="1">
      <c r="B143" s="82" t="s">
        <v>308</v>
      </c>
      <c r="C143" s="88">
        <v>2017</v>
      </c>
      <c r="D143" s="88">
        <v>2018</v>
      </c>
      <c r="E143" s="88">
        <v>2019</v>
      </c>
      <c r="F143" s="88">
        <v>2020</v>
      </c>
      <c r="G143" s="88">
        <v>2021</v>
      </c>
      <c r="H143" s="88">
        <v>2022</v>
      </c>
      <c r="I143" s="88">
        <v>2023</v>
      </c>
      <c r="J143" s="88">
        <v>2024</v>
      </c>
      <c r="K143" s="88">
        <v>2025</v>
      </c>
      <c r="L143" s="88">
        <v>2026</v>
      </c>
      <c r="M143" s="88">
        <v>2027</v>
      </c>
      <c r="N143" s="88">
        <v>2028</v>
      </c>
    </row>
    <row r="144" spans="2:14">
      <c r="B144" s="83" t="s">
        <v>368</v>
      </c>
      <c r="C144" s="90">
        <v>9533204000</v>
      </c>
      <c r="D144" s="90">
        <v>118662826000</v>
      </c>
      <c r="E144" s="90">
        <v>237797457000</v>
      </c>
      <c r="F144" s="90">
        <v>249577280000</v>
      </c>
      <c r="G144" s="90">
        <v>217925850000</v>
      </c>
      <c r="H144" s="90">
        <v>29865833000</v>
      </c>
      <c r="I144" s="90">
        <v>15855307000</v>
      </c>
      <c r="J144" s="90">
        <v>293141026000</v>
      </c>
      <c r="K144" s="90">
        <v>53352404000</v>
      </c>
      <c r="L144" s="90"/>
      <c r="M144" s="90"/>
      <c r="N144" s="90"/>
    </row>
    <row r="145" spans="2:14">
      <c r="B145" s="86" t="s">
        <v>369</v>
      </c>
      <c r="C145" s="91">
        <v>-184380248000</v>
      </c>
      <c r="D145" s="93">
        <v>-173272976000</v>
      </c>
      <c r="E145" s="93">
        <v>18227044000</v>
      </c>
      <c r="F145" s="66">
        <v>-137285037000</v>
      </c>
      <c r="G145" s="93">
        <v>-200323438000</v>
      </c>
      <c r="H145" s="66">
        <v>-228790035000</v>
      </c>
      <c r="I145" s="66">
        <v>-259885495000</v>
      </c>
      <c r="J145" s="66">
        <v>-262983980000</v>
      </c>
      <c r="K145" s="66">
        <v>-223419605000</v>
      </c>
      <c r="L145" s="66"/>
      <c r="M145" s="66"/>
      <c r="N145" s="66"/>
    </row>
    <row r="146" spans="2:14">
      <c r="B146" s="85" t="s">
        <v>370</v>
      </c>
      <c r="C146" s="93">
        <v>-186167368000</v>
      </c>
      <c r="D146" s="93">
        <v>-172162920000</v>
      </c>
      <c r="E146" s="93">
        <v>-107398802000</v>
      </c>
      <c r="F146" s="93">
        <v>-147258511000</v>
      </c>
      <c r="G146" s="93">
        <v>-181783316000</v>
      </c>
      <c r="H146" s="93">
        <v>-218634163000</v>
      </c>
      <c r="I146" s="93">
        <v>-246599293000</v>
      </c>
      <c r="J146" s="93">
        <v>-237152626000</v>
      </c>
      <c r="K146" s="93">
        <v>-247929756000</v>
      </c>
      <c r="L146" s="93"/>
      <c r="M146" s="93"/>
      <c r="N146" s="93"/>
    </row>
    <row r="147" spans="2:14">
      <c r="B147" s="86" t="s">
        <v>372</v>
      </c>
      <c r="C147" s="780">
        <v>73486842000</v>
      </c>
      <c r="D147" s="780">
        <v>53641718000</v>
      </c>
      <c r="E147" s="64">
        <v>-204677617000</v>
      </c>
      <c r="F147" s="780">
        <v>157083980000</v>
      </c>
      <c r="G147" s="120">
        <v>-120123897000</v>
      </c>
      <c r="H147" s="780">
        <v>8467674000</v>
      </c>
      <c r="I147" s="780">
        <v>234691729000</v>
      </c>
      <c r="J147" s="780">
        <v>5227166000</v>
      </c>
      <c r="K147" s="120">
        <v>139017035000</v>
      </c>
      <c r="L147" s="120"/>
      <c r="M147" s="120"/>
      <c r="N147" s="120"/>
    </row>
    <row r="148" spans="2:14">
      <c r="B148" s="85" t="s">
        <v>373</v>
      </c>
      <c r="C148" s="93">
        <v>-48072302000</v>
      </c>
      <c r="D148" s="93">
        <v>-58898731000</v>
      </c>
      <c r="E148" s="66">
        <v>-133145623000</v>
      </c>
      <c r="F148" s="93">
        <v>-22950464000</v>
      </c>
      <c r="G148" s="93">
        <v>-35679732000</v>
      </c>
      <c r="H148" s="93">
        <v>-4773902000</v>
      </c>
      <c r="I148" s="93">
        <v>-13178227000</v>
      </c>
      <c r="J148" s="93">
        <v>-6483770000</v>
      </c>
      <c r="K148" s="93">
        <v>-29009458000</v>
      </c>
      <c r="L148" s="93"/>
      <c r="M148" s="93"/>
      <c r="N148" s="93"/>
    </row>
    <row r="149" spans="2:14">
      <c r="B149" s="85" t="s">
        <v>437</v>
      </c>
      <c r="C149" s="93">
        <v>-53847530000</v>
      </c>
      <c r="D149" s="93">
        <v>-57114284000</v>
      </c>
      <c r="E149" s="66">
        <v>-75917924000</v>
      </c>
      <c r="F149" s="93">
        <v>-74676569000</v>
      </c>
      <c r="G149" s="93">
        <v>-67339615000</v>
      </c>
      <c r="H149" s="93">
        <v>-54944881000</v>
      </c>
      <c r="I149" s="93">
        <v>-57461982000</v>
      </c>
      <c r="J149" s="93">
        <v>-60830085000</v>
      </c>
      <c r="K149" s="93">
        <v>-78205482000</v>
      </c>
      <c r="L149" s="93"/>
      <c r="M149" s="93"/>
      <c r="N149" s="93"/>
    </row>
    <row r="150" spans="2:14">
      <c r="B150" s="86" t="s">
        <v>375</v>
      </c>
      <c r="C150" s="64">
        <v>7218172000</v>
      </c>
      <c r="D150" s="64">
        <v>4807944000</v>
      </c>
      <c r="E150" s="64">
        <v>56197328000</v>
      </c>
      <c r="F150" s="64">
        <v>325595598000</v>
      </c>
      <c r="G150" s="64">
        <v>223143677000</v>
      </c>
      <c r="H150" s="64">
        <v>32826815000</v>
      </c>
      <c r="I150" s="64">
        <v>23420939000</v>
      </c>
      <c r="J150" s="64">
        <v>58863189000</v>
      </c>
      <c r="K150" s="64">
        <v>28288013000</v>
      </c>
      <c r="L150" s="64"/>
      <c r="M150" s="64"/>
      <c r="N150" s="64"/>
    </row>
    <row r="151" spans="2:14">
      <c r="B151" s="85"/>
      <c r="C151" s="66"/>
      <c r="D151" s="66"/>
      <c r="E151" s="66"/>
      <c r="F151" s="66"/>
      <c r="G151" s="66"/>
      <c r="H151" s="66"/>
      <c r="I151" s="66"/>
      <c r="J151" s="66">
        <f>J144+J145+J147+I150</f>
        <v>58805151000</v>
      </c>
      <c r="K151" s="66">
        <f>K144+K145+K147+J150</f>
        <v>27813023000</v>
      </c>
      <c r="L151" s="66"/>
      <c r="M151" s="66"/>
      <c r="N151" s="66"/>
    </row>
    <row r="152" spans="2:14">
      <c r="B152" s="84" t="s">
        <v>376</v>
      </c>
      <c r="C152" s="131">
        <f t="shared" ref="C152:G152" si="95">+C144+C146+C149</f>
        <v>-230481694000</v>
      </c>
      <c r="D152" s="131">
        <f t="shared" si="95"/>
        <v>-110614378000</v>
      </c>
      <c r="E152" s="131">
        <f t="shared" si="95"/>
        <v>54480731000</v>
      </c>
      <c r="F152" s="131">
        <f t="shared" si="95"/>
        <v>27642200000</v>
      </c>
      <c r="G152" s="131">
        <f t="shared" si="95"/>
        <v>-31197081000</v>
      </c>
      <c r="H152" s="131">
        <f>+H144+H146+H149</f>
        <v>-243713211000</v>
      </c>
      <c r="I152" s="131">
        <f>+I144+I146+I149</f>
        <v>-288205968000</v>
      </c>
      <c r="J152" s="131">
        <f>+J144+J146+J149</f>
        <v>-4841685000</v>
      </c>
      <c r="K152" s="131">
        <f>+K144+K146+K149</f>
        <v>-272782834000</v>
      </c>
      <c r="L152" s="131"/>
      <c r="M152" s="131"/>
      <c r="N152" s="131"/>
    </row>
  </sheetData>
  <conditionalFormatting sqref="C67:H73 D74:H74 C75:H108">
    <cfRule type="cellIs" dxfId="211" priority="18" operator="lessThan">
      <formula>0</formula>
    </cfRule>
  </conditionalFormatting>
  <conditionalFormatting sqref="C121:N140">
    <cfRule type="cellIs" dxfId="210" priority="2" operator="lessThan">
      <formula>0</formula>
    </cfRule>
  </conditionalFormatting>
  <conditionalFormatting sqref="C144:N152">
    <cfRule type="cellIs" dxfId="209" priority="1" operator="lessThan">
      <formula>0</formula>
    </cfRule>
  </conditionalFormatting>
  <conditionalFormatting sqref="I67:N108 C110:N117">
    <cfRule type="cellIs" dxfId="208" priority="3" operator="lessThan">
      <formula>0</formula>
    </cfRule>
  </conditionalFormatting>
  <pageMargins left="0.7" right="0.7" top="0.75" bottom="0.75" header="0.3" footer="0.3"/>
  <pageSetup paperSize="9" orientation="portrait"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B50B0-F797-4486-9EC1-6E170E2A59BD}">
  <dimension ref="B2:O46"/>
  <sheetViews>
    <sheetView zoomScale="85" zoomScaleNormal="85" workbookViewId="0">
      <pane xSplit="2" ySplit="6" topLeftCell="C29" activePane="bottomRight" state="frozen"/>
      <selection pane="bottomRight" activeCell="D46" sqref="D46"/>
      <selection pane="bottomLeft" activeCell="A7" sqref="A7"/>
      <selection pane="topRight" activeCell="C1" sqref="C1"/>
    </sheetView>
  </sheetViews>
  <sheetFormatPr defaultColWidth="10.7109375" defaultRowHeight="15" customHeight="1"/>
  <cols>
    <col min="1" max="1" width="3.7109375" customWidth="1"/>
    <col min="2" max="2" width="55.28515625" customWidth="1"/>
    <col min="3" max="3" width="30.140625" customWidth="1"/>
    <col min="4" max="4" width="32.7109375" bestFit="1" customWidth="1"/>
    <col min="5" max="5" width="36.7109375" bestFit="1" customWidth="1"/>
    <col min="6" max="10" width="31" bestFit="1" customWidth="1"/>
    <col min="11" max="11" width="32.140625" bestFit="1" customWidth="1"/>
    <col min="12" max="14" width="28" bestFit="1" customWidth="1"/>
  </cols>
  <sheetData>
    <row r="2" spans="2:14" ht="21">
      <c r="B2" s="313">
        <f ca="1">TODAY()-1</f>
        <v>46105</v>
      </c>
      <c r="C2" s="786"/>
      <c r="D2" s="314"/>
      <c r="E2" s="344" t="s">
        <v>265</v>
      </c>
      <c r="F2" s="345" t="s">
        <v>266</v>
      </c>
    </row>
    <row r="3" spans="2:14" ht="25.5">
      <c r="B3" s="376" cm="1">
        <f t="array" aca="1" ref="B3" ca="1">_FV(B6,"Precio")</f>
        <v>168</v>
      </c>
      <c r="C3" s="787"/>
      <c r="D3" s="316"/>
      <c r="E3" s="346">
        <f>AVERAGE(H17:J17)</f>
        <v>7.3150542895333333</v>
      </c>
      <c r="F3" s="346">
        <f>AVERAGE(H17:J17)</f>
        <v>7.3150542895333333</v>
      </c>
    </row>
    <row r="4" spans="2:14" ht="9.75" customHeight="1">
      <c r="B4" s="319"/>
      <c r="C4" s="788"/>
      <c r="D4" s="320"/>
      <c r="E4" s="328"/>
      <c r="F4" s="328"/>
    </row>
    <row r="6" spans="2:14" ht="23.25">
      <c r="B6" s="280" t="e" vm="19">
        <v>#VALUE!</v>
      </c>
      <c r="C6" s="280">
        <v>2017</v>
      </c>
      <c r="D6" s="280">
        <v>2018</v>
      </c>
      <c r="E6" s="280">
        <v>2019</v>
      </c>
      <c r="F6" s="280">
        <v>2020</v>
      </c>
      <c r="G6" s="280">
        <v>2021</v>
      </c>
      <c r="H6" s="280">
        <v>2022</v>
      </c>
      <c r="I6" s="280">
        <v>2023</v>
      </c>
      <c r="J6" s="280">
        <v>2024</v>
      </c>
      <c r="K6" s="280">
        <v>2025</v>
      </c>
      <c r="L6" s="280">
        <v>2026</v>
      </c>
      <c r="M6" s="280">
        <v>2027</v>
      </c>
      <c r="N6" s="280">
        <v>2028</v>
      </c>
    </row>
    <row r="7" spans="2:14" ht="23.25">
      <c r="B7" s="282" t="s">
        <v>272</v>
      </c>
      <c r="C7" s="282"/>
      <c r="D7" s="283">
        <v>35926459</v>
      </c>
      <c r="E7" s="283">
        <v>41273333</v>
      </c>
      <c r="F7" s="283">
        <v>46095131</v>
      </c>
      <c r="G7" s="283">
        <v>51702439</v>
      </c>
      <c r="H7" s="283">
        <v>55255362</v>
      </c>
      <c r="I7" s="283">
        <v>55792552</v>
      </c>
      <c r="J7" s="283">
        <v>52095441</v>
      </c>
      <c r="K7" s="1396">
        <v>54100903</v>
      </c>
      <c r="L7" s="283"/>
      <c r="M7" s="283"/>
      <c r="N7" s="283"/>
    </row>
    <row r="8" spans="2:14" ht="23.25">
      <c r="B8" s="284" t="s">
        <v>566</v>
      </c>
      <c r="C8" s="284"/>
      <c r="D8" s="285">
        <v>32622306</v>
      </c>
      <c r="E8" s="285">
        <v>37745110</v>
      </c>
      <c r="F8" s="285">
        <v>42368863</v>
      </c>
      <c r="G8" s="285">
        <v>47479425</v>
      </c>
      <c r="H8" s="285">
        <v>50397035</v>
      </c>
      <c r="I8" s="285">
        <v>50555267</v>
      </c>
      <c r="J8" s="698">
        <v>46472440</v>
      </c>
      <c r="K8" s="1397">
        <v>48301368</v>
      </c>
      <c r="L8" s="285"/>
      <c r="M8" s="285"/>
      <c r="N8" s="285"/>
    </row>
    <row r="9" spans="2:14" ht="23.25">
      <c r="B9" s="286" t="s">
        <v>276</v>
      </c>
      <c r="C9" s="286"/>
      <c r="D9" s="287">
        <f>D7-D8</f>
        <v>3304153</v>
      </c>
      <c r="E9" s="287">
        <f t="shared" ref="E9:G9" si="0">E7-E8</f>
        <v>3528223</v>
      </c>
      <c r="F9" s="287">
        <f t="shared" si="0"/>
        <v>3726268</v>
      </c>
      <c r="G9" s="287">
        <f t="shared" si="0"/>
        <v>4223014</v>
      </c>
      <c r="H9" s="287">
        <f>H7-H8</f>
        <v>4858327</v>
      </c>
      <c r="I9" s="287">
        <v>5237283</v>
      </c>
      <c r="J9" s="287">
        <v>5622999</v>
      </c>
      <c r="K9" s="1398">
        <v>5799535</v>
      </c>
      <c r="L9" s="287"/>
      <c r="M9" s="287"/>
      <c r="N9" s="287"/>
    </row>
    <row r="10" spans="2:14" ht="23.25">
      <c r="B10" s="288" t="s">
        <v>567</v>
      </c>
      <c r="C10" s="288"/>
      <c r="D10" s="702">
        <v>101017081114</v>
      </c>
      <c r="E10" s="702">
        <v>101017081114</v>
      </c>
      <c r="F10" s="702">
        <v>101017081114</v>
      </c>
      <c r="G10" s="702">
        <v>101017081114</v>
      </c>
      <c r="H10" s="702">
        <v>101017081114</v>
      </c>
      <c r="I10" s="702">
        <v>101017081114</v>
      </c>
      <c r="J10" s="702">
        <v>101017081114</v>
      </c>
      <c r="K10" s="1399">
        <v>101017081114</v>
      </c>
      <c r="L10" s="289"/>
      <c r="M10" s="289"/>
      <c r="N10" s="289"/>
    </row>
    <row r="11" spans="2:14" ht="23.25">
      <c r="B11" s="553" t="s">
        <v>282</v>
      </c>
      <c r="C11" s="553"/>
      <c r="D11" s="554">
        <v>100.4</v>
      </c>
      <c r="E11" s="554">
        <v>84.7</v>
      </c>
      <c r="F11" s="554">
        <v>72.5</v>
      </c>
      <c r="G11" s="554">
        <v>66.5</v>
      </c>
      <c r="H11" s="554">
        <v>88</v>
      </c>
      <c r="I11" s="554">
        <v>103.5</v>
      </c>
      <c r="J11" s="699">
        <v>113.05</v>
      </c>
      <c r="K11" s="1400">
        <v>174</v>
      </c>
      <c r="L11" s="554"/>
      <c r="M11" s="554"/>
      <c r="N11" s="554"/>
    </row>
    <row r="12" spans="2:14" ht="23.25">
      <c r="B12" s="290"/>
      <c r="C12" s="290"/>
      <c r="D12" s="290"/>
      <c r="E12" s="290"/>
      <c r="F12" s="290"/>
      <c r="G12" s="290"/>
      <c r="H12" s="290"/>
      <c r="I12" s="281"/>
      <c r="J12" s="281"/>
      <c r="K12" s="281"/>
      <c r="L12" s="281"/>
      <c r="M12" s="281"/>
      <c r="N12" s="281"/>
    </row>
    <row r="13" spans="2:14" ht="23.25">
      <c r="B13" s="291" t="s">
        <v>569</v>
      </c>
      <c r="C13" s="291"/>
      <c r="D13" s="292">
        <v>1591873</v>
      </c>
      <c r="E13" s="292">
        <v>1667246</v>
      </c>
      <c r="F13" s="292">
        <v>1476063</v>
      </c>
      <c r="G13" s="292">
        <v>1856997</v>
      </c>
      <c r="H13" s="292">
        <v>3115793</v>
      </c>
      <c r="I13" s="292">
        <v>2997276</v>
      </c>
      <c r="J13" s="292">
        <v>3050285</v>
      </c>
      <c r="K13" s="1401">
        <v>3026043</v>
      </c>
      <c r="L13" s="292"/>
      <c r="M13" s="292"/>
      <c r="N13" s="292"/>
    </row>
    <row r="14" spans="2:14" ht="23.25">
      <c r="B14" s="293" t="s">
        <v>570</v>
      </c>
      <c r="C14" s="293"/>
      <c r="D14" s="294">
        <v>744149</v>
      </c>
      <c r="E14" s="294">
        <v>756242</v>
      </c>
      <c r="F14" s="294">
        <v>593732</v>
      </c>
      <c r="G14" s="294">
        <v>969233</v>
      </c>
      <c r="H14" s="294">
        <v>1685192</v>
      </c>
      <c r="I14" s="294">
        <v>1517522</v>
      </c>
      <c r="J14" s="294">
        <v>1525797</v>
      </c>
      <c r="K14" s="1402">
        <v>1513183</v>
      </c>
      <c r="L14" s="294"/>
      <c r="M14" s="294"/>
      <c r="N14" s="294"/>
    </row>
    <row r="15" spans="2:14" ht="23.25">
      <c r="B15" s="295" t="s">
        <v>295</v>
      </c>
      <c r="C15" s="295"/>
      <c r="D15" s="296">
        <v>594873</v>
      </c>
      <c r="E15" s="296">
        <v>593009</v>
      </c>
      <c r="F15" s="296">
        <v>463109</v>
      </c>
      <c r="G15" s="296">
        <v>792923</v>
      </c>
      <c r="H15" s="296">
        <v>1409435</v>
      </c>
      <c r="I15" s="296">
        <v>1243635</v>
      </c>
      <c r="J15" s="296">
        <v>1207392</v>
      </c>
      <c r="K15" s="1403">
        <v>1192262</v>
      </c>
      <c r="L15" s="296"/>
      <c r="M15" s="296"/>
      <c r="N15" s="296"/>
    </row>
    <row r="16" spans="2:14" ht="23.25">
      <c r="B16" s="295" t="s">
        <v>159</v>
      </c>
      <c r="C16" s="295"/>
      <c r="D16" s="297">
        <v>5.89</v>
      </c>
      <c r="E16" s="297">
        <v>5.87</v>
      </c>
      <c r="F16" s="297">
        <v>4.58</v>
      </c>
      <c r="G16" s="297">
        <v>7.85</v>
      </c>
      <c r="H16" s="297">
        <v>13.95</v>
      </c>
      <c r="I16" s="297">
        <f>H16*0.88</f>
        <v>12.276</v>
      </c>
      <c r="J16" s="297">
        <f>+(J15*1000000)/J10</f>
        <v>11.952354856080543</v>
      </c>
      <c r="K16" s="1404">
        <v>11.8</v>
      </c>
      <c r="L16" s="297"/>
      <c r="M16" s="297"/>
      <c r="N16" s="297"/>
    </row>
    <row r="17" spans="2:15" ht="23.25">
      <c r="B17" s="298" t="s">
        <v>573</v>
      </c>
      <c r="C17" s="298"/>
      <c r="D17" s="299">
        <v>3.15</v>
      </c>
      <c r="E17" s="299">
        <v>3.52</v>
      </c>
      <c r="F17" s="299">
        <v>3.47</v>
      </c>
      <c r="G17" s="299">
        <v>2.1800000000000002</v>
      </c>
      <c r="H17" s="299">
        <v>5.34</v>
      </c>
      <c r="I17" s="299">
        <v>8.5280000000000005</v>
      </c>
      <c r="J17" s="300">
        <v>8.0771628686000003</v>
      </c>
      <c r="K17" s="299">
        <v>9.8539999999999992</v>
      </c>
      <c r="L17" s="299"/>
      <c r="M17" s="299"/>
      <c r="N17" s="299"/>
    </row>
    <row r="18" spans="2:15" ht="25.5">
      <c r="B18" s="51" t="s">
        <v>111</v>
      </c>
      <c r="C18" s="51"/>
      <c r="D18" s="51">
        <f>SUM(D20:D23)</f>
        <v>3.15</v>
      </c>
      <c r="E18" s="51">
        <f t="shared" ref="E18:K18" si="1">SUM(E20:E23)</f>
        <v>3.52</v>
      </c>
      <c r="F18" s="51">
        <f t="shared" si="1"/>
        <v>3.47</v>
      </c>
      <c r="G18" s="51">
        <f t="shared" si="1"/>
        <v>2.1800000000000002</v>
      </c>
      <c r="H18" s="51">
        <f t="shared" si="1"/>
        <v>5.34</v>
      </c>
      <c r="I18" s="51">
        <f t="shared" si="1"/>
        <v>8.5280000000000005</v>
      </c>
      <c r="J18" s="51">
        <f t="shared" si="1"/>
        <v>8.0771628686000003</v>
      </c>
      <c r="K18" s="51">
        <f t="shared" si="1"/>
        <v>9.8539999999999992</v>
      </c>
      <c r="L18" s="51"/>
      <c r="M18" s="51"/>
      <c r="N18" s="51"/>
    </row>
    <row r="19" spans="2:15" ht="25.5">
      <c r="B19" s="51" t="s">
        <v>112</v>
      </c>
      <c r="C19" s="51"/>
      <c r="D19" s="51">
        <f>SUM(D20:D22)</f>
        <v>3.15</v>
      </c>
      <c r="E19" s="51">
        <f t="shared" ref="E19:K19" si="2">SUM(E20:E22)</f>
        <v>3.52</v>
      </c>
      <c r="F19" s="51">
        <f t="shared" si="2"/>
        <v>3.47</v>
      </c>
      <c r="G19" s="51">
        <f t="shared" si="2"/>
        <v>2.1800000000000002</v>
      </c>
      <c r="H19" s="51">
        <f t="shared" si="2"/>
        <v>5.34</v>
      </c>
      <c r="I19" s="51">
        <f t="shared" si="2"/>
        <v>8.5280000000000005</v>
      </c>
      <c r="J19" s="51">
        <f t="shared" si="2"/>
        <v>8.0771628686000003</v>
      </c>
      <c r="K19" s="51">
        <f t="shared" si="2"/>
        <v>9.8539999999999992</v>
      </c>
      <c r="L19" s="51"/>
      <c r="M19" s="51"/>
      <c r="N19" s="51"/>
    </row>
    <row r="20" spans="2:15" ht="23.25">
      <c r="B20" s="135" t="s">
        <v>114</v>
      </c>
      <c r="C20" s="135">
        <v>2.9220000000000002</v>
      </c>
      <c r="D20" s="299">
        <v>3.15</v>
      </c>
      <c r="E20" s="299">
        <v>3.52</v>
      </c>
      <c r="F20" s="299">
        <v>3.47</v>
      </c>
      <c r="G20" s="299">
        <v>2.1800000000000002</v>
      </c>
      <c r="H20" s="299">
        <v>5.34</v>
      </c>
      <c r="I20" s="299">
        <v>8.5280000000000005</v>
      </c>
      <c r="J20" s="300">
        <v>8.0771628686000003</v>
      </c>
      <c r="K20" s="299">
        <v>9.8539999999999992</v>
      </c>
      <c r="L20" s="299"/>
      <c r="M20" s="299"/>
      <c r="N20" s="299"/>
    </row>
    <row r="21" spans="2:15" ht="23.25">
      <c r="B21" s="135" t="s">
        <v>115</v>
      </c>
      <c r="C21" s="135"/>
      <c r="D21" s="299"/>
      <c r="E21" s="299"/>
      <c r="F21" s="299"/>
      <c r="G21" s="299"/>
      <c r="H21" s="299"/>
      <c r="I21" s="299"/>
      <c r="J21" s="299"/>
      <c r="K21" s="299"/>
      <c r="L21" s="299"/>
      <c r="M21" s="299"/>
      <c r="N21" s="299"/>
    </row>
    <row r="22" spans="2:15" ht="23.25">
      <c r="B22" s="135" t="s">
        <v>116</v>
      </c>
      <c r="C22" s="135"/>
      <c r="D22" s="299"/>
      <c r="E22" s="299"/>
      <c r="F22" s="299"/>
      <c r="G22" s="299"/>
      <c r="H22" s="299"/>
      <c r="I22" s="299"/>
      <c r="J22" s="299"/>
      <c r="K22" s="299"/>
      <c r="L22" s="299"/>
      <c r="M22" s="299"/>
      <c r="N22" s="299"/>
    </row>
    <row r="23" spans="2:15" ht="23.25">
      <c r="B23" s="135" t="s">
        <v>117</v>
      </c>
      <c r="C23" s="135"/>
      <c r="D23" s="299"/>
      <c r="E23" s="299"/>
      <c r="F23" s="299"/>
      <c r="G23" s="299"/>
      <c r="H23" s="299"/>
      <c r="I23" s="299"/>
      <c r="J23" s="299"/>
      <c r="K23" s="299"/>
      <c r="L23" s="299"/>
      <c r="M23" s="299"/>
      <c r="N23" s="299"/>
    </row>
    <row r="24" spans="2:15" ht="25.5">
      <c r="B24" s="51" t="s">
        <v>119</v>
      </c>
      <c r="C24" s="51"/>
      <c r="D24" s="51">
        <f>SUM(D26:D29)</f>
        <v>3.52</v>
      </c>
      <c r="E24" s="51">
        <f t="shared" ref="E24:J24" si="3">SUM(E26:E29)</f>
        <v>3.47</v>
      </c>
      <c r="F24" s="51">
        <f t="shared" si="3"/>
        <v>2.1800000000000002</v>
      </c>
      <c r="G24" s="51">
        <f t="shared" si="3"/>
        <v>5.34</v>
      </c>
      <c r="H24" s="51">
        <f t="shared" si="3"/>
        <v>8.5280000000000005</v>
      </c>
      <c r="I24" s="51">
        <f t="shared" si="3"/>
        <v>8.0771628686000003</v>
      </c>
      <c r="J24" s="51">
        <f t="shared" si="3"/>
        <v>9.8539999999999992</v>
      </c>
      <c r="K24" s="299"/>
      <c r="L24" s="299"/>
      <c r="M24" s="299"/>
      <c r="N24" s="299"/>
    </row>
    <row r="25" spans="2:15" ht="25.5">
      <c r="B25" s="51" t="s">
        <v>120</v>
      </c>
      <c r="C25" s="51"/>
      <c r="D25" s="51">
        <f>SUM(D26:D28)</f>
        <v>3.52</v>
      </c>
      <c r="E25" s="51">
        <f t="shared" ref="E25:J25" si="4">SUM(E26:E28)</f>
        <v>3.47</v>
      </c>
      <c r="F25" s="51">
        <f t="shared" si="4"/>
        <v>2.1800000000000002</v>
      </c>
      <c r="G25" s="51">
        <f t="shared" si="4"/>
        <v>5.34</v>
      </c>
      <c r="H25" s="51">
        <f t="shared" si="4"/>
        <v>8.5280000000000005</v>
      </c>
      <c r="I25" s="51">
        <f t="shared" si="4"/>
        <v>8.0771628686000003</v>
      </c>
      <c r="J25" s="51">
        <f t="shared" si="4"/>
        <v>9.8539999999999992</v>
      </c>
      <c r="K25" s="299"/>
      <c r="L25" s="299"/>
      <c r="M25" s="299"/>
      <c r="N25" s="299"/>
    </row>
    <row r="26" spans="2:15" ht="23.25">
      <c r="B26" s="135" t="s">
        <v>121</v>
      </c>
      <c r="C26" s="299">
        <v>3.15</v>
      </c>
      <c r="D26" s="299">
        <v>3.52</v>
      </c>
      <c r="E26" s="299">
        <v>3.47</v>
      </c>
      <c r="F26" s="299">
        <v>2.1800000000000002</v>
      </c>
      <c r="G26" s="299">
        <v>5.34</v>
      </c>
      <c r="H26" s="299">
        <v>8.5280000000000005</v>
      </c>
      <c r="I26" s="300">
        <v>8.0771628686000003</v>
      </c>
      <c r="J26" s="299">
        <v>9.8539999999999992</v>
      </c>
      <c r="K26" s="299"/>
      <c r="L26" s="299"/>
      <c r="M26" s="299"/>
      <c r="N26" s="299"/>
    </row>
    <row r="27" spans="2:15" ht="23.25">
      <c r="B27" s="135" t="s">
        <v>122</v>
      </c>
      <c r="C27" s="135"/>
      <c r="D27" s="299"/>
      <c r="E27" s="299"/>
      <c r="F27" s="299"/>
      <c r="G27" s="299"/>
      <c r="H27" s="299"/>
      <c r="I27" s="299"/>
      <c r="J27" s="299"/>
      <c r="K27" s="299"/>
      <c r="L27" s="299"/>
      <c r="M27" s="299"/>
      <c r="N27" s="299"/>
    </row>
    <row r="28" spans="2:15" ht="23.25">
      <c r="B28" s="135" t="s">
        <v>123</v>
      </c>
      <c r="C28" s="135"/>
      <c r="D28" s="299"/>
      <c r="E28" s="299"/>
      <c r="F28" s="299"/>
      <c r="G28" s="299"/>
      <c r="H28" s="299"/>
      <c r="I28" s="299"/>
      <c r="J28" s="299"/>
      <c r="K28" s="299"/>
      <c r="L28" s="299"/>
      <c r="M28" s="299"/>
      <c r="N28" s="299"/>
    </row>
    <row r="29" spans="2:15" ht="23.25">
      <c r="B29" s="135" t="s">
        <v>124</v>
      </c>
      <c r="C29" s="135"/>
      <c r="D29" s="299"/>
      <c r="E29" s="299"/>
      <c r="F29" s="299"/>
      <c r="G29" s="299"/>
      <c r="H29" s="299"/>
      <c r="I29" s="299"/>
      <c r="J29" s="299"/>
      <c r="K29" s="299"/>
      <c r="L29" s="299"/>
      <c r="M29" s="299"/>
      <c r="N29" s="299"/>
    </row>
    <row r="30" spans="2:15" ht="23.25">
      <c r="B30" s="298" t="s">
        <v>167</v>
      </c>
      <c r="C30" s="298"/>
      <c r="D30" s="301" t="e">
        <f>D17/B16</f>
        <v>#VALUE!</v>
      </c>
      <c r="E30" s="301">
        <f>E17/D16</f>
        <v>0.59762308998302216</v>
      </c>
      <c r="F30" s="301">
        <f t="shared" ref="F30:N30" si="5">F17/E16</f>
        <v>0.59114139693356049</v>
      </c>
      <c r="G30" s="301">
        <f t="shared" si="5"/>
        <v>0.47598253275109176</v>
      </c>
      <c r="H30" s="301">
        <f t="shared" si="5"/>
        <v>0.68025477707006365</v>
      </c>
      <c r="I30" s="301">
        <f t="shared" si="5"/>
        <v>0.61132616487455205</v>
      </c>
      <c r="J30" s="301">
        <f>J17/I16</f>
        <v>0.65796373970348654</v>
      </c>
      <c r="K30" s="301">
        <f t="shared" si="5"/>
        <v>0.82444004705791984</v>
      </c>
      <c r="L30" s="301">
        <f t="shared" si="5"/>
        <v>0</v>
      </c>
      <c r="M30" s="301" t="e">
        <f t="shared" si="5"/>
        <v>#DIV/0!</v>
      </c>
      <c r="N30" s="301" t="e">
        <f t="shared" si="5"/>
        <v>#DIV/0!</v>
      </c>
    </row>
    <row r="31" spans="2:15" ht="28.5">
      <c r="B31" s="540" t="s">
        <v>303</v>
      </c>
      <c r="C31" s="540"/>
      <c r="D31" s="54">
        <f>AVERAGE(H30:J30)</f>
        <v>0.64984822721603408</v>
      </c>
      <c r="E31" s="54"/>
      <c r="F31" s="54"/>
      <c r="G31" s="54"/>
      <c r="H31" s="54"/>
      <c r="I31" s="700"/>
      <c r="J31" s="54"/>
      <c r="K31" s="54"/>
      <c r="L31" s="54"/>
      <c r="M31" s="54"/>
      <c r="N31" s="54"/>
      <c r="O31" s="54"/>
    </row>
    <row r="32" spans="2:15" ht="25.5">
      <c r="B32" s="543" t="s">
        <v>300</v>
      </c>
      <c r="C32" s="785">
        <f ca="1">B3</f>
        <v>168</v>
      </c>
      <c r="E32" s="177"/>
      <c r="F32" s="177"/>
      <c r="G32" s="177"/>
      <c r="H32" s="177"/>
      <c r="I32" s="701"/>
    </row>
    <row r="33" spans="2:15" ht="23.25">
      <c r="B33" s="281"/>
      <c r="C33" s="281"/>
      <c r="D33" s="281"/>
      <c r="E33" s="281"/>
      <c r="F33" s="302" t="s">
        <v>575</v>
      </c>
      <c r="G33" s="281"/>
      <c r="H33" s="281"/>
    </row>
    <row r="34" spans="2:15" ht="23.25">
      <c r="B34" s="303" t="s">
        <v>576</v>
      </c>
      <c r="C34" s="303"/>
      <c r="D34" s="304">
        <f>D14/D13</f>
        <v>0.46746756807860929</v>
      </c>
      <c r="E34" s="304">
        <f t="shared" ref="E34:I34" si="6">E14/E13</f>
        <v>0.45358753297353838</v>
      </c>
      <c r="F34" s="304">
        <f t="shared" si="6"/>
        <v>0.40224028378192528</v>
      </c>
      <c r="G34" s="304">
        <f t="shared" si="6"/>
        <v>0.5219356843333619</v>
      </c>
      <c r="H34" s="304">
        <f t="shared" si="6"/>
        <v>0.54085492842432092</v>
      </c>
      <c r="I34" s="304">
        <f t="shared" si="6"/>
        <v>0.50630038741844263</v>
      </c>
      <c r="J34" s="304">
        <f t="shared" ref="J34:N34" si="7">J14/J13</f>
        <v>0.50021457011394022</v>
      </c>
      <c r="K34" s="304">
        <f t="shared" si="7"/>
        <v>0.50005337002811923</v>
      </c>
      <c r="L34" s="304" t="e">
        <f t="shared" si="7"/>
        <v>#DIV/0!</v>
      </c>
      <c r="M34" s="304" t="e">
        <f t="shared" si="7"/>
        <v>#DIV/0!</v>
      </c>
      <c r="N34" s="304" t="e">
        <f t="shared" si="7"/>
        <v>#DIV/0!</v>
      </c>
    </row>
    <row r="35" spans="2:15" ht="23.25">
      <c r="B35" s="303" t="s">
        <v>296</v>
      </c>
      <c r="C35" s="303"/>
      <c r="D35" s="304">
        <f>D15/D13</f>
        <v>0.37369375572046265</v>
      </c>
      <c r="E35" s="304">
        <f t="shared" ref="E35:I35" si="8">E15/E13</f>
        <v>0.35568176501847959</v>
      </c>
      <c r="F35" s="304">
        <f t="shared" si="8"/>
        <v>0.3137460934932994</v>
      </c>
      <c r="G35" s="304">
        <f t="shared" si="8"/>
        <v>0.42699207376210085</v>
      </c>
      <c r="H35" s="304">
        <f t="shared" si="8"/>
        <v>0.45235193737196278</v>
      </c>
      <c r="I35" s="304">
        <f t="shared" si="8"/>
        <v>0.41492174894804484</v>
      </c>
      <c r="J35" s="304">
        <f t="shared" ref="J35:N35" si="9">J15/J13</f>
        <v>0.39582924218556625</v>
      </c>
      <c r="K35" s="304">
        <f t="shared" si="9"/>
        <v>0.39400034963151548</v>
      </c>
      <c r="L35" s="304" t="e">
        <f t="shared" si="9"/>
        <v>#DIV/0!</v>
      </c>
      <c r="M35" s="304" t="e">
        <f t="shared" si="9"/>
        <v>#DIV/0!</v>
      </c>
      <c r="N35" s="304" t="e">
        <f t="shared" si="9"/>
        <v>#DIV/0!</v>
      </c>
    </row>
    <row r="36" spans="2:15" ht="23.25">
      <c r="B36" s="303" t="s">
        <v>160</v>
      </c>
      <c r="C36" s="303"/>
      <c r="D36" s="304">
        <f>D15/D9</f>
        <v>0.18003797039664932</v>
      </c>
      <c r="E36" s="304">
        <f>E15/E9</f>
        <v>0.16807582740660101</v>
      </c>
      <c r="F36" s="304">
        <f t="shared" ref="F36:I36" si="10">F15/F9</f>
        <v>0.12428225774420949</v>
      </c>
      <c r="G36" s="304">
        <f t="shared" si="10"/>
        <v>0.18776234225129257</v>
      </c>
      <c r="H36" s="304">
        <f t="shared" si="10"/>
        <v>0.29010706772104883</v>
      </c>
      <c r="I36" s="304">
        <f t="shared" si="10"/>
        <v>0.23745804838119308</v>
      </c>
      <c r="J36" s="304">
        <f>J15/J9</f>
        <v>0.21472385109796391</v>
      </c>
      <c r="K36" s="304">
        <f t="shared" ref="K36:N36" si="11">K15/K9</f>
        <v>0.20557889554938455</v>
      </c>
      <c r="L36" s="304" t="e">
        <f t="shared" si="11"/>
        <v>#DIV/0!</v>
      </c>
      <c r="M36" s="304" t="e">
        <f t="shared" si="11"/>
        <v>#DIV/0!</v>
      </c>
      <c r="N36" s="304" t="e">
        <f t="shared" si="11"/>
        <v>#DIV/0!</v>
      </c>
    </row>
    <row r="37" spans="2:15" ht="23.25">
      <c r="B37" s="281" t="s">
        <v>382</v>
      </c>
      <c r="C37" s="281"/>
      <c r="D37" s="305">
        <f>AVERAGE(G36:I36)</f>
        <v>0.23844248611784483</v>
      </c>
      <c r="E37" s="281"/>
      <c r="F37" s="281"/>
      <c r="G37" s="281"/>
      <c r="H37" s="281"/>
      <c r="I37" s="281"/>
      <c r="J37" s="281"/>
      <c r="K37" s="281"/>
      <c r="L37" s="281"/>
      <c r="M37" s="281"/>
      <c r="N37" s="281"/>
    </row>
    <row r="38" spans="2:15" ht="23.25">
      <c r="B38" s="281" t="s">
        <v>176</v>
      </c>
      <c r="C38" s="281"/>
      <c r="D38" s="306"/>
      <c r="E38" s="306">
        <f>E36*(100%-E30)</f>
        <v>6.7629832080414995E-2</v>
      </c>
      <c r="F38" s="306">
        <f>F36*(100%-F30)</f>
        <v>5.081387028724068E-2</v>
      </c>
      <c r="G38" s="306">
        <f t="shared" ref="G38:N38" si="12">G36*(100%-G30)</f>
        <v>9.8390747031244993E-2</v>
      </c>
      <c r="H38" s="306">
        <f t="shared" si="12"/>
        <v>9.2760349042016896E-2</v>
      </c>
      <c r="I38" s="306">
        <f t="shared" si="12"/>
        <v>9.2293730345722483E-2</v>
      </c>
      <c r="J38" s="306">
        <f>J36*(100%-J30)</f>
        <v>7.3443343026012978E-2</v>
      </c>
      <c r="K38" s="306">
        <f t="shared" si="12"/>
        <v>3.6091421228534766E-2</v>
      </c>
      <c r="L38" s="306" t="e">
        <f t="shared" si="12"/>
        <v>#DIV/0!</v>
      </c>
      <c r="M38" s="306" t="e">
        <f t="shared" si="12"/>
        <v>#DIV/0!</v>
      </c>
      <c r="N38" s="306" t="e">
        <f t="shared" si="12"/>
        <v>#DIV/0!</v>
      </c>
    </row>
    <row r="39" spans="2:15" ht="25.5">
      <c r="B39" s="542" t="s">
        <v>306</v>
      </c>
      <c r="C39" s="542"/>
      <c r="D39" s="1314">
        <f>AVERAGE(H38:J38)</f>
        <v>8.6165807471250785E-2</v>
      </c>
      <c r="E39" s="534"/>
      <c r="F39" s="534"/>
      <c r="G39" s="534"/>
      <c r="H39" s="534"/>
      <c r="I39" s="534"/>
      <c r="J39" s="534"/>
      <c r="K39" s="535"/>
      <c r="L39" s="534"/>
      <c r="M39" s="534"/>
      <c r="N39" s="534"/>
      <c r="O39" s="534"/>
    </row>
    <row r="40" spans="2:15" ht="25.5">
      <c r="B40" s="281" t="s">
        <v>299</v>
      </c>
      <c r="C40" s="281"/>
      <c r="D40" s="534">
        <f>+D17/D11</f>
        <v>3.1374501992031872E-2</v>
      </c>
      <c r="E40" s="534">
        <f t="shared" ref="E40:N40" si="13">+E17/E11</f>
        <v>4.1558441558441558E-2</v>
      </c>
      <c r="F40" s="534">
        <f t="shared" si="13"/>
        <v>4.7862068965517243E-2</v>
      </c>
      <c r="G40" s="534">
        <f t="shared" si="13"/>
        <v>3.2781954887218044E-2</v>
      </c>
      <c r="H40" s="534">
        <f t="shared" si="13"/>
        <v>6.0681818181818177E-2</v>
      </c>
      <c r="I40" s="534">
        <f t="shared" si="13"/>
        <v>8.2396135265700485E-2</v>
      </c>
      <c r="J40" s="534">
        <f>+J17/J11</f>
        <v>7.1447703393188858E-2</v>
      </c>
      <c r="K40" s="534">
        <f t="shared" si="13"/>
        <v>5.6632183908045974E-2</v>
      </c>
      <c r="L40" s="534" t="e">
        <f t="shared" si="13"/>
        <v>#DIV/0!</v>
      </c>
      <c r="M40" s="534" t="e">
        <f t="shared" si="13"/>
        <v>#DIV/0!</v>
      </c>
      <c r="N40" s="534" t="e">
        <f t="shared" si="13"/>
        <v>#DIV/0!</v>
      </c>
    </row>
    <row r="41" spans="2:15" ht="25.5">
      <c r="B41" s="281" t="s">
        <v>579</v>
      </c>
      <c r="C41" s="281"/>
      <c r="D41" s="534">
        <f>AVERAGE(G40:I40)</f>
        <v>5.8619969444912233E-2</v>
      </c>
    </row>
    <row r="43" spans="2:15" ht="26.25">
      <c r="B43" s="32" t="s">
        <v>153</v>
      </c>
      <c r="D43" s="731">
        <f t="shared" ref="D43:K43" si="14">D8/D7</f>
        <v>0.9080300955905507</v>
      </c>
      <c r="E43" s="731">
        <f t="shared" si="14"/>
        <v>0.91451567529087119</v>
      </c>
      <c r="F43" s="731">
        <f t="shared" si="14"/>
        <v>0.91916135350607853</v>
      </c>
      <c r="G43" s="731">
        <f t="shared" si="14"/>
        <v>0.91832079720649151</v>
      </c>
      <c r="H43" s="731">
        <f t="shared" si="14"/>
        <v>0.9120750127381303</v>
      </c>
      <c r="I43" s="731">
        <f t="shared" si="14"/>
        <v>0.90612931632881755</v>
      </c>
      <c r="J43" s="731">
        <f t="shared" si="14"/>
        <v>0.89206347250232509</v>
      </c>
      <c r="K43" s="731">
        <f t="shared" si="14"/>
        <v>0.89280151201912472</v>
      </c>
    </row>
    <row r="46" spans="2:15" ht="21.75" customHeight="1">
      <c r="B46" s="18" t="s">
        <v>283</v>
      </c>
      <c r="C46" s="508"/>
      <c r="D46" s="508">
        <f t="shared" ref="D46:I46" si="15">D11/D16</f>
        <v>17.045840407470291</v>
      </c>
      <c r="E46" s="508">
        <f t="shared" si="15"/>
        <v>14.429301533219762</v>
      </c>
      <c r="F46" s="508">
        <f t="shared" si="15"/>
        <v>15.829694323144105</v>
      </c>
      <c r="G46" s="508">
        <f t="shared" si="15"/>
        <v>8.4713375796178347</v>
      </c>
      <c r="H46" s="508">
        <f t="shared" si="15"/>
        <v>6.3082437275985663</v>
      </c>
      <c r="I46" s="508">
        <f t="shared" si="15"/>
        <v>8.4310850439882703</v>
      </c>
      <c r="J46" s="508">
        <f>J11/J16</f>
        <v>9.4583871848891654</v>
      </c>
      <c r="K46" s="508">
        <f>K11/K16</f>
        <v>14.745762711864407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B387-E04A-433D-A635-0040C7D73376}">
  <dimension ref="B2:P142"/>
  <sheetViews>
    <sheetView zoomScale="80" zoomScaleNormal="80" workbookViewId="0">
      <pane xSplit="2" ySplit="6" topLeftCell="F52" activePane="bottomRight" state="frozen"/>
      <selection pane="bottomRight" activeCell="F52" sqref="F52"/>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3" width="35.7109375" bestFit="1" customWidth="1"/>
    <col min="4" max="4" width="36.7109375" bestFit="1" customWidth="1"/>
    <col min="5" max="6" width="35.7109375" bestFit="1" customWidth="1"/>
    <col min="7" max="7" width="36.28515625" customWidth="1"/>
    <col min="8" max="8" width="35.7109375" customWidth="1"/>
    <col min="9" max="9" width="35.7109375" bestFit="1" customWidth="1"/>
    <col min="10" max="14" width="25.42578125" bestFit="1" customWidth="1"/>
  </cols>
  <sheetData>
    <row r="2" spans="2:14" ht="21">
      <c r="B2" s="313">
        <f ca="1">TODAY()-1</f>
        <v>46105</v>
      </c>
      <c r="C2" s="314"/>
      <c r="D2" s="344" t="s">
        <v>265</v>
      </c>
      <c r="E2" s="345" t="s">
        <v>266</v>
      </c>
    </row>
    <row r="3" spans="2:14" ht="25.5">
      <c r="B3" s="315" cm="1">
        <f t="array" aca="1" ref="B3" ca="1">_FV(B6,"Precio")</f>
        <v>852.05</v>
      </c>
      <c r="C3" s="316"/>
      <c r="D3" s="346">
        <f>AVERAGE(G45:I45)</f>
        <v>46.29999999999999</v>
      </c>
      <c r="E3" s="346">
        <f>AVERAGE(G44:I44)</f>
        <v>46.29999999999999</v>
      </c>
    </row>
    <row r="4" spans="2:14" ht="28.5">
      <c r="B4" s="319"/>
      <c r="C4" s="320"/>
      <c r="D4" s="328"/>
      <c r="E4" s="328"/>
    </row>
    <row r="6" spans="2:14" ht="33.4">
      <c r="B6" s="3" t="e" vm="20">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531907388000</v>
      </c>
      <c r="D7" s="5">
        <f t="shared" ref="D7:I7" si="0">+D61</f>
        <v>567845869000</v>
      </c>
      <c r="E7" s="5">
        <f t="shared" si="0"/>
        <v>642488325000</v>
      </c>
      <c r="F7" s="5">
        <f t="shared" si="0"/>
        <v>655243747000</v>
      </c>
      <c r="G7" s="5">
        <f t="shared" si="0"/>
        <v>750678839000</v>
      </c>
      <c r="H7" s="5">
        <f t="shared" si="0"/>
        <v>784435869000</v>
      </c>
      <c r="I7" s="5">
        <f t="shared" si="0"/>
        <v>821783906000</v>
      </c>
      <c r="J7" s="5">
        <f t="shared" ref="J7:N7" si="1">+J61</f>
        <v>0</v>
      </c>
      <c r="K7" s="5">
        <f t="shared" si="1"/>
        <v>0</v>
      </c>
      <c r="L7" s="5">
        <f t="shared" si="1"/>
        <v>0</v>
      </c>
      <c r="M7" s="5">
        <f t="shared" si="1"/>
        <v>0</v>
      </c>
      <c r="N7" s="5">
        <f t="shared" si="1"/>
        <v>0</v>
      </c>
    </row>
    <row r="8" spans="2:14" ht="25.5">
      <c r="B8" s="146" t="s">
        <v>377</v>
      </c>
      <c r="C8" s="147">
        <f>+C65</f>
        <v>187422436000</v>
      </c>
      <c r="D8" s="147">
        <f t="shared" ref="D8:I8" si="2">+D65</f>
        <v>190675390000</v>
      </c>
      <c r="E8" s="147">
        <f t="shared" si="2"/>
        <v>211128612000</v>
      </c>
      <c r="F8" s="147">
        <f t="shared" si="2"/>
        <v>190459184000</v>
      </c>
      <c r="G8" s="147">
        <f t="shared" si="2"/>
        <v>249210344000</v>
      </c>
      <c r="H8" s="147">
        <f t="shared" si="2"/>
        <v>249182114000</v>
      </c>
      <c r="I8" s="147">
        <f t="shared" si="2"/>
        <v>275103598000</v>
      </c>
      <c r="J8" s="147">
        <f t="shared" ref="J8:N8" si="3">+J65</f>
        <v>0</v>
      </c>
      <c r="K8" s="147">
        <f t="shared" si="3"/>
        <v>0</v>
      </c>
      <c r="L8" s="147">
        <f t="shared" si="3"/>
        <v>0</v>
      </c>
      <c r="M8" s="147">
        <f t="shared" si="3"/>
        <v>0</v>
      </c>
      <c r="N8" s="147">
        <f t="shared" si="3"/>
        <v>0</v>
      </c>
    </row>
    <row r="9" spans="2:14" ht="25.5">
      <c r="B9" s="146" t="s">
        <v>378</v>
      </c>
      <c r="C9" s="147">
        <f>+C67</f>
        <v>237584197000</v>
      </c>
      <c r="D9" s="147">
        <f t="shared" ref="D9:I9" si="4">+D67</f>
        <v>277389786000</v>
      </c>
      <c r="E9" s="147">
        <f t="shared" si="4"/>
        <v>293371556000</v>
      </c>
      <c r="F9" s="147">
        <f t="shared" si="4"/>
        <v>304895225000</v>
      </c>
      <c r="G9" s="147">
        <f t="shared" si="4"/>
        <v>352064738000</v>
      </c>
      <c r="H9" s="147">
        <f t="shared" si="4"/>
        <v>411139331000</v>
      </c>
      <c r="I9" s="147">
        <f t="shared" si="4"/>
        <v>425230734000</v>
      </c>
      <c r="J9" s="147">
        <f t="shared" ref="J9:N9" si="5">+J67</f>
        <v>0</v>
      </c>
      <c r="K9" s="147">
        <f t="shared" si="5"/>
        <v>0</v>
      </c>
      <c r="L9" s="147">
        <f t="shared" si="5"/>
        <v>0</v>
      </c>
      <c r="M9" s="147">
        <f t="shared" si="5"/>
        <v>0</v>
      </c>
      <c r="N9" s="147">
        <f t="shared" si="5"/>
        <v>0</v>
      </c>
    </row>
    <row r="10" spans="2:14" ht="25.5">
      <c r="B10" s="4" t="s">
        <v>379</v>
      </c>
      <c r="C10" s="5">
        <f>+C70</f>
        <v>524919199000</v>
      </c>
      <c r="D10" s="5">
        <f t="shared" ref="D10:I10" si="6">+D70</f>
        <v>578322238000</v>
      </c>
      <c r="E10" s="5">
        <f t="shared" si="6"/>
        <v>611328802000</v>
      </c>
      <c r="F10" s="5">
        <f t="shared" si="6"/>
        <v>624448872000</v>
      </c>
      <c r="G10" s="5">
        <f t="shared" si="6"/>
        <v>693716670000</v>
      </c>
      <c r="H10" s="5">
        <f t="shared" si="6"/>
        <v>797343911000</v>
      </c>
      <c r="I10" s="5">
        <f t="shared" si="6"/>
        <v>814753246000</v>
      </c>
      <c r="J10" s="5">
        <f t="shared" ref="J10:N10" si="7">+J70</f>
        <v>0</v>
      </c>
      <c r="K10" s="5">
        <f t="shared" si="7"/>
        <v>0</v>
      </c>
      <c r="L10" s="5">
        <f t="shared" si="7"/>
        <v>0</v>
      </c>
      <c r="M10" s="5">
        <f t="shared" si="7"/>
        <v>0</v>
      </c>
      <c r="N10" s="5">
        <f t="shared" si="7"/>
        <v>0</v>
      </c>
    </row>
    <row r="11" spans="2:14" ht="25.5">
      <c r="B11" s="8" t="s">
        <v>272</v>
      </c>
      <c r="C11" s="9">
        <f>+C81</f>
        <v>1056826587000</v>
      </c>
      <c r="D11" s="9">
        <f t="shared" ref="D11:I11" si="8">+D81</f>
        <v>1146168107000</v>
      </c>
      <c r="E11" s="9">
        <f t="shared" si="8"/>
        <v>1253817127000</v>
      </c>
      <c r="F11" s="9">
        <f t="shared" si="8"/>
        <v>1279692619000</v>
      </c>
      <c r="G11" s="9">
        <f t="shared" si="8"/>
        <v>1444395509000</v>
      </c>
      <c r="H11" s="9">
        <f t="shared" si="8"/>
        <v>1581779780000</v>
      </c>
      <c r="I11" s="9">
        <f t="shared" si="8"/>
        <v>1636537152000</v>
      </c>
      <c r="J11" s="9">
        <f t="shared" ref="J11:N11" si="9">+J81</f>
        <v>0</v>
      </c>
      <c r="K11" s="9">
        <f t="shared" si="9"/>
        <v>0</v>
      </c>
      <c r="L11" s="9">
        <f t="shared" si="9"/>
        <v>0</v>
      </c>
      <c r="M11" s="9">
        <f t="shared" si="9"/>
        <v>0</v>
      </c>
      <c r="N11" s="9">
        <f t="shared" si="9"/>
        <v>0</v>
      </c>
    </row>
    <row r="12" spans="2:14" ht="25.5">
      <c r="B12" s="10" t="s">
        <v>273</v>
      </c>
      <c r="C12" s="11">
        <f>+C84</f>
        <v>320692140000</v>
      </c>
      <c r="D12" s="11">
        <f t="shared" ref="D12:I12" si="10">+D84</f>
        <v>313267679000</v>
      </c>
      <c r="E12" s="11">
        <f t="shared" si="10"/>
        <v>338947998000</v>
      </c>
      <c r="F12" s="11">
        <f t="shared" si="10"/>
        <v>292892961000</v>
      </c>
      <c r="G12" s="11">
        <f t="shared" si="10"/>
        <v>392158832000</v>
      </c>
      <c r="H12" s="11">
        <f t="shared" si="10"/>
        <v>442639527000</v>
      </c>
      <c r="I12" s="11">
        <f t="shared" si="10"/>
        <v>456385261000</v>
      </c>
      <c r="J12" s="11">
        <f t="shared" ref="J12:N12" si="11">+J84</f>
        <v>0</v>
      </c>
      <c r="K12" s="11">
        <f t="shared" si="11"/>
        <v>0</v>
      </c>
      <c r="L12" s="11">
        <f t="shared" si="11"/>
        <v>0</v>
      </c>
      <c r="M12" s="11">
        <f t="shared" si="11"/>
        <v>0</v>
      </c>
      <c r="N12" s="11">
        <f t="shared" si="11"/>
        <v>0</v>
      </c>
    </row>
    <row r="13" spans="2:14" ht="25.5">
      <c r="B13" s="10" t="s">
        <v>274</v>
      </c>
      <c r="C13" s="11">
        <f>+C94</f>
        <v>184901211000</v>
      </c>
      <c r="D13" s="11">
        <f t="shared" ref="D13:I13" si="12">+D94</f>
        <v>260747184000</v>
      </c>
      <c r="E13" s="11">
        <f t="shared" si="12"/>
        <v>320834663000</v>
      </c>
      <c r="F13" s="11">
        <f t="shared" si="12"/>
        <v>338224979000</v>
      </c>
      <c r="G13" s="11">
        <f t="shared" si="12"/>
        <v>387731484000</v>
      </c>
      <c r="H13" s="11">
        <f t="shared" si="12"/>
        <v>375031525000</v>
      </c>
      <c r="I13" s="11">
        <f t="shared" si="12"/>
        <v>398068014000</v>
      </c>
      <c r="J13" s="11">
        <f t="shared" ref="J13:N13" si="13">+J94</f>
        <v>0</v>
      </c>
      <c r="K13" s="11">
        <f t="shared" si="13"/>
        <v>0</v>
      </c>
      <c r="L13" s="11">
        <f t="shared" si="13"/>
        <v>0</v>
      </c>
      <c r="M13" s="11">
        <f t="shared" si="13"/>
        <v>0</v>
      </c>
      <c r="N13" s="11">
        <f t="shared" si="13"/>
        <v>0</v>
      </c>
    </row>
    <row r="14" spans="2:14" ht="25.5">
      <c r="B14" s="12" t="s">
        <v>275</v>
      </c>
      <c r="C14" s="13">
        <f>+C13+C12</f>
        <v>505593351000</v>
      </c>
      <c r="D14" s="13">
        <f t="shared" ref="D14:I14" si="14">+D13+D12</f>
        <v>574014863000</v>
      </c>
      <c r="E14" s="13">
        <f t="shared" si="14"/>
        <v>659782661000</v>
      </c>
      <c r="F14" s="13">
        <f t="shared" si="14"/>
        <v>631117940000</v>
      </c>
      <c r="G14" s="13">
        <f t="shared" si="14"/>
        <v>779890316000</v>
      </c>
      <c r="H14" s="13">
        <f t="shared" si="14"/>
        <v>817671052000</v>
      </c>
      <c r="I14" s="13">
        <f t="shared" si="14"/>
        <v>854453275000</v>
      </c>
      <c r="J14" s="13">
        <f t="shared" ref="J14:N14" si="15">+J13+J12</f>
        <v>0</v>
      </c>
      <c r="K14" s="13">
        <f t="shared" si="15"/>
        <v>0</v>
      </c>
      <c r="L14" s="13">
        <f t="shared" si="15"/>
        <v>0</v>
      </c>
      <c r="M14" s="13">
        <f t="shared" si="15"/>
        <v>0</v>
      </c>
      <c r="N14" s="13">
        <f t="shared" si="15"/>
        <v>0</v>
      </c>
    </row>
    <row r="15" spans="2:14" ht="25.5">
      <c r="B15" s="14" t="s">
        <v>682</v>
      </c>
      <c r="C15" s="15">
        <f>+C108</f>
        <v>548366807000</v>
      </c>
      <c r="D15" s="15">
        <f t="shared" ref="D15:I15" si="16">+D108</f>
        <v>568321968000</v>
      </c>
      <c r="E15" s="15">
        <f t="shared" si="16"/>
        <v>589591330000</v>
      </c>
      <c r="F15" s="15">
        <f t="shared" si="16"/>
        <v>643754739000</v>
      </c>
      <c r="G15" s="15">
        <f t="shared" si="16"/>
        <v>658025874000</v>
      </c>
      <c r="H15" s="15">
        <f t="shared" si="16"/>
        <v>756762764000</v>
      </c>
      <c r="I15" s="15">
        <f t="shared" si="16"/>
        <v>774256549000</v>
      </c>
      <c r="J15" s="15">
        <f t="shared" ref="J15:N15" si="17">+J108</f>
        <v>0</v>
      </c>
      <c r="K15" s="15">
        <f t="shared" si="17"/>
        <v>0</v>
      </c>
      <c r="L15" s="15">
        <f t="shared" si="17"/>
        <v>0</v>
      </c>
      <c r="M15" s="15">
        <f t="shared" si="17"/>
        <v>0</v>
      </c>
      <c r="N15" s="15">
        <f t="shared" si="17"/>
        <v>0</v>
      </c>
    </row>
    <row r="16" spans="2:14" ht="25.5">
      <c r="B16" s="79" t="s">
        <v>278</v>
      </c>
      <c r="C16" s="80">
        <v>747005982</v>
      </c>
      <c r="D16" s="80">
        <v>747005982</v>
      </c>
      <c r="E16" s="80">
        <v>747005982</v>
      </c>
      <c r="F16" s="80">
        <v>747005982</v>
      </c>
      <c r="G16" s="80">
        <v>747005982</v>
      </c>
      <c r="H16" s="80">
        <v>747005982</v>
      </c>
      <c r="I16" s="80">
        <v>747005982</v>
      </c>
      <c r="J16" s="80"/>
      <c r="K16" s="80"/>
      <c r="L16" s="80"/>
      <c r="M16" s="80"/>
      <c r="N16" s="80"/>
    </row>
    <row r="18" spans="2:14" ht="25.5">
      <c r="B18" s="18" t="s">
        <v>279</v>
      </c>
      <c r="C18" s="19">
        <f t="shared" ref="C18:I18" si="18">(C15/C16)</f>
        <v>734.08623252497591</v>
      </c>
      <c r="D18" s="19">
        <f t="shared" si="18"/>
        <v>760.79975488067782</v>
      </c>
      <c r="E18" s="19">
        <f t="shared" si="18"/>
        <v>789.27256836880326</v>
      </c>
      <c r="F18" s="19">
        <f t="shared" si="18"/>
        <v>861.77989803567596</v>
      </c>
      <c r="G18" s="19">
        <f t="shared" si="18"/>
        <v>880.88434344023767</v>
      </c>
      <c r="H18" s="19">
        <f t="shared" si="18"/>
        <v>1013.0611832235635</v>
      </c>
      <c r="I18" s="19">
        <f t="shared" si="18"/>
        <v>1036.4797172400688</v>
      </c>
      <c r="J18" s="19" t="e">
        <f t="shared" ref="J18:N18" si="19">(J15/J16)</f>
        <v>#DIV/0!</v>
      </c>
      <c r="K18" s="19" t="e">
        <f t="shared" si="19"/>
        <v>#DIV/0!</v>
      </c>
      <c r="L18" s="19" t="e">
        <f t="shared" si="19"/>
        <v>#DIV/0!</v>
      </c>
      <c r="M18" s="19" t="e">
        <f t="shared" si="19"/>
        <v>#DIV/0!</v>
      </c>
      <c r="N18" s="19" t="e">
        <f t="shared" si="19"/>
        <v>#DIV/0!</v>
      </c>
    </row>
    <row r="19" spans="2:14" ht="25.5">
      <c r="B19" s="76" t="s">
        <v>282</v>
      </c>
      <c r="C19" s="77">
        <v>1165</v>
      </c>
      <c r="D19" s="77">
        <v>1355</v>
      </c>
      <c r="E19" s="77">
        <v>1416</v>
      </c>
      <c r="F19" s="77">
        <v>1234</v>
      </c>
      <c r="G19" s="77">
        <v>1310</v>
      </c>
      <c r="H19" s="101">
        <v>1070</v>
      </c>
      <c r="I19" s="101">
        <v>1038</v>
      </c>
      <c r="J19" s="101"/>
      <c r="K19" s="101"/>
      <c r="L19" s="101"/>
      <c r="M19" s="101"/>
      <c r="N19" s="101"/>
    </row>
    <row r="20" spans="2:14" ht="25.5">
      <c r="B20" s="18" t="s">
        <v>283</v>
      </c>
      <c r="C20" s="22">
        <f>+C19/C40</f>
        <v>17.555756479807112</v>
      </c>
      <c r="D20" s="22">
        <f t="shared" ref="D20:I20" si="20">+D19/D40</f>
        <v>20.611499847885611</v>
      </c>
      <c r="E20" s="22">
        <f t="shared" si="20"/>
        <v>20.147979510529311</v>
      </c>
      <c r="F20" s="22">
        <f t="shared" si="20"/>
        <v>11.81879130351499</v>
      </c>
      <c r="G20" s="22">
        <f t="shared" si="20"/>
        <v>9.8046553401691483</v>
      </c>
      <c r="H20" s="22">
        <f t="shared" si="20"/>
        <v>9.067028217947632</v>
      </c>
      <c r="I20" s="22">
        <f t="shared" si="20"/>
        <v>17.786154900616861</v>
      </c>
      <c r="J20" s="22" t="e">
        <f t="shared" ref="J20:N20" si="21">+J19/J40</f>
        <v>#DIV/0!</v>
      </c>
      <c r="K20" s="22" t="e">
        <f t="shared" si="21"/>
        <v>#DIV/0!</v>
      </c>
      <c r="L20" s="22" t="e">
        <f t="shared" si="21"/>
        <v>#DIV/0!</v>
      </c>
      <c r="M20" s="22" t="e">
        <f t="shared" si="21"/>
        <v>#DIV/0!</v>
      </c>
      <c r="N20" s="22" t="e">
        <f t="shared" si="21"/>
        <v>#DIV/0!</v>
      </c>
    </row>
    <row r="21" spans="2:14" ht="25.5">
      <c r="B21" s="18" t="s">
        <v>380</v>
      </c>
      <c r="C21" s="22">
        <f t="shared" ref="C21:I21" si="22">+C19/C18</f>
        <v>1.5870070141389867</v>
      </c>
      <c r="D21" s="22">
        <f t="shared" si="22"/>
        <v>1.781020552789893</v>
      </c>
      <c r="E21" s="22">
        <f t="shared" si="22"/>
        <v>1.7940570301669803</v>
      </c>
      <c r="F21" s="22">
        <f t="shared" si="22"/>
        <v>1.4319201489994779</v>
      </c>
      <c r="G21" s="22">
        <f t="shared" si="22"/>
        <v>1.4871418816275908</v>
      </c>
      <c r="H21" s="22">
        <f t="shared" si="22"/>
        <v>1.0562047166739299</v>
      </c>
      <c r="I21" s="22">
        <f t="shared" si="22"/>
        <v>1.0014667752148392</v>
      </c>
      <c r="J21" s="22" t="e">
        <f t="shared" ref="J21:N21" si="23">+J19/J18</f>
        <v>#DIV/0!</v>
      </c>
      <c r="K21" s="22" t="e">
        <f t="shared" si="23"/>
        <v>#DIV/0!</v>
      </c>
      <c r="L21" s="22" t="e">
        <f t="shared" si="23"/>
        <v>#DIV/0!</v>
      </c>
      <c r="M21" s="22" t="e">
        <f t="shared" si="23"/>
        <v>#DIV/0!</v>
      </c>
      <c r="N21" s="22" t="e">
        <f t="shared" si="23"/>
        <v>#DIV/0!</v>
      </c>
    </row>
    <row r="22" spans="2:14" ht="25.5">
      <c r="B22" s="18" t="s">
        <v>285</v>
      </c>
      <c r="C22" s="22">
        <f>+C20*C21</f>
        <v>27.861108671969852</v>
      </c>
      <c r="D22" s="22">
        <f t="shared" ref="D22:I22" si="24">+D20*D21</f>
        <v>36.70950485291003</v>
      </c>
      <c r="E22" s="22">
        <f t="shared" si="24"/>
        <v>36.14662428452538</v>
      </c>
      <c r="F22" s="22">
        <f t="shared" si="24"/>
        <v>16.923565404322918</v>
      </c>
      <c r="G22" s="22">
        <f t="shared" si="24"/>
        <v>14.580913591289153</v>
      </c>
      <c r="H22" s="22">
        <f t="shared" si="24"/>
        <v>9.5766379700119071</v>
      </c>
      <c r="I22" s="22">
        <f t="shared" si="24"/>
        <v>17.812243191792376</v>
      </c>
      <c r="J22" s="22" t="e">
        <f t="shared" ref="J22:N22" si="25">+J20*J21</f>
        <v>#DIV/0!</v>
      </c>
      <c r="K22" s="22" t="e">
        <f t="shared" si="25"/>
        <v>#DIV/0!</v>
      </c>
      <c r="L22" s="22" t="e">
        <f t="shared" si="25"/>
        <v>#DIV/0!</v>
      </c>
      <c r="M22" s="22" t="e">
        <f t="shared" si="25"/>
        <v>#DIV/0!</v>
      </c>
      <c r="N22" s="22" t="e">
        <f t="shared" si="25"/>
        <v>#DIV/0!</v>
      </c>
    </row>
    <row r="23" spans="2:14" ht="25.5">
      <c r="B23" s="23" t="s">
        <v>286</v>
      </c>
      <c r="C23" s="24">
        <f>IF(C41&lt;10%,0,IF(15%&lt;C41,2,1))</f>
        <v>0</v>
      </c>
      <c r="D23" s="24">
        <f>IF(D41&lt;10%,0,IF(15%&lt;D41,2,1))</f>
        <v>0</v>
      </c>
      <c r="E23" s="24">
        <f t="shared" ref="E23:I23" si="26">IF(E41&lt;10%,0,IF(15%&lt;E41,2,1))</f>
        <v>0</v>
      </c>
      <c r="F23" s="24">
        <f t="shared" si="26"/>
        <v>1</v>
      </c>
      <c r="G23" s="24">
        <f t="shared" si="26"/>
        <v>2</v>
      </c>
      <c r="H23" s="24">
        <f t="shared" si="26"/>
        <v>1</v>
      </c>
      <c r="I23" s="24">
        <f t="shared" si="26"/>
        <v>0</v>
      </c>
      <c r="J23" s="24" t="e">
        <f t="shared" ref="J23:N23" si="27">IF(J41&lt;10%,0,IF(15%&lt;J41,2,1))</f>
        <v>#DIV/0!</v>
      </c>
      <c r="K23" s="24" t="e">
        <f t="shared" si="27"/>
        <v>#DIV/0!</v>
      </c>
      <c r="L23" s="24" t="e">
        <f t="shared" si="27"/>
        <v>#DIV/0!</v>
      </c>
      <c r="M23" s="24" t="e">
        <f t="shared" si="27"/>
        <v>#DIV/0!</v>
      </c>
      <c r="N23" s="24" t="e">
        <f t="shared" si="27"/>
        <v>#DIV/0!</v>
      </c>
    </row>
    <row r="24" spans="2:14" ht="25.5">
      <c r="B24" s="23" t="s">
        <v>287</v>
      </c>
      <c r="C24" s="24">
        <f>IF(C41&lt;10%,1,IF(15%&lt;C41,2.5,2))</f>
        <v>1</v>
      </c>
      <c r="D24" s="24">
        <f t="shared" ref="D24:I24" si="28">IF(D41&lt;10%,1,IF(15%&lt;D41,2.5,2))</f>
        <v>1</v>
      </c>
      <c r="E24" s="24">
        <f t="shared" si="28"/>
        <v>1</v>
      </c>
      <c r="F24" s="24">
        <f t="shared" si="28"/>
        <v>2</v>
      </c>
      <c r="G24" s="24">
        <f t="shared" si="28"/>
        <v>2.5</v>
      </c>
      <c r="H24" s="24">
        <f t="shared" si="28"/>
        <v>2</v>
      </c>
      <c r="I24" s="24">
        <f t="shared" si="28"/>
        <v>1</v>
      </c>
      <c r="J24" s="24" t="e">
        <f t="shared" ref="J24:N24" si="29">IF(J41&lt;10%,1,IF(15%&lt;J41,2.5,2))</f>
        <v>#DIV/0!</v>
      </c>
      <c r="K24" s="24" t="e">
        <f t="shared" si="29"/>
        <v>#DIV/0!</v>
      </c>
      <c r="L24" s="24" t="e">
        <f t="shared" si="29"/>
        <v>#DIV/0!</v>
      </c>
      <c r="M24" s="24" t="e">
        <f t="shared" si="29"/>
        <v>#DIV/0!</v>
      </c>
      <c r="N24" s="24" t="e">
        <f t="shared" si="29"/>
        <v>#DIV/0!</v>
      </c>
    </row>
    <row r="25" spans="2:14" ht="25.5">
      <c r="B25" s="25" t="s">
        <v>288</v>
      </c>
      <c r="C25" s="26">
        <f t="shared" ref="C25:I25" si="30">+C23*C18</f>
        <v>0</v>
      </c>
      <c r="D25" s="26">
        <f t="shared" si="30"/>
        <v>0</v>
      </c>
      <c r="E25" s="26">
        <f t="shared" si="30"/>
        <v>0</v>
      </c>
      <c r="F25" s="26">
        <f t="shared" si="30"/>
        <v>861.77989803567596</v>
      </c>
      <c r="G25" s="26">
        <f t="shared" si="30"/>
        <v>1761.7686868804753</v>
      </c>
      <c r="H25" s="26">
        <f t="shared" si="30"/>
        <v>1013.0611832235635</v>
      </c>
      <c r="I25" s="26">
        <f t="shared" si="30"/>
        <v>0</v>
      </c>
      <c r="J25" s="26" t="e">
        <f t="shared" ref="J25:N25" si="31">+J23*J18</f>
        <v>#DIV/0!</v>
      </c>
      <c r="K25" s="26" t="e">
        <f t="shared" si="31"/>
        <v>#DIV/0!</v>
      </c>
      <c r="L25" s="26" t="e">
        <f t="shared" si="31"/>
        <v>#DIV/0!</v>
      </c>
      <c r="M25" s="26" t="e">
        <f t="shared" si="31"/>
        <v>#DIV/0!</v>
      </c>
      <c r="N25" s="26" t="e">
        <f t="shared" si="31"/>
        <v>#DIV/0!</v>
      </c>
    </row>
    <row r="26" spans="2:14" ht="25.5">
      <c r="B26" s="25" t="s">
        <v>289</v>
      </c>
      <c r="C26" s="26">
        <f>AVERAGE(C25,C27)</f>
        <v>367.04311626248796</v>
      </c>
      <c r="D26" s="26">
        <f t="shared" ref="D26:I26" si="32">AVERAGE(D25,D27)</f>
        <v>380.39987744033891</v>
      </c>
      <c r="E26" s="26">
        <f t="shared" si="32"/>
        <v>394.63628418440163</v>
      </c>
      <c r="F26" s="26">
        <f t="shared" si="32"/>
        <v>1292.6698470535139</v>
      </c>
      <c r="G26" s="26">
        <f t="shared" si="32"/>
        <v>1981.9897727405348</v>
      </c>
      <c r="H26" s="26">
        <f t="shared" si="32"/>
        <v>1519.5917748353452</v>
      </c>
      <c r="I26" s="26">
        <f t="shared" si="32"/>
        <v>518.2398586200344</v>
      </c>
      <c r="J26" s="26" t="e">
        <f t="shared" ref="J26:N26" si="33">AVERAGE(J25,J27)</f>
        <v>#DIV/0!</v>
      </c>
      <c r="K26" s="26" t="e">
        <f t="shared" si="33"/>
        <v>#DIV/0!</v>
      </c>
      <c r="L26" s="26" t="e">
        <f t="shared" si="33"/>
        <v>#DIV/0!</v>
      </c>
      <c r="M26" s="26" t="e">
        <f t="shared" si="33"/>
        <v>#DIV/0!</v>
      </c>
      <c r="N26" s="26" t="e">
        <f t="shared" si="33"/>
        <v>#DIV/0!</v>
      </c>
    </row>
    <row r="27" spans="2:14" ht="25.5">
      <c r="B27" s="25" t="s">
        <v>290</v>
      </c>
      <c r="C27" s="26">
        <f t="shared" ref="C27:I27" si="34">+C18*C24</f>
        <v>734.08623252497591</v>
      </c>
      <c r="D27" s="26">
        <f t="shared" si="34"/>
        <v>760.79975488067782</v>
      </c>
      <c r="E27" s="26">
        <f t="shared" si="34"/>
        <v>789.27256836880326</v>
      </c>
      <c r="F27" s="26">
        <f t="shared" si="34"/>
        <v>1723.5597960713519</v>
      </c>
      <c r="G27" s="26">
        <f t="shared" si="34"/>
        <v>2202.2108586005943</v>
      </c>
      <c r="H27" s="26">
        <f t="shared" si="34"/>
        <v>2026.122366447127</v>
      </c>
      <c r="I27" s="26">
        <f t="shared" si="34"/>
        <v>1036.4797172400688</v>
      </c>
      <c r="J27" s="26" t="e">
        <f t="shared" ref="J27:N27" si="35">+J18*J24</f>
        <v>#DIV/0!</v>
      </c>
      <c r="K27" s="26" t="e">
        <f t="shared" si="35"/>
        <v>#DIV/0!</v>
      </c>
      <c r="L27" s="26" t="e">
        <f t="shared" si="35"/>
        <v>#DIV/0!</v>
      </c>
      <c r="M27" s="26" t="e">
        <f t="shared" si="35"/>
        <v>#DIV/0!</v>
      </c>
      <c r="N27" s="26" t="e">
        <f t="shared" si="35"/>
        <v>#DIV/0!</v>
      </c>
    </row>
    <row r="29" spans="2:14" ht="25.5">
      <c r="B29" s="243" t="s">
        <v>291</v>
      </c>
      <c r="C29" s="81">
        <f t="shared" ref="C29:I29" si="36">C7-C12</f>
        <v>211215248000</v>
      </c>
      <c r="D29" s="81">
        <f t="shared" si="36"/>
        <v>254578190000</v>
      </c>
      <c r="E29" s="81">
        <f t="shared" si="36"/>
        <v>303540327000</v>
      </c>
      <c r="F29" s="81">
        <f t="shared" si="36"/>
        <v>362350786000</v>
      </c>
      <c r="G29" s="81">
        <f t="shared" si="36"/>
        <v>358520007000</v>
      </c>
      <c r="H29" s="81">
        <f t="shared" si="36"/>
        <v>341796342000</v>
      </c>
      <c r="I29" s="81">
        <f t="shared" si="36"/>
        <v>365398645000</v>
      </c>
      <c r="J29" s="81">
        <f t="shared" ref="J29:N29" si="37">J7-J12</f>
        <v>0</v>
      </c>
      <c r="K29" s="81">
        <f t="shared" si="37"/>
        <v>0</v>
      </c>
      <c r="L29" s="81">
        <f t="shared" si="37"/>
        <v>0</v>
      </c>
      <c r="M29" s="81">
        <f t="shared" si="37"/>
        <v>0</v>
      </c>
      <c r="N29" s="81">
        <f t="shared" si="37"/>
        <v>0</v>
      </c>
    </row>
    <row r="30" spans="2:14" ht="25.5">
      <c r="B30" s="30" t="s">
        <v>149</v>
      </c>
      <c r="C30" s="241">
        <f t="shared" ref="C30:I30" si="38">C7/C12</f>
        <v>1.6586230894215244</v>
      </c>
      <c r="D30" s="241">
        <f t="shared" si="38"/>
        <v>1.8126538646203587</v>
      </c>
      <c r="E30" s="241">
        <f t="shared" si="38"/>
        <v>1.8955365684148398</v>
      </c>
      <c r="F30" s="241">
        <f t="shared" si="38"/>
        <v>2.2371440568692944</v>
      </c>
      <c r="G30" s="241">
        <f t="shared" si="38"/>
        <v>1.9142214269956821</v>
      </c>
      <c r="H30" s="242">
        <f t="shared" si="38"/>
        <v>1.7721776324779057</v>
      </c>
      <c r="I30" s="242">
        <f t="shared" si="38"/>
        <v>1.8006363838292314</v>
      </c>
      <c r="J30" s="242" t="e">
        <f t="shared" ref="J30:N30" si="39">J7/J12</f>
        <v>#DIV/0!</v>
      </c>
      <c r="K30" s="242" t="e">
        <f t="shared" si="39"/>
        <v>#DIV/0!</v>
      </c>
      <c r="L30" s="242" t="e">
        <f t="shared" si="39"/>
        <v>#DIV/0!</v>
      </c>
      <c r="M30" s="242" t="e">
        <f t="shared" si="39"/>
        <v>#DIV/0!</v>
      </c>
      <c r="N30" s="242" t="e">
        <f t="shared" si="39"/>
        <v>#DIV/0!</v>
      </c>
    </row>
    <row r="31" spans="2:14" ht="25.5">
      <c r="B31" s="30" t="s">
        <v>292</v>
      </c>
      <c r="C31" s="241">
        <f t="shared" ref="C31:I31" si="40">+(C7-C9)/C12</f>
        <v>0.91777488216580549</v>
      </c>
      <c r="D31" s="241">
        <f t="shared" si="40"/>
        <v>0.92718177606825503</v>
      </c>
      <c r="E31" s="241">
        <f t="shared" si="40"/>
        <v>1.0300009767279994</v>
      </c>
      <c r="F31" s="241">
        <f t="shared" si="40"/>
        <v>1.1961657282709501</v>
      </c>
      <c r="G31" s="241">
        <f t="shared" si="40"/>
        <v>1.0164608532901791</v>
      </c>
      <c r="H31" s="241">
        <f t="shared" si="40"/>
        <v>0.84334207685885221</v>
      </c>
      <c r="I31" s="241">
        <f t="shared" si="40"/>
        <v>0.86890004101162244</v>
      </c>
      <c r="J31" s="241" t="e">
        <f t="shared" ref="J31:N31" si="41">+(J7-J9)/J12</f>
        <v>#DIV/0!</v>
      </c>
      <c r="K31" s="241" t="e">
        <f t="shared" si="41"/>
        <v>#DIV/0!</v>
      </c>
      <c r="L31" s="241" t="e">
        <f t="shared" si="41"/>
        <v>#DIV/0!</v>
      </c>
      <c r="M31" s="241" t="e">
        <f t="shared" si="41"/>
        <v>#DIV/0!</v>
      </c>
      <c r="N31" s="241" t="e">
        <f t="shared" si="41"/>
        <v>#DIV/0!</v>
      </c>
    </row>
    <row r="32" spans="2:14" ht="25.5">
      <c r="B32" s="32" t="s">
        <v>153</v>
      </c>
      <c r="C32" s="33">
        <f t="shared" ref="C32:I32" si="42">C14/C11</f>
        <v>0.47840710786357232</v>
      </c>
      <c r="D32" s="33">
        <f t="shared" si="42"/>
        <v>0.50081210556664002</v>
      </c>
      <c r="E32" s="33">
        <f t="shared" si="42"/>
        <v>0.52621921234929825</v>
      </c>
      <c r="F32" s="33">
        <f t="shared" si="42"/>
        <v>0.49317932340125498</v>
      </c>
      <c r="G32" s="33">
        <f t="shared" si="42"/>
        <v>0.53994235729792761</v>
      </c>
      <c r="H32" s="33">
        <f t="shared" si="42"/>
        <v>0.51693103068999913</v>
      </c>
      <c r="I32" s="33">
        <f t="shared" si="42"/>
        <v>0.522110527069782</v>
      </c>
      <c r="J32" s="33" t="e">
        <f t="shared" ref="J32:N32" si="43">J14/J11</f>
        <v>#DIV/0!</v>
      </c>
      <c r="K32" s="33" t="e">
        <f t="shared" si="43"/>
        <v>#DIV/0!</v>
      </c>
      <c r="L32" s="33" t="e">
        <f t="shared" si="43"/>
        <v>#DIV/0!</v>
      </c>
      <c r="M32" s="33" t="e">
        <f t="shared" si="43"/>
        <v>#DIV/0!</v>
      </c>
      <c r="N32" s="33" t="e">
        <f t="shared" si="43"/>
        <v>#DIV/0!</v>
      </c>
    </row>
    <row r="35" spans="2:14" ht="25.5">
      <c r="B35" s="35" t="s">
        <v>293</v>
      </c>
      <c r="C35" s="36">
        <f>+C112</f>
        <v>613515357000</v>
      </c>
      <c r="D35" s="36">
        <f t="shared" ref="D35:I35" si="44">+D112</f>
        <v>614128905000</v>
      </c>
      <c r="E35" s="36">
        <f t="shared" si="44"/>
        <v>656980447000</v>
      </c>
      <c r="F35" s="36">
        <f t="shared" si="44"/>
        <v>769067418000</v>
      </c>
      <c r="G35" s="36">
        <f t="shared" si="44"/>
        <v>836712564000</v>
      </c>
      <c r="H35" s="36">
        <f t="shared" si="44"/>
        <v>870581770000</v>
      </c>
      <c r="I35" s="36">
        <f t="shared" si="44"/>
        <v>837213197000</v>
      </c>
      <c r="J35" s="36">
        <f t="shared" ref="J35:N35" si="45">+J112</f>
        <v>0</v>
      </c>
      <c r="K35" s="36">
        <f t="shared" si="45"/>
        <v>0</v>
      </c>
      <c r="L35" s="36">
        <f t="shared" si="45"/>
        <v>0</v>
      </c>
      <c r="M35" s="36">
        <f t="shared" si="45"/>
        <v>0</v>
      </c>
      <c r="N35" s="36">
        <f t="shared" si="45"/>
        <v>0</v>
      </c>
    </row>
    <row r="36" spans="2:14" ht="25.5">
      <c r="B36" s="39" t="s">
        <v>156</v>
      </c>
      <c r="C36" s="40">
        <f>+C119</f>
        <v>61912248000</v>
      </c>
      <c r="D36" s="40">
        <f t="shared" ref="D36:I36" si="46">+D119</f>
        <v>60007337000</v>
      </c>
      <c r="E36" s="40">
        <f t="shared" si="46"/>
        <v>77077016000</v>
      </c>
      <c r="F36" s="40">
        <f t="shared" si="46"/>
        <v>120310570000</v>
      </c>
      <c r="G36" s="40">
        <f t="shared" si="46"/>
        <v>132912173000</v>
      </c>
      <c r="H36" s="40">
        <f t="shared" si="46"/>
        <v>104873199000</v>
      </c>
      <c r="I36" s="40">
        <f t="shared" si="46"/>
        <v>65268973000</v>
      </c>
      <c r="J36" s="40">
        <f t="shared" ref="J36:N36" si="47">+J119</f>
        <v>0</v>
      </c>
      <c r="K36" s="40">
        <f t="shared" si="47"/>
        <v>0</v>
      </c>
      <c r="L36" s="40">
        <f t="shared" si="47"/>
        <v>0</v>
      </c>
      <c r="M36" s="40">
        <f t="shared" si="47"/>
        <v>0</v>
      </c>
      <c r="N36" s="40">
        <f t="shared" si="47"/>
        <v>0</v>
      </c>
    </row>
    <row r="37" spans="2:14" ht="25.5">
      <c r="B37" s="35" t="s">
        <v>381</v>
      </c>
      <c r="C37" s="41">
        <f>C36/C35</f>
        <v>0.10091393360182832</v>
      </c>
      <c r="D37" s="41">
        <f t="shared" ref="D37:I37" si="48">D36/D35</f>
        <v>9.771130541396679E-2</v>
      </c>
      <c r="E37" s="41">
        <f t="shared" si="48"/>
        <v>0.11732010648408232</v>
      </c>
      <c r="F37" s="41">
        <f t="shared" si="48"/>
        <v>0.15643696142124175</v>
      </c>
      <c r="G37" s="41">
        <f t="shared" si="48"/>
        <v>0.15885045679796916</v>
      </c>
      <c r="H37" s="41">
        <f t="shared" si="48"/>
        <v>0.12046335291399451</v>
      </c>
      <c r="I37" s="41">
        <f t="shared" si="48"/>
        <v>7.7959799527622595E-2</v>
      </c>
      <c r="J37" s="41" t="e">
        <f t="shared" ref="J37:N37" si="49">J36/J35</f>
        <v>#DIV/0!</v>
      </c>
      <c r="K37" s="41" t="e">
        <f t="shared" si="49"/>
        <v>#DIV/0!</v>
      </c>
      <c r="L37" s="41" t="e">
        <f t="shared" si="49"/>
        <v>#DIV/0!</v>
      </c>
      <c r="M37" s="41" t="e">
        <f t="shared" si="49"/>
        <v>#DIV/0!</v>
      </c>
      <c r="N37" s="41" t="e">
        <f t="shared" si="49"/>
        <v>#DIV/0!</v>
      </c>
    </row>
    <row r="38" spans="2:14" ht="25.5">
      <c r="B38" s="43" t="s">
        <v>295</v>
      </c>
      <c r="C38" s="44">
        <f>+C129</f>
        <v>49574670000</v>
      </c>
      <c r="D38" s="44">
        <f t="shared" ref="D38:I38" si="50">+D129</f>
        <v>49111118000</v>
      </c>
      <c r="E38" s="44">
        <f t="shared" si="50"/>
        <v>47126761000</v>
      </c>
      <c r="F38" s="44">
        <f t="shared" si="50"/>
        <v>77994383000</v>
      </c>
      <c r="G38" s="44">
        <f t="shared" si="50"/>
        <v>98809935000</v>
      </c>
      <c r="H38" s="44">
        <f t="shared" si="50"/>
        <v>87212576000</v>
      </c>
      <c r="I38" s="44">
        <f t="shared" si="50"/>
        <v>50726287000</v>
      </c>
      <c r="J38" s="44">
        <f t="shared" ref="J38:N38" si="51">+J129</f>
        <v>0</v>
      </c>
      <c r="K38" s="44">
        <f t="shared" si="51"/>
        <v>0</v>
      </c>
      <c r="L38" s="44">
        <f t="shared" si="51"/>
        <v>0</v>
      </c>
      <c r="M38" s="44">
        <f t="shared" si="51"/>
        <v>0</v>
      </c>
      <c r="N38" s="44">
        <f t="shared" si="51"/>
        <v>0</v>
      </c>
    </row>
    <row r="39" spans="2:14" ht="25.5">
      <c r="B39" s="30" t="e" vm="21">
        <v>#VALUE!</v>
      </c>
      <c r="C39" s="45">
        <f>C38/C35</f>
        <v>8.0804285392973463E-2</v>
      </c>
      <c r="D39" s="45">
        <f t="shared" ref="D39:I39" si="52">D38/D35</f>
        <v>7.9968745323915347E-2</v>
      </c>
      <c r="E39" s="45">
        <f t="shared" si="52"/>
        <v>7.1732364661988179E-2</v>
      </c>
      <c r="F39" s="45">
        <f t="shared" si="52"/>
        <v>0.10141423388189877</v>
      </c>
      <c r="G39" s="45">
        <f t="shared" si="52"/>
        <v>0.11809304563042274</v>
      </c>
      <c r="H39" s="45">
        <f t="shared" si="52"/>
        <v>0.1001773515197774</v>
      </c>
      <c r="I39" s="45">
        <f t="shared" si="52"/>
        <v>6.058944983400686E-2</v>
      </c>
      <c r="J39" s="45" t="e">
        <f t="shared" ref="J39:N39" si="53">J38/J35</f>
        <v>#DIV/0!</v>
      </c>
      <c r="K39" s="45" t="e">
        <f t="shared" si="53"/>
        <v>#DIV/0!</v>
      </c>
      <c r="L39" s="45" t="e">
        <f t="shared" si="53"/>
        <v>#DIV/0!</v>
      </c>
      <c r="M39" s="45" t="e">
        <f t="shared" si="53"/>
        <v>#DIV/0!</v>
      </c>
      <c r="N39" s="45" t="e">
        <f t="shared" si="53"/>
        <v>#DIV/0!</v>
      </c>
    </row>
    <row r="40" spans="2:14" ht="25.5">
      <c r="B40" s="46" t="s">
        <v>159</v>
      </c>
      <c r="C40" s="121">
        <f>+C130</f>
        <v>66.36</v>
      </c>
      <c r="D40" s="121">
        <f t="shared" ref="D40:I40" si="54">+D130</f>
        <v>65.739999999999995</v>
      </c>
      <c r="E40" s="121">
        <f t="shared" si="54"/>
        <v>70.28</v>
      </c>
      <c r="F40" s="121">
        <f t="shared" si="54"/>
        <v>104.41</v>
      </c>
      <c r="G40" s="121">
        <f t="shared" si="54"/>
        <v>133.61000000000001</v>
      </c>
      <c r="H40" s="121">
        <f t="shared" si="54"/>
        <v>118.01</v>
      </c>
      <c r="I40" s="121">
        <f t="shared" si="54"/>
        <v>58.36</v>
      </c>
      <c r="J40" s="121">
        <f t="shared" ref="J40:N40" si="55">+J130</f>
        <v>0</v>
      </c>
      <c r="K40" s="121">
        <f t="shared" si="55"/>
        <v>0</v>
      </c>
      <c r="L40" s="121">
        <f t="shared" si="55"/>
        <v>0</v>
      </c>
      <c r="M40" s="121">
        <f t="shared" si="55"/>
        <v>0</v>
      </c>
      <c r="N40" s="121">
        <f t="shared" si="55"/>
        <v>0</v>
      </c>
    </row>
    <row r="41" spans="2:14" ht="25.5">
      <c r="B41" s="48" t="s">
        <v>160</v>
      </c>
      <c r="C41" s="49">
        <f t="shared" ref="C41" si="56">C38/C15</f>
        <v>9.040421368903169E-2</v>
      </c>
      <c r="D41" s="49">
        <f t="shared" ref="D41:I41" si="57">D38/D15</f>
        <v>8.6414252422493024E-2</v>
      </c>
      <c r="E41" s="49">
        <f t="shared" si="57"/>
        <v>7.993123134968759E-2</v>
      </c>
      <c r="F41" s="49">
        <f t="shared" si="57"/>
        <v>0.12115543121461976</v>
      </c>
      <c r="G41" s="49">
        <f t="shared" si="57"/>
        <v>0.15016116980226829</v>
      </c>
      <c r="H41" s="49">
        <f t="shared" si="57"/>
        <v>0.11524427488876818</v>
      </c>
      <c r="I41" s="49">
        <f t="shared" si="57"/>
        <v>6.5516122615321915E-2</v>
      </c>
      <c r="J41" s="49" t="e">
        <f t="shared" ref="J41:N41" si="58">J38/J15</f>
        <v>#DIV/0!</v>
      </c>
      <c r="K41" s="49" t="e">
        <f t="shared" si="58"/>
        <v>#DIV/0!</v>
      </c>
      <c r="L41" s="49" t="e">
        <f t="shared" si="58"/>
        <v>#DIV/0!</v>
      </c>
      <c r="M41" s="49" t="e">
        <f t="shared" si="58"/>
        <v>#DIV/0!</v>
      </c>
      <c r="N41" s="49" t="e">
        <f t="shared" si="58"/>
        <v>#DIV/0!</v>
      </c>
    </row>
    <row r="42" spans="2:14" ht="25.5">
      <c r="B42" s="48" t="s">
        <v>382</v>
      </c>
      <c r="C42" s="49">
        <f>AVERAGE(G41:I41)</f>
        <v>0.11030718910211945</v>
      </c>
      <c r="D42" s="49"/>
      <c r="E42" s="49"/>
      <c r="F42" s="49"/>
      <c r="G42" s="49"/>
      <c r="H42" s="49"/>
      <c r="I42" s="49"/>
      <c r="J42" s="49"/>
      <c r="K42" s="49"/>
      <c r="L42" s="49"/>
      <c r="M42" s="49"/>
      <c r="N42" s="49"/>
    </row>
    <row r="43" spans="2:14" ht="25.5">
      <c r="B43" s="48" t="s">
        <v>298</v>
      </c>
      <c r="C43" s="50">
        <f>+C142</f>
        <v>2425910000</v>
      </c>
      <c r="D43" s="50">
        <f t="shared" ref="D43:I43" si="59">+D142</f>
        <v>20013011000</v>
      </c>
      <c r="E43" s="50">
        <f t="shared" si="59"/>
        <v>39316515000</v>
      </c>
      <c r="F43" s="50">
        <f t="shared" si="59"/>
        <v>90319492000</v>
      </c>
      <c r="G43" s="50">
        <f t="shared" si="59"/>
        <v>34019529000</v>
      </c>
      <c r="H43" s="50">
        <f t="shared" si="59"/>
        <v>-54836708000</v>
      </c>
      <c r="I43" s="50">
        <f t="shared" si="59"/>
        <v>28048357000</v>
      </c>
      <c r="J43" s="50">
        <f t="shared" ref="J43:N43" si="60">+J142</f>
        <v>0</v>
      </c>
      <c r="K43" s="50">
        <f t="shared" si="60"/>
        <v>0</v>
      </c>
      <c r="L43" s="50">
        <f t="shared" si="60"/>
        <v>0</v>
      </c>
      <c r="M43" s="50">
        <f t="shared" si="60"/>
        <v>0</v>
      </c>
      <c r="N43" s="50">
        <f t="shared" si="60"/>
        <v>0</v>
      </c>
    </row>
    <row r="44" spans="2:14" ht="25.5">
      <c r="B44" s="51" t="s">
        <v>476</v>
      </c>
      <c r="C44" s="51">
        <f>SUM(C46:C49)</f>
        <v>27.3</v>
      </c>
      <c r="D44" s="51">
        <f t="shared" ref="D44:F44" si="61">SUM(D46:D49)</f>
        <v>24</v>
      </c>
      <c r="E44" s="51">
        <f t="shared" si="61"/>
        <v>25</v>
      </c>
      <c r="F44" s="51">
        <f t="shared" si="61"/>
        <v>29.1</v>
      </c>
      <c r="G44" s="51">
        <f>SUM(G46:G49)</f>
        <v>67.8</v>
      </c>
      <c r="H44" s="51">
        <f>SUM(H46:H49)</f>
        <v>28.4</v>
      </c>
      <c r="I44" s="51">
        <f t="shared" ref="I44:N44" si="62">SUM(I46:I48)</f>
        <v>42.7</v>
      </c>
      <c r="J44" s="51">
        <f t="shared" si="62"/>
        <v>18.850000000000001</v>
      </c>
      <c r="K44" s="51">
        <f t="shared" si="62"/>
        <v>0</v>
      </c>
      <c r="L44" s="51">
        <f t="shared" si="62"/>
        <v>0</v>
      </c>
      <c r="M44" s="51">
        <f t="shared" si="62"/>
        <v>0</v>
      </c>
      <c r="N44" s="51">
        <f t="shared" si="62"/>
        <v>0</v>
      </c>
    </row>
    <row r="45" spans="2:14" ht="25.5">
      <c r="B45" s="51" t="s">
        <v>383</v>
      </c>
      <c r="C45" s="51">
        <f>+C46+C47</f>
        <v>27.3</v>
      </c>
      <c r="D45" s="51">
        <f t="shared" ref="D45:I45" si="63">+D46+D47</f>
        <v>24</v>
      </c>
      <c r="E45" s="51">
        <f t="shared" si="63"/>
        <v>25</v>
      </c>
      <c r="F45" s="51">
        <f t="shared" si="63"/>
        <v>22.1</v>
      </c>
      <c r="G45" s="51">
        <f t="shared" si="63"/>
        <v>67.8</v>
      </c>
      <c r="H45" s="51">
        <f t="shared" si="63"/>
        <v>28.4</v>
      </c>
      <c r="I45" s="51">
        <f t="shared" si="63"/>
        <v>42.7</v>
      </c>
      <c r="J45" s="51">
        <f t="shared" ref="J45:N45" si="64">+J46+J47</f>
        <v>18.850000000000001</v>
      </c>
      <c r="K45" s="51">
        <f t="shared" si="64"/>
        <v>0</v>
      </c>
      <c r="L45" s="51">
        <f t="shared" si="64"/>
        <v>0</v>
      </c>
      <c r="M45" s="51">
        <f t="shared" si="64"/>
        <v>0</v>
      </c>
      <c r="N45" s="51">
        <f t="shared" si="64"/>
        <v>0</v>
      </c>
    </row>
    <row r="46" spans="2:14" ht="18">
      <c r="B46" s="135" t="s">
        <v>121</v>
      </c>
      <c r="C46" s="94">
        <f>3.5+3.5+16.8</f>
        <v>23.8</v>
      </c>
      <c r="D46" s="94">
        <f>3.5+13.5+3.5</f>
        <v>20.5</v>
      </c>
      <c r="E46" s="94">
        <v>14.5</v>
      </c>
      <c r="F46" s="94">
        <v>10.6</v>
      </c>
      <c r="G46" s="94">
        <v>29.8</v>
      </c>
      <c r="H46" s="94">
        <v>19.399999999999999</v>
      </c>
      <c r="I46" s="155">
        <v>33.700000000000003</v>
      </c>
      <c r="J46" s="155">
        <v>14.35</v>
      </c>
      <c r="K46" s="155"/>
      <c r="L46" s="155"/>
      <c r="M46" s="155"/>
      <c r="N46" s="155"/>
    </row>
    <row r="47" spans="2:14" ht="18">
      <c r="B47" s="135" t="s">
        <v>122</v>
      </c>
      <c r="C47" s="94">
        <v>3.5</v>
      </c>
      <c r="D47" s="94">
        <v>3.5</v>
      </c>
      <c r="E47" s="94">
        <f>3.5+3.5+3.5</f>
        <v>10.5</v>
      </c>
      <c r="F47" s="94">
        <f>4+4+3.5</f>
        <v>11.5</v>
      </c>
      <c r="G47" s="94">
        <f>30+4+4</f>
        <v>38</v>
      </c>
      <c r="H47" s="94">
        <f>4.5+4.5</f>
        <v>9</v>
      </c>
      <c r="I47" s="155">
        <f>4.5+4.5</f>
        <v>9</v>
      </c>
      <c r="J47" s="155">
        <v>4.5</v>
      </c>
      <c r="K47" s="155"/>
      <c r="L47" s="155"/>
      <c r="M47" s="155"/>
      <c r="N47" s="155"/>
    </row>
    <row r="48" spans="2:14" ht="18">
      <c r="B48" s="135" t="s">
        <v>123</v>
      </c>
      <c r="C48" s="94"/>
      <c r="D48" s="94"/>
      <c r="E48" s="94"/>
      <c r="F48" s="94">
        <v>7</v>
      </c>
      <c r="G48" s="94"/>
      <c r="H48" s="94"/>
      <c r="I48" s="155"/>
      <c r="J48" s="155"/>
      <c r="K48" s="155"/>
      <c r="L48" s="155"/>
      <c r="M48" s="155"/>
      <c r="N48" s="155"/>
    </row>
    <row r="49" spans="2:16" ht="18">
      <c r="B49" s="135" t="s">
        <v>124</v>
      </c>
      <c r="C49" s="94"/>
      <c r="D49" s="94"/>
      <c r="E49" s="94"/>
      <c r="F49" s="94"/>
      <c r="G49" s="94"/>
      <c r="H49" s="94"/>
      <c r="I49" s="94"/>
      <c r="J49" s="94"/>
      <c r="K49" s="94"/>
      <c r="L49" s="94"/>
      <c r="M49" s="94"/>
      <c r="N49" s="94"/>
    </row>
    <row r="50" spans="2:16" ht="25.5">
      <c r="B50" s="541" t="s">
        <v>167</v>
      </c>
      <c r="C50" s="99">
        <f t="shared" ref="C50:I50" si="65">(C47+C48+C49+D46)/C40</f>
        <v>0.36166365280289331</v>
      </c>
      <c r="D50" s="99">
        <f t="shared" si="65"/>
        <v>0.27380590203833283</v>
      </c>
      <c r="E50" s="99">
        <f t="shared" si="65"/>
        <v>0.30022766078542973</v>
      </c>
      <c r="F50" s="99">
        <f t="shared" si="65"/>
        <v>0.46259936787664013</v>
      </c>
      <c r="G50" s="99">
        <f t="shared" si="65"/>
        <v>0.42960856223336569</v>
      </c>
      <c r="H50" s="99">
        <f t="shared" si="65"/>
        <v>0.3618337429031438</v>
      </c>
      <c r="I50" s="99">
        <f t="shared" si="65"/>
        <v>0.40010281014393423</v>
      </c>
      <c r="J50" s="99" t="e">
        <f t="shared" ref="J50" si="66">(J47+J48+J49+K46)/J40</f>
        <v>#DIV/0!</v>
      </c>
      <c r="K50" s="99" t="e">
        <f t="shared" ref="K50" si="67">(K47+K48+K49+L46)/K40</f>
        <v>#DIV/0!</v>
      </c>
      <c r="L50" s="99" t="e">
        <f t="shared" ref="L50" si="68">(L47+L48+L49+M46)/L40</f>
        <v>#DIV/0!</v>
      </c>
      <c r="M50" s="99" t="e">
        <f t="shared" ref="M50" si="69">(M47+M48+M49+N46)/M40</f>
        <v>#DIV/0!</v>
      </c>
      <c r="N50" s="99" t="e">
        <f t="shared" ref="N50" si="70">(N47+N48+N49+O46)/N40</f>
        <v>#DIV/0!</v>
      </c>
    </row>
    <row r="51" spans="2:16" ht="28.5">
      <c r="B51" s="540" t="s">
        <v>303</v>
      </c>
      <c r="C51" s="54">
        <f>AVERAGE(G50:I50)</f>
        <v>0.39718170509348122</v>
      </c>
      <c r="D51" s="54"/>
      <c r="E51" s="54"/>
      <c r="F51" s="54"/>
      <c r="G51" s="54"/>
      <c r="H51" s="54"/>
      <c r="I51" s="54"/>
      <c r="J51" s="54"/>
      <c r="K51" s="54"/>
      <c r="L51" s="54"/>
      <c r="M51" s="54"/>
      <c r="N51" s="54"/>
    </row>
    <row r="52" spans="2:16" ht="25.5">
      <c r="B52" s="541" t="s">
        <v>299</v>
      </c>
      <c r="C52" s="99">
        <f t="shared" ref="C52:N52" si="71">+C44/C19</f>
        <v>2.3433476394849787E-2</v>
      </c>
      <c r="D52" s="99">
        <f t="shared" si="71"/>
        <v>1.7712177121771217E-2</v>
      </c>
      <c r="E52" s="99">
        <f t="shared" si="71"/>
        <v>1.7655367231638418E-2</v>
      </c>
      <c r="F52" s="99">
        <f t="shared" si="71"/>
        <v>2.3581847649918965E-2</v>
      </c>
      <c r="G52" s="99">
        <f t="shared" si="71"/>
        <v>5.1755725190839694E-2</v>
      </c>
      <c r="H52" s="99">
        <f t="shared" si="71"/>
        <v>2.6542056074766354E-2</v>
      </c>
      <c r="I52" s="99">
        <f t="shared" si="71"/>
        <v>4.1136801541425821E-2</v>
      </c>
      <c r="J52" s="99" t="e">
        <f t="shared" si="71"/>
        <v>#DIV/0!</v>
      </c>
      <c r="K52" s="99" t="e">
        <f t="shared" si="71"/>
        <v>#DIV/0!</v>
      </c>
      <c r="L52" s="99" t="e">
        <f t="shared" si="71"/>
        <v>#DIV/0!</v>
      </c>
      <c r="M52" s="99" t="e">
        <f t="shared" si="71"/>
        <v>#DIV/0!</v>
      </c>
      <c r="N52" s="99" t="e">
        <f t="shared" si="71"/>
        <v>#DIV/0!</v>
      </c>
    </row>
    <row r="53" spans="2:16" ht="25.5">
      <c r="B53" s="542" t="s">
        <v>384</v>
      </c>
      <c r="C53" s="534">
        <f>AVERAGE(G52:I52)</f>
        <v>3.9811527602343959E-2</v>
      </c>
      <c r="D53" s="534"/>
      <c r="E53" s="534"/>
      <c r="F53" s="534"/>
      <c r="G53" s="534"/>
      <c r="H53" s="534"/>
      <c r="I53" s="534"/>
      <c r="J53" s="534"/>
      <c r="K53" s="534"/>
      <c r="L53" s="534"/>
      <c r="M53" s="534"/>
      <c r="N53" s="534"/>
      <c r="O53" s="534"/>
      <c r="P53" s="534"/>
    </row>
    <row r="54" spans="2:16" ht="25.5">
      <c r="B54" s="543" t="s">
        <v>176</v>
      </c>
      <c r="C54" s="355">
        <f>+C41*(100%-C50)</f>
        <v>5.7708295537483155E-2</v>
      </c>
      <c r="D54" s="355">
        <f t="shared" ref="D54:N54" si="72">+D41*(100%-D50)</f>
        <v>6.2753520088984133E-2</v>
      </c>
      <c r="E54" s="355">
        <f t="shared" si="72"/>
        <v>5.5933664737871876E-2</v>
      </c>
      <c r="F54" s="549">
        <f t="shared" si="72"/>
        <v>6.5109005319914912E-2</v>
      </c>
      <c r="G54" s="355">
        <f t="shared" si="72"/>
        <v>8.5650645540235534E-2</v>
      </c>
      <c r="H54" s="355">
        <f t="shared" si="72"/>
        <v>7.3545007557606415E-2</v>
      </c>
      <c r="I54" s="355">
        <f t="shared" si="72"/>
        <v>3.9302937847197052E-2</v>
      </c>
      <c r="J54" s="355" t="e">
        <f t="shared" si="72"/>
        <v>#DIV/0!</v>
      </c>
      <c r="K54" s="355" t="e">
        <f t="shared" si="72"/>
        <v>#DIV/0!</v>
      </c>
      <c r="L54" s="355" t="e">
        <f t="shared" si="72"/>
        <v>#DIV/0!</v>
      </c>
      <c r="M54" s="355" t="e">
        <f t="shared" si="72"/>
        <v>#DIV/0!</v>
      </c>
      <c r="N54" s="355" t="e">
        <f t="shared" si="72"/>
        <v>#DIV/0!</v>
      </c>
    </row>
    <row r="55" spans="2:16" ht="25.5">
      <c r="B55" s="542" t="s">
        <v>306</v>
      </c>
      <c r="C55" s="534">
        <f>AVERAGE(G54:I54)</f>
        <v>6.6166196981679665E-2</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v>531907388000</v>
      </c>
      <c r="D61" s="64">
        <v>567845869000</v>
      </c>
      <c r="E61" s="64">
        <v>642488325000</v>
      </c>
      <c r="F61" s="159">
        <v>655243747000</v>
      </c>
      <c r="G61" s="64">
        <v>750678839000</v>
      </c>
      <c r="H61" s="141">
        <v>784435869000</v>
      </c>
      <c r="I61" s="64">
        <v>821783906000</v>
      </c>
      <c r="J61" s="64"/>
      <c r="K61" s="64"/>
      <c r="L61" s="64"/>
      <c r="M61" s="64"/>
      <c r="N61" s="64"/>
    </row>
    <row r="62" spans="2:16">
      <c r="B62" s="59" t="s">
        <v>386</v>
      </c>
      <c r="C62" s="66"/>
      <c r="D62" s="66"/>
      <c r="E62" s="66"/>
      <c r="F62" s="66"/>
      <c r="G62" s="66"/>
      <c r="H62" s="160"/>
      <c r="I62" s="66"/>
      <c r="J62" s="66"/>
      <c r="K62" s="66"/>
      <c r="L62" s="66"/>
      <c r="M62" s="66"/>
      <c r="N62" s="66"/>
    </row>
    <row r="63" spans="2:16">
      <c r="B63" s="59" t="s">
        <v>387</v>
      </c>
      <c r="C63" s="66"/>
      <c r="D63" s="66"/>
      <c r="E63" s="66"/>
      <c r="F63" s="66"/>
      <c r="G63" s="66"/>
      <c r="H63" s="160"/>
      <c r="I63" s="66"/>
      <c r="J63" s="66"/>
      <c r="K63" s="66"/>
      <c r="L63" s="66"/>
      <c r="M63" s="66"/>
      <c r="N63" s="66"/>
    </row>
    <row r="64" spans="2:16">
      <c r="B64" s="59" t="s">
        <v>388</v>
      </c>
      <c r="C64" s="66"/>
      <c r="D64" s="66"/>
      <c r="E64" s="66"/>
      <c r="F64" s="66"/>
      <c r="G64" s="66"/>
      <c r="H64" s="160"/>
      <c r="I64" s="66"/>
      <c r="J64" s="66"/>
      <c r="K64" s="66"/>
      <c r="L64" s="66"/>
      <c r="M64" s="66"/>
      <c r="N64" s="66"/>
    </row>
    <row r="65" spans="2:14">
      <c r="B65" s="59" t="s">
        <v>389</v>
      </c>
      <c r="C65" s="66">
        <v>187422436000</v>
      </c>
      <c r="D65" s="66">
        <v>190675390000</v>
      </c>
      <c r="E65" s="66">
        <v>211128612000</v>
      </c>
      <c r="F65" s="66">
        <v>190459184000</v>
      </c>
      <c r="G65" s="66">
        <v>249210344000</v>
      </c>
      <c r="H65" s="160">
        <v>249182114000</v>
      </c>
      <c r="I65" s="66">
        <v>275103598000</v>
      </c>
      <c r="J65" s="66"/>
      <c r="K65" s="66"/>
      <c r="L65" s="66"/>
      <c r="M65" s="66"/>
      <c r="N65" s="66"/>
    </row>
    <row r="66" spans="2:14">
      <c r="B66" s="59" t="s">
        <v>390</v>
      </c>
      <c r="C66" s="66"/>
      <c r="D66" s="66"/>
      <c r="E66" s="66"/>
      <c r="F66" s="66"/>
      <c r="G66" s="66"/>
      <c r="H66" s="160"/>
      <c r="I66" s="66"/>
      <c r="J66" s="66"/>
      <c r="K66" s="66"/>
      <c r="L66" s="66"/>
      <c r="M66" s="66"/>
      <c r="N66" s="66"/>
    </row>
    <row r="67" spans="2:14">
      <c r="B67" s="59" t="s">
        <v>391</v>
      </c>
      <c r="C67" s="161">
        <v>237584197000</v>
      </c>
      <c r="D67" s="66">
        <v>277389786000</v>
      </c>
      <c r="E67" s="66">
        <v>293371556000</v>
      </c>
      <c r="F67" s="66">
        <v>304895225000</v>
      </c>
      <c r="G67" s="66">
        <v>352064738000</v>
      </c>
      <c r="H67" s="160">
        <v>411139331000</v>
      </c>
      <c r="I67" s="66">
        <v>425230734000</v>
      </c>
      <c r="J67" s="66"/>
      <c r="K67" s="66"/>
      <c r="L67" s="66"/>
      <c r="M67" s="66"/>
      <c r="N67" s="66"/>
    </row>
    <row r="68" spans="2:14">
      <c r="B68" s="59" t="s">
        <v>392</v>
      </c>
      <c r="C68" s="66"/>
      <c r="D68" s="66"/>
      <c r="E68" s="66"/>
      <c r="F68" s="66"/>
      <c r="G68" s="66"/>
      <c r="H68" s="160"/>
      <c r="I68" s="66"/>
      <c r="J68" s="66"/>
      <c r="K68" s="66"/>
      <c r="L68" s="66"/>
      <c r="M68" s="66"/>
      <c r="N68" s="66"/>
    </row>
    <row r="69" spans="2:14">
      <c r="B69" s="59" t="s">
        <v>318</v>
      </c>
      <c r="C69" s="66">
        <f t="shared" ref="C69:I69" si="73">+C61-C62-C67-C68-C66-C65-C64-C63</f>
        <v>106900755000</v>
      </c>
      <c r="D69" s="66">
        <f t="shared" si="73"/>
        <v>99780693000</v>
      </c>
      <c r="E69" s="66">
        <f t="shared" si="73"/>
        <v>137988157000</v>
      </c>
      <c r="F69" s="66">
        <f t="shared" si="73"/>
        <v>159889338000</v>
      </c>
      <c r="G69" s="66">
        <f t="shared" si="73"/>
        <v>149403757000</v>
      </c>
      <c r="H69" s="66">
        <f t="shared" si="73"/>
        <v>124114424000</v>
      </c>
      <c r="I69" s="66">
        <f t="shared" si="73"/>
        <v>121449574000</v>
      </c>
      <c r="J69" s="66"/>
      <c r="K69" s="66"/>
      <c r="L69" s="66"/>
      <c r="M69" s="66"/>
      <c r="N69" s="66"/>
    </row>
    <row r="70" spans="2:14">
      <c r="B70" s="58" t="s">
        <v>319</v>
      </c>
      <c r="C70" s="64">
        <v>524919199000</v>
      </c>
      <c r="D70" s="64">
        <v>578322238000</v>
      </c>
      <c r="E70" s="64">
        <v>611328802000</v>
      </c>
      <c r="F70" s="159">
        <v>624448872000</v>
      </c>
      <c r="G70" s="64">
        <v>693716670000</v>
      </c>
      <c r="H70" s="141">
        <v>797343911000</v>
      </c>
      <c r="I70" s="64">
        <v>814753246000</v>
      </c>
      <c r="J70" s="64"/>
      <c r="K70" s="64"/>
      <c r="L70" s="64"/>
      <c r="M70" s="64"/>
      <c r="N70" s="64"/>
    </row>
    <row r="71" spans="2:14">
      <c r="B71" s="59" t="s">
        <v>393</v>
      </c>
      <c r="C71" s="66"/>
      <c r="D71" s="66"/>
      <c r="E71" s="66"/>
      <c r="F71" s="66"/>
      <c r="G71" s="66"/>
      <c r="H71" s="160"/>
      <c r="I71" s="66"/>
      <c r="J71" s="66"/>
      <c r="K71" s="66"/>
      <c r="L71" s="66"/>
      <c r="M71" s="66"/>
      <c r="N71" s="66"/>
    </row>
    <row r="72" spans="2:14">
      <c r="B72" s="59" t="s">
        <v>394</v>
      </c>
      <c r="C72" s="66"/>
      <c r="D72" s="66"/>
      <c r="E72" s="66"/>
      <c r="F72" s="66"/>
      <c r="G72" s="66"/>
      <c r="H72" s="160"/>
      <c r="I72" s="66"/>
      <c r="J72" s="66"/>
      <c r="K72" s="66"/>
      <c r="L72" s="66"/>
      <c r="M72" s="66"/>
      <c r="N72" s="66"/>
    </row>
    <row r="73" spans="2:14">
      <c r="B73" s="59" t="s">
        <v>395</v>
      </c>
      <c r="C73" s="66"/>
      <c r="D73" s="66"/>
      <c r="E73" s="66"/>
      <c r="F73" s="66"/>
      <c r="G73" s="66"/>
      <c r="H73" s="160"/>
      <c r="I73" s="66"/>
      <c r="J73" s="66"/>
      <c r="K73" s="66"/>
      <c r="L73" s="66"/>
      <c r="M73" s="66"/>
      <c r="N73" s="66"/>
    </row>
    <row r="74" spans="2:14">
      <c r="B74" s="59" t="s">
        <v>396</v>
      </c>
      <c r="C74" s="66"/>
      <c r="D74" s="66"/>
      <c r="E74" s="66"/>
      <c r="F74" s="66"/>
      <c r="G74" s="66"/>
      <c r="H74" s="160"/>
      <c r="I74" s="66"/>
      <c r="J74" s="66"/>
      <c r="K74" s="66"/>
      <c r="L74" s="66"/>
      <c r="M74" s="66"/>
      <c r="N74" s="66"/>
    </row>
    <row r="75" spans="2:14">
      <c r="B75" s="59" t="s">
        <v>397</v>
      </c>
      <c r="C75" s="66"/>
      <c r="D75" s="66"/>
      <c r="E75" s="66"/>
      <c r="F75" s="66"/>
      <c r="G75" s="66"/>
      <c r="H75" s="160"/>
      <c r="I75" s="66"/>
      <c r="J75" s="66"/>
      <c r="K75" s="66"/>
      <c r="L75" s="66"/>
      <c r="M75" s="66"/>
      <c r="N75" s="66"/>
    </row>
    <row r="76" spans="2:14">
      <c r="B76" s="59" t="s">
        <v>398</v>
      </c>
      <c r="C76" s="66">
        <v>381736948000</v>
      </c>
      <c r="D76" s="66">
        <v>391263749000</v>
      </c>
      <c r="E76" s="66">
        <v>412693885000</v>
      </c>
      <c r="F76" s="66">
        <v>408358064000</v>
      </c>
      <c r="G76" s="66">
        <v>437757440000</v>
      </c>
      <c r="H76" s="160">
        <v>483445198000</v>
      </c>
      <c r="I76" s="66">
        <v>506358397000</v>
      </c>
      <c r="J76" s="66"/>
      <c r="K76" s="66"/>
      <c r="L76" s="66"/>
      <c r="M76" s="66"/>
      <c r="N76" s="66"/>
    </row>
    <row r="77" spans="2:14">
      <c r="B77" s="59" t="s">
        <v>399</v>
      </c>
      <c r="C77" s="66"/>
      <c r="D77" s="66"/>
      <c r="E77" s="66"/>
      <c r="F77" s="66"/>
      <c r="G77" s="66"/>
      <c r="H77" s="160"/>
      <c r="I77" s="66"/>
      <c r="J77" s="66"/>
      <c r="K77" s="66"/>
      <c r="L77" s="66"/>
      <c r="M77" s="66"/>
      <c r="N77" s="66"/>
    </row>
    <row r="78" spans="2:14">
      <c r="B78" s="59" t="s">
        <v>400</v>
      </c>
      <c r="C78" s="66"/>
      <c r="D78" s="66"/>
      <c r="E78" s="66"/>
      <c r="F78" s="161"/>
      <c r="G78" s="66"/>
      <c r="H78" s="160"/>
      <c r="I78" s="66"/>
      <c r="J78" s="66"/>
      <c r="K78" s="66"/>
      <c r="L78" s="66"/>
      <c r="M78" s="66"/>
      <c r="N78" s="66"/>
    </row>
    <row r="79" spans="2:14">
      <c r="B79" s="59" t="s">
        <v>401</v>
      </c>
      <c r="C79" s="66"/>
      <c r="D79" s="66"/>
      <c r="E79" s="66"/>
      <c r="F79" s="66"/>
      <c r="G79" s="66"/>
      <c r="H79" s="160"/>
      <c r="I79" s="66"/>
      <c r="J79" s="66"/>
      <c r="K79" s="66"/>
      <c r="L79" s="66"/>
      <c r="M79" s="66"/>
      <c r="N79" s="66"/>
    </row>
    <row r="80" spans="2:14">
      <c r="B80" s="59" t="s">
        <v>328</v>
      </c>
      <c r="C80" s="66">
        <f t="shared" ref="C80:I80" si="74">+C70-C77-C78-C76-C71-C79-C75-C74-C73-C72</f>
        <v>143182251000</v>
      </c>
      <c r="D80" s="66">
        <f t="shared" si="74"/>
        <v>187058489000</v>
      </c>
      <c r="E80" s="66">
        <f t="shared" si="74"/>
        <v>198634917000</v>
      </c>
      <c r="F80" s="66">
        <f t="shared" si="74"/>
        <v>216090808000</v>
      </c>
      <c r="G80" s="66">
        <f t="shared" si="74"/>
        <v>255959230000</v>
      </c>
      <c r="H80" s="66">
        <f t="shared" si="74"/>
        <v>313898713000</v>
      </c>
      <c r="I80" s="66">
        <f t="shared" si="74"/>
        <v>308394849000</v>
      </c>
      <c r="J80" s="66"/>
      <c r="K80" s="66"/>
      <c r="L80" s="66"/>
      <c r="M80" s="66"/>
      <c r="N80" s="66"/>
    </row>
    <row r="81" spans="2:14" ht="14.65" thickBot="1">
      <c r="B81" s="60" t="s">
        <v>329</v>
      </c>
      <c r="C81" s="70">
        <f t="shared" ref="C81:I81" si="75">+C70+C61</f>
        <v>1056826587000</v>
      </c>
      <c r="D81" s="70">
        <f t="shared" si="75"/>
        <v>1146168107000</v>
      </c>
      <c r="E81" s="70">
        <f t="shared" si="75"/>
        <v>1253817127000</v>
      </c>
      <c r="F81" s="70">
        <f t="shared" si="75"/>
        <v>1279692619000</v>
      </c>
      <c r="G81" s="70">
        <f t="shared" si="75"/>
        <v>1444395509000</v>
      </c>
      <c r="H81" s="162">
        <f t="shared" si="75"/>
        <v>1581779780000</v>
      </c>
      <c r="I81" s="162">
        <f t="shared" si="75"/>
        <v>1636537152000</v>
      </c>
      <c r="J81" s="70"/>
      <c r="K81" s="70"/>
      <c r="L81" s="70"/>
      <c r="M81" s="70"/>
      <c r="N81" s="70"/>
    </row>
    <row r="82" spans="2:14" ht="14.65" thickBot="1">
      <c r="B82" s="61"/>
      <c r="C82" s="72"/>
      <c r="D82" s="72"/>
      <c r="E82" s="72"/>
      <c r="F82" s="72"/>
      <c r="G82" s="72"/>
      <c r="H82" s="163"/>
      <c r="I82" s="72"/>
      <c r="J82" s="72"/>
      <c r="K82" s="72"/>
      <c r="L82" s="72"/>
      <c r="M82" s="72"/>
      <c r="N82" s="72"/>
    </row>
    <row r="83" spans="2:14">
      <c r="B83" s="57" t="s">
        <v>330</v>
      </c>
      <c r="C83" s="62"/>
      <c r="D83" s="62"/>
      <c r="E83" s="62"/>
      <c r="F83" s="62"/>
      <c r="G83" s="62"/>
      <c r="H83" s="164"/>
      <c r="I83" s="62"/>
      <c r="J83" s="62"/>
      <c r="K83" s="62"/>
      <c r="L83" s="62"/>
      <c r="M83" s="62"/>
      <c r="N83" s="62"/>
    </row>
    <row r="84" spans="2:14">
      <c r="B84" s="58" t="s">
        <v>310</v>
      </c>
      <c r="C84" s="64">
        <v>320692140000</v>
      </c>
      <c r="D84" s="64">
        <v>313267679000</v>
      </c>
      <c r="E84" s="64">
        <v>338947998000</v>
      </c>
      <c r="F84" s="64">
        <v>292892961000</v>
      </c>
      <c r="G84" s="64">
        <v>392158832000</v>
      </c>
      <c r="H84" s="141">
        <v>442639527000</v>
      </c>
      <c r="I84" s="64">
        <v>456385261000</v>
      </c>
      <c r="J84" s="64"/>
      <c r="K84" s="64"/>
      <c r="L84" s="64"/>
      <c r="M84" s="64"/>
      <c r="N84" s="64"/>
    </row>
    <row r="85" spans="2:14">
      <c r="B85" s="59" t="s">
        <v>402</v>
      </c>
      <c r="C85" s="66"/>
      <c r="D85" s="66"/>
      <c r="E85" s="66"/>
      <c r="F85" s="66"/>
      <c r="G85" s="66"/>
      <c r="H85" s="160"/>
      <c r="I85" s="66"/>
      <c r="J85" s="66"/>
      <c r="K85" s="66"/>
      <c r="L85" s="66"/>
      <c r="M85" s="66"/>
      <c r="N85" s="66"/>
    </row>
    <row r="86" spans="2:14">
      <c r="B86" s="59" t="s">
        <v>403</v>
      </c>
      <c r="C86" s="66"/>
      <c r="D86" s="66"/>
      <c r="E86" s="66"/>
      <c r="F86" s="66"/>
      <c r="G86" s="66"/>
      <c r="H86" s="160"/>
      <c r="I86" s="66"/>
      <c r="J86" s="66"/>
      <c r="K86" s="66"/>
      <c r="L86" s="66"/>
      <c r="M86" s="66"/>
      <c r="N86" s="66"/>
    </row>
    <row r="87" spans="2:14">
      <c r="B87" s="59" t="s">
        <v>404</v>
      </c>
      <c r="C87" s="66"/>
      <c r="D87" s="66"/>
      <c r="E87" s="66"/>
      <c r="F87" s="66"/>
      <c r="G87" s="66"/>
      <c r="H87" s="160"/>
      <c r="I87" s="66"/>
      <c r="J87" s="66"/>
      <c r="K87" s="66"/>
      <c r="L87" s="66"/>
      <c r="M87" s="66"/>
      <c r="N87" s="66"/>
    </row>
    <row r="88" spans="2:14">
      <c r="B88" s="59" t="s">
        <v>405</v>
      </c>
      <c r="C88" s="66"/>
      <c r="D88" s="66"/>
      <c r="E88" s="66"/>
      <c r="F88" s="66"/>
      <c r="G88" s="66"/>
      <c r="H88" s="160"/>
      <c r="I88" s="66"/>
      <c r="J88" s="66"/>
      <c r="K88" s="66"/>
      <c r="L88" s="66"/>
      <c r="M88" s="66"/>
      <c r="N88" s="66"/>
    </row>
    <row r="89" spans="2:14">
      <c r="B89" s="59" t="s">
        <v>406</v>
      </c>
      <c r="C89" s="66"/>
      <c r="D89" s="66"/>
      <c r="E89" s="66"/>
      <c r="F89" s="66"/>
      <c r="G89" s="66"/>
      <c r="H89" s="160"/>
      <c r="I89" s="66"/>
      <c r="J89" s="66"/>
      <c r="K89" s="66"/>
      <c r="L89" s="66"/>
      <c r="M89" s="66"/>
      <c r="N89" s="66"/>
    </row>
    <row r="90" spans="2:14">
      <c r="B90" s="59" t="s">
        <v>407</v>
      </c>
      <c r="C90" s="66"/>
      <c r="D90" s="66"/>
      <c r="E90" s="66"/>
      <c r="F90" s="66"/>
      <c r="G90" s="66"/>
      <c r="H90" s="160"/>
      <c r="I90" s="66"/>
      <c r="J90" s="66"/>
      <c r="K90" s="66"/>
      <c r="L90" s="66"/>
      <c r="M90" s="66"/>
      <c r="N90" s="66"/>
    </row>
    <row r="91" spans="2:14">
      <c r="B91" s="59" t="s">
        <v>408</v>
      </c>
      <c r="C91" s="66"/>
      <c r="D91" s="66"/>
      <c r="E91" s="66"/>
      <c r="F91" s="66"/>
      <c r="G91" s="66"/>
      <c r="H91" s="160"/>
      <c r="I91" s="66"/>
      <c r="J91" s="66"/>
      <c r="K91" s="66"/>
      <c r="L91" s="66"/>
      <c r="M91" s="66"/>
      <c r="N91" s="66"/>
    </row>
    <row r="92" spans="2:14">
      <c r="B92" s="59" t="s">
        <v>409</v>
      </c>
      <c r="C92" s="66"/>
      <c r="D92" s="66"/>
      <c r="E92" s="66"/>
      <c r="F92" s="66"/>
      <c r="G92" s="66"/>
      <c r="H92" s="160"/>
      <c r="I92" s="66"/>
      <c r="J92" s="66"/>
      <c r="K92" s="66"/>
      <c r="L92" s="66"/>
      <c r="M92" s="66"/>
      <c r="N92" s="66"/>
    </row>
    <row r="93" spans="2:14">
      <c r="B93" s="59" t="s">
        <v>410</v>
      </c>
      <c r="C93" s="66">
        <f t="shared" ref="C93:I93" si="76">+C84-C85-C91-C92-C90-C89-C88-C87-C86</f>
        <v>320692140000</v>
      </c>
      <c r="D93" s="66">
        <f t="shared" si="76"/>
        <v>313267679000</v>
      </c>
      <c r="E93" s="66">
        <f t="shared" si="76"/>
        <v>338947998000</v>
      </c>
      <c r="F93" s="66">
        <f t="shared" si="76"/>
        <v>292892961000</v>
      </c>
      <c r="G93" s="66">
        <f t="shared" si="76"/>
        <v>392158832000</v>
      </c>
      <c r="H93" s="66">
        <f t="shared" si="76"/>
        <v>442639527000</v>
      </c>
      <c r="I93" s="66">
        <f t="shared" si="76"/>
        <v>456385261000</v>
      </c>
      <c r="J93" s="66"/>
      <c r="K93" s="66"/>
      <c r="L93" s="66"/>
      <c r="M93" s="66"/>
      <c r="N93" s="66"/>
    </row>
    <row r="94" spans="2:14">
      <c r="B94" s="58" t="s">
        <v>319</v>
      </c>
      <c r="C94" s="64">
        <v>184901211000</v>
      </c>
      <c r="D94" s="64">
        <v>260747184000</v>
      </c>
      <c r="E94" s="64">
        <v>320834663000</v>
      </c>
      <c r="F94" s="64">
        <v>338224979000</v>
      </c>
      <c r="G94" s="64">
        <v>387731484000</v>
      </c>
      <c r="H94" s="141">
        <v>375031525000</v>
      </c>
      <c r="I94" s="64">
        <v>398068014000</v>
      </c>
      <c r="J94" s="64"/>
      <c r="K94" s="64"/>
      <c r="L94" s="64"/>
      <c r="M94" s="64"/>
      <c r="N94" s="64"/>
    </row>
    <row r="95" spans="2:14">
      <c r="B95" s="59" t="s">
        <v>411</v>
      </c>
      <c r="C95" s="66"/>
      <c r="D95" s="66"/>
      <c r="E95" s="66"/>
      <c r="F95" s="66"/>
      <c r="G95" s="66"/>
      <c r="H95" s="160"/>
      <c r="I95" s="66"/>
      <c r="J95" s="66"/>
      <c r="K95" s="66"/>
      <c r="L95" s="66"/>
      <c r="M95" s="66"/>
      <c r="N95" s="66"/>
    </row>
    <row r="96" spans="2:14">
      <c r="B96" s="59" t="s">
        <v>412</v>
      </c>
      <c r="C96" s="66"/>
      <c r="D96" s="66"/>
      <c r="E96" s="66"/>
      <c r="F96" s="66"/>
      <c r="G96" s="66"/>
      <c r="H96" s="160"/>
      <c r="I96" s="66"/>
      <c r="J96" s="66"/>
      <c r="K96" s="66"/>
      <c r="L96" s="66"/>
      <c r="M96" s="66"/>
      <c r="N96" s="66"/>
    </row>
    <row r="97" spans="2:14">
      <c r="B97" s="59" t="s">
        <v>413</v>
      </c>
      <c r="C97" s="66"/>
      <c r="D97" s="66"/>
      <c r="E97" s="66"/>
      <c r="F97" s="66"/>
      <c r="G97" s="66"/>
      <c r="H97" s="160"/>
      <c r="I97" s="66"/>
      <c r="J97" s="66"/>
      <c r="K97" s="66"/>
      <c r="L97" s="66"/>
      <c r="M97" s="66"/>
      <c r="N97" s="66"/>
    </row>
    <row r="98" spans="2:14">
      <c r="B98" s="59" t="s">
        <v>414</v>
      </c>
      <c r="C98" s="66"/>
      <c r="D98" s="66"/>
      <c r="E98" s="66"/>
      <c r="F98" s="66"/>
      <c r="G98" s="66"/>
      <c r="H98" s="160"/>
      <c r="I98" s="66"/>
      <c r="J98" s="66"/>
      <c r="K98" s="66"/>
      <c r="L98" s="66"/>
      <c r="M98" s="66"/>
      <c r="N98" s="66"/>
    </row>
    <row r="99" spans="2:14">
      <c r="B99" s="59" t="s">
        <v>341</v>
      </c>
      <c r="C99" s="66">
        <f t="shared" ref="C99:I99" si="77">+C94-C95-C97-C98-C96</f>
        <v>184901211000</v>
      </c>
      <c r="D99" s="66">
        <f t="shared" si="77"/>
        <v>260747184000</v>
      </c>
      <c r="E99" s="66">
        <f t="shared" si="77"/>
        <v>320834663000</v>
      </c>
      <c r="F99" s="66">
        <f t="shared" si="77"/>
        <v>338224979000</v>
      </c>
      <c r="G99" s="66">
        <f t="shared" si="77"/>
        <v>387731484000</v>
      </c>
      <c r="H99" s="66">
        <f t="shared" si="77"/>
        <v>375031525000</v>
      </c>
      <c r="I99" s="66">
        <f t="shared" si="77"/>
        <v>398068014000</v>
      </c>
      <c r="J99" s="66"/>
      <c r="K99" s="66"/>
      <c r="L99" s="66"/>
      <c r="M99" s="66"/>
      <c r="N99" s="66"/>
    </row>
    <row r="100" spans="2:14" ht="14.65" thickBot="1">
      <c r="B100" s="60" t="s">
        <v>342</v>
      </c>
      <c r="C100" s="70">
        <f t="shared" ref="C100:I100" si="78">+C94+C84</f>
        <v>505593351000</v>
      </c>
      <c r="D100" s="70">
        <f t="shared" si="78"/>
        <v>574014863000</v>
      </c>
      <c r="E100" s="70">
        <f t="shared" si="78"/>
        <v>659782661000</v>
      </c>
      <c r="F100" s="70">
        <f t="shared" si="78"/>
        <v>631117940000</v>
      </c>
      <c r="G100" s="70">
        <f t="shared" si="78"/>
        <v>779890316000</v>
      </c>
      <c r="H100" s="162">
        <f t="shared" si="78"/>
        <v>817671052000</v>
      </c>
      <c r="I100" s="162">
        <f t="shared" si="78"/>
        <v>854453275000</v>
      </c>
      <c r="J100" s="70"/>
      <c r="K100" s="70"/>
      <c r="L100" s="70"/>
      <c r="M100" s="70"/>
      <c r="N100" s="70"/>
    </row>
    <row r="101" spans="2:14" ht="14.65" thickBot="1">
      <c r="B101" s="61"/>
      <c r="C101" s="61"/>
      <c r="D101" s="61"/>
      <c r="E101" s="61"/>
      <c r="F101" s="61"/>
      <c r="G101" s="61"/>
      <c r="H101" s="61"/>
      <c r="I101" s="61"/>
      <c r="J101" s="61"/>
      <c r="K101" s="61"/>
      <c r="L101" s="61"/>
      <c r="M101" s="61"/>
      <c r="N101" s="61"/>
    </row>
    <row r="102" spans="2:14">
      <c r="B102" s="57" t="s">
        <v>343</v>
      </c>
      <c r="C102" s="62"/>
      <c r="D102" s="62"/>
      <c r="E102" s="62"/>
      <c r="F102" s="62"/>
      <c r="G102" s="62"/>
      <c r="H102" s="164"/>
      <c r="I102" s="62"/>
      <c r="J102" s="62"/>
      <c r="K102" s="62"/>
      <c r="L102" s="62"/>
      <c r="M102" s="62"/>
      <c r="N102" s="62"/>
    </row>
    <row r="103" spans="2:14">
      <c r="B103" s="59" t="s">
        <v>415</v>
      </c>
      <c r="C103" s="160">
        <v>84178790000</v>
      </c>
      <c r="D103" s="160">
        <v>84178790000</v>
      </c>
      <c r="E103" s="160">
        <v>84178790000</v>
      </c>
      <c r="F103" s="160">
        <v>84178790000</v>
      </c>
      <c r="G103" s="160">
        <v>84178790000</v>
      </c>
      <c r="H103" s="160">
        <v>84178790000</v>
      </c>
      <c r="I103" s="160">
        <v>74618232000</v>
      </c>
      <c r="J103" s="160"/>
      <c r="K103" s="160"/>
      <c r="L103" s="160"/>
      <c r="M103" s="160"/>
      <c r="N103" s="160"/>
    </row>
    <row r="104" spans="2:14">
      <c r="B104" s="59" t="s">
        <v>416</v>
      </c>
      <c r="C104" s="66">
        <v>455924169000</v>
      </c>
      <c r="D104" s="66">
        <v>481812864000</v>
      </c>
      <c r="E104" s="66">
        <v>514555498000</v>
      </c>
      <c r="F104" s="66">
        <v>563910980000</v>
      </c>
      <c r="G104" s="66">
        <v>624190604000</v>
      </c>
      <c r="H104" s="160">
        <v>676423359000</v>
      </c>
      <c r="I104" s="66">
        <v>696336230000</v>
      </c>
      <c r="J104" s="66"/>
      <c r="K104" s="66"/>
      <c r="L104" s="66"/>
      <c r="M104" s="66"/>
      <c r="N104" s="66"/>
    </row>
    <row r="105" spans="2:14">
      <c r="B105" s="59" t="s">
        <v>680</v>
      </c>
      <c r="C105" s="66"/>
      <c r="D105" s="66"/>
      <c r="E105" s="66"/>
      <c r="F105" s="66"/>
      <c r="G105" s="66">
        <v>-9560559000</v>
      </c>
      <c r="H105" s="160">
        <v>-10147910000</v>
      </c>
      <c r="I105" s="66">
        <v>-587352000</v>
      </c>
      <c r="J105" s="66"/>
      <c r="K105" s="66"/>
      <c r="L105" s="66"/>
      <c r="M105" s="66"/>
      <c r="N105" s="66"/>
    </row>
    <row r="106" spans="2:14">
      <c r="B106" s="59" t="s">
        <v>345</v>
      </c>
      <c r="C106" s="66">
        <v>8263848000</v>
      </c>
      <c r="D106" s="66">
        <v>2330314000</v>
      </c>
      <c r="E106" s="66">
        <v>-9142958000</v>
      </c>
      <c r="F106" s="66">
        <v>-4335031000</v>
      </c>
      <c r="G106" s="66">
        <v>-40782961000</v>
      </c>
      <c r="H106" s="160">
        <v>6308525000</v>
      </c>
      <c r="I106" s="66">
        <v>3889439000</v>
      </c>
      <c r="J106" s="66"/>
      <c r="K106" s="66"/>
      <c r="L106" s="66"/>
      <c r="M106" s="66"/>
      <c r="N106" s="66"/>
    </row>
    <row r="107" spans="2:14">
      <c r="B107" s="59" t="s">
        <v>419</v>
      </c>
      <c r="C107" s="66">
        <v>2866429000</v>
      </c>
      <c r="D107" s="66">
        <v>3831276000</v>
      </c>
      <c r="E107" s="66">
        <v>4443136000</v>
      </c>
      <c r="F107" s="66">
        <v>4819940000</v>
      </c>
      <c r="G107" s="66">
        <v>6479319000</v>
      </c>
      <c r="H107" s="160">
        <v>7345964000</v>
      </c>
      <c r="I107" s="66">
        <v>7827328000</v>
      </c>
      <c r="J107" s="66"/>
      <c r="K107" s="66"/>
      <c r="L107" s="66"/>
      <c r="M107" s="66"/>
      <c r="N107" s="66"/>
    </row>
    <row r="108" spans="2:14" ht="14.65" thickBot="1">
      <c r="B108" s="60" t="s">
        <v>420</v>
      </c>
      <c r="C108" s="70">
        <f t="shared" ref="C108:G108" si="79">+C103+C106+C104+C105</f>
        <v>548366807000</v>
      </c>
      <c r="D108" s="70">
        <f t="shared" si="79"/>
        <v>568321968000</v>
      </c>
      <c r="E108" s="70">
        <f t="shared" si="79"/>
        <v>589591330000</v>
      </c>
      <c r="F108" s="70">
        <f t="shared" si="79"/>
        <v>643754739000</v>
      </c>
      <c r="G108" s="70">
        <f t="shared" si="79"/>
        <v>658025874000</v>
      </c>
      <c r="H108" s="70">
        <f t="shared" ref="H108:N108" si="80">+H103+H106+H104+H105</f>
        <v>756762764000</v>
      </c>
      <c r="I108" s="70">
        <f t="shared" si="80"/>
        <v>774256549000</v>
      </c>
      <c r="J108" s="70">
        <f t="shared" si="80"/>
        <v>0</v>
      </c>
      <c r="K108" s="70">
        <f t="shared" si="80"/>
        <v>0</v>
      </c>
      <c r="L108" s="70">
        <f t="shared" si="80"/>
        <v>0</v>
      </c>
      <c r="M108" s="70">
        <f t="shared" si="80"/>
        <v>0</v>
      </c>
      <c r="N108" s="70">
        <f t="shared" si="80"/>
        <v>0</v>
      </c>
    </row>
    <row r="110" spans="2:14" ht="14.65" thickBot="1">
      <c r="B110" s="75" t="s">
        <v>348</v>
      </c>
    </row>
    <row r="111" spans="2:14" ht="14.65" thickBot="1">
      <c r="B111" s="82" t="s">
        <v>308</v>
      </c>
      <c r="C111" s="88">
        <v>2017</v>
      </c>
      <c r="D111" s="88">
        <v>2018</v>
      </c>
      <c r="E111" s="88">
        <v>2019</v>
      </c>
      <c r="F111" s="88">
        <v>2020</v>
      </c>
      <c r="G111" s="88">
        <v>2021</v>
      </c>
      <c r="H111" s="88">
        <v>2022</v>
      </c>
      <c r="I111" s="88">
        <v>2023</v>
      </c>
      <c r="J111" s="88">
        <v>2024</v>
      </c>
      <c r="K111" s="88">
        <v>2025</v>
      </c>
      <c r="L111" s="88">
        <v>2026</v>
      </c>
      <c r="M111" s="88">
        <v>2027</v>
      </c>
      <c r="N111" s="88">
        <v>2028</v>
      </c>
    </row>
    <row r="112" spans="2:14">
      <c r="B112" s="83" t="s">
        <v>349</v>
      </c>
      <c r="C112" s="90">
        <v>613515357000</v>
      </c>
      <c r="D112" s="90">
        <v>614128905000</v>
      </c>
      <c r="E112" s="90">
        <v>656980447000</v>
      </c>
      <c r="F112" s="90">
        <v>769067418000</v>
      </c>
      <c r="G112" s="90">
        <v>836712564000</v>
      </c>
      <c r="H112" s="90">
        <v>870581770000</v>
      </c>
      <c r="I112" s="90">
        <v>837213197000</v>
      </c>
      <c r="J112" s="90"/>
      <c r="K112" s="90"/>
      <c r="L112" s="90"/>
      <c r="M112" s="90"/>
      <c r="N112" s="90"/>
    </row>
    <row r="113" spans="2:14">
      <c r="B113" s="85" t="s">
        <v>534</v>
      </c>
      <c r="C113" s="66">
        <v>-412079217000</v>
      </c>
      <c r="D113" s="66">
        <v>-409542596000</v>
      </c>
      <c r="E113" s="66">
        <v>-415583553000</v>
      </c>
      <c r="F113" s="66">
        <v>-461197845000</v>
      </c>
      <c r="G113" s="66">
        <v>-501792720000</v>
      </c>
      <c r="H113" s="66">
        <v>-528860761000</v>
      </c>
      <c r="I113" s="66">
        <v>-527782376000</v>
      </c>
      <c r="J113" s="66"/>
      <c r="K113" s="66"/>
      <c r="L113" s="66"/>
      <c r="M113" s="66"/>
      <c r="N113" s="66"/>
    </row>
    <row r="114" spans="2:14">
      <c r="B114" s="86" t="s">
        <v>422</v>
      </c>
      <c r="C114" s="64">
        <f t="shared" ref="C114:F114" si="81">+C112+C113</f>
        <v>201436140000</v>
      </c>
      <c r="D114" s="64">
        <f>+D112+D113</f>
        <v>204586309000</v>
      </c>
      <c r="E114" s="64">
        <f t="shared" si="81"/>
        <v>241396894000</v>
      </c>
      <c r="F114" s="64">
        <f t="shared" si="81"/>
        <v>307869573000</v>
      </c>
      <c r="G114" s="64">
        <f>+G112+G113</f>
        <v>334919844000</v>
      </c>
      <c r="H114" s="64">
        <f t="shared" ref="H114:I114" si="82">+H112+H113</f>
        <v>341721009000</v>
      </c>
      <c r="I114" s="64">
        <f t="shared" si="82"/>
        <v>309430821000</v>
      </c>
      <c r="J114" s="64"/>
      <c r="K114" s="64"/>
      <c r="L114" s="64"/>
      <c r="M114" s="64"/>
      <c r="N114" s="64"/>
    </row>
    <row r="115" spans="2:14">
      <c r="B115" s="85" t="s">
        <v>592</v>
      </c>
      <c r="C115" s="117">
        <v>7631410000</v>
      </c>
      <c r="D115" s="117">
        <v>8549635000</v>
      </c>
      <c r="E115" s="117">
        <v>1875854000</v>
      </c>
      <c r="F115" s="117">
        <v>1621764000</v>
      </c>
      <c r="G115" s="117">
        <v>8169211000</v>
      </c>
      <c r="H115" s="117">
        <v>2908119000</v>
      </c>
      <c r="I115" s="117">
        <v>4245125000</v>
      </c>
      <c r="J115" s="117"/>
      <c r="K115" s="117"/>
      <c r="L115" s="117"/>
      <c r="M115" s="117"/>
      <c r="N115" s="117"/>
    </row>
    <row r="116" spans="2:14">
      <c r="B116" s="85" t="s">
        <v>683</v>
      </c>
      <c r="C116" s="117">
        <v>-113007625000</v>
      </c>
      <c r="D116" s="117">
        <v>-114151288000</v>
      </c>
      <c r="E116" s="117">
        <v>-131543755000</v>
      </c>
      <c r="F116" s="117">
        <v>-148343786000</v>
      </c>
      <c r="G116" s="117">
        <v>-157234816000</v>
      </c>
      <c r="H116" s="117">
        <v>-182703810000</v>
      </c>
      <c r="I116" s="117">
        <v>-187209835000</v>
      </c>
      <c r="J116" s="117"/>
      <c r="K116" s="117"/>
      <c r="L116" s="117"/>
      <c r="M116" s="117"/>
      <c r="N116" s="117"/>
    </row>
    <row r="117" spans="2:14">
      <c r="B117" s="85" t="s">
        <v>537</v>
      </c>
      <c r="C117" s="117">
        <v>-31110407000</v>
      </c>
      <c r="D117" s="117">
        <v>-34975242000</v>
      </c>
      <c r="E117" s="117">
        <v>-31430822000</v>
      </c>
      <c r="F117" s="117">
        <v>-36832758000</v>
      </c>
      <c r="G117" s="117">
        <v>-48501041000</v>
      </c>
      <c r="H117" s="117">
        <v>-52062941000</v>
      </c>
      <c r="I117" s="117">
        <v>-51070005000</v>
      </c>
      <c r="J117" s="117"/>
      <c r="K117" s="117"/>
      <c r="L117" s="117"/>
      <c r="M117" s="117"/>
      <c r="N117" s="117"/>
    </row>
    <row r="118" spans="2:14">
      <c r="B118" s="85" t="s">
        <v>427</v>
      </c>
      <c r="C118" s="117">
        <v>-3037270000</v>
      </c>
      <c r="D118" s="117">
        <v>-4002077000</v>
      </c>
      <c r="E118" s="117">
        <v>-3221155000</v>
      </c>
      <c r="F118" s="117">
        <v>-4004223000</v>
      </c>
      <c r="G118" s="117">
        <v>-4441025000</v>
      </c>
      <c r="H118" s="117">
        <v>-4989178000</v>
      </c>
      <c r="I118" s="117">
        <v>-10127133000</v>
      </c>
      <c r="J118" s="117"/>
      <c r="K118" s="117"/>
      <c r="L118" s="117"/>
      <c r="M118" s="117"/>
      <c r="N118" s="117"/>
    </row>
    <row r="119" spans="2:14">
      <c r="B119" s="86" t="s">
        <v>428</v>
      </c>
      <c r="C119" s="64">
        <f t="shared" ref="C119:G119" si="83">+C114+C118+C115+C116+C117</f>
        <v>61912248000</v>
      </c>
      <c r="D119" s="64">
        <f t="shared" si="83"/>
        <v>60007337000</v>
      </c>
      <c r="E119" s="64">
        <f t="shared" si="83"/>
        <v>77077016000</v>
      </c>
      <c r="F119" s="64">
        <f t="shared" si="83"/>
        <v>120310570000</v>
      </c>
      <c r="G119" s="64">
        <f t="shared" si="83"/>
        <v>132912173000</v>
      </c>
      <c r="H119" s="64">
        <f>+H114+H118+H115+H116+H117</f>
        <v>104873199000</v>
      </c>
      <c r="I119" s="64">
        <f>+I114+I118+I115+I116+I117</f>
        <v>65268973000</v>
      </c>
      <c r="J119" s="64"/>
      <c r="K119" s="64"/>
      <c r="L119" s="64"/>
      <c r="M119" s="64"/>
      <c r="N119" s="64"/>
    </row>
    <row r="120" spans="2:14">
      <c r="B120" s="85" t="s">
        <v>429</v>
      </c>
      <c r="C120" s="66">
        <v>570531000</v>
      </c>
      <c r="D120" s="66">
        <v>924066000</v>
      </c>
      <c r="E120" s="66">
        <v>587277000</v>
      </c>
      <c r="F120" s="66">
        <v>1385387000</v>
      </c>
      <c r="G120" s="131">
        <v>2819181000</v>
      </c>
      <c r="H120" s="131">
        <v>3521531000</v>
      </c>
      <c r="I120" s="131">
        <v>3733794000</v>
      </c>
      <c r="J120" s="131"/>
      <c r="K120" s="131"/>
      <c r="L120" s="131"/>
      <c r="M120" s="131"/>
      <c r="N120" s="131"/>
    </row>
    <row r="121" spans="2:14">
      <c r="B121" s="85" t="s">
        <v>430</v>
      </c>
      <c r="C121" s="66">
        <v>-9985677000</v>
      </c>
      <c r="D121" s="66">
        <v>-11647790000</v>
      </c>
      <c r="E121" s="66">
        <v>-12413267000</v>
      </c>
      <c r="F121" s="66">
        <v>-15349687000</v>
      </c>
      <c r="G121" s="131">
        <v>-13060426000</v>
      </c>
      <c r="H121" s="131">
        <v>-15564182000</v>
      </c>
      <c r="I121" s="131">
        <v>-22067073000</v>
      </c>
      <c r="J121" s="131"/>
      <c r="K121" s="131"/>
      <c r="L121" s="131"/>
      <c r="M121" s="131"/>
      <c r="N121" s="131"/>
    </row>
    <row r="122" spans="2:14">
      <c r="B122" s="85" t="s">
        <v>431</v>
      </c>
      <c r="C122" s="66">
        <v>3254601000</v>
      </c>
      <c r="D122" s="66">
        <v>2578197000</v>
      </c>
      <c r="E122" s="66">
        <v>3229468000</v>
      </c>
      <c r="F122" s="66">
        <v>3822415000</v>
      </c>
      <c r="G122" s="131">
        <v>7492231000</v>
      </c>
      <c r="H122" s="131">
        <v>6935582000</v>
      </c>
      <c r="I122" s="131">
        <v>6924062000</v>
      </c>
      <c r="J122" s="131"/>
      <c r="K122" s="131"/>
      <c r="L122" s="131"/>
      <c r="M122" s="131"/>
      <c r="N122" s="131"/>
    </row>
    <row r="123" spans="2:14">
      <c r="B123" s="85" t="s">
        <v>432</v>
      </c>
      <c r="C123" s="66">
        <v>8586953000</v>
      </c>
      <c r="D123" s="66">
        <v>10648800000</v>
      </c>
      <c r="E123" s="66">
        <v>-2686502000</v>
      </c>
      <c r="F123" s="66">
        <v>-4423107000</v>
      </c>
      <c r="G123" s="131">
        <v>-430617000</v>
      </c>
      <c r="H123" s="131">
        <v>1659876000</v>
      </c>
      <c r="I123" s="131">
        <v>-1722802000</v>
      </c>
      <c r="J123" s="131"/>
      <c r="K123" s="131"/>
      <c r="L123" s="131"/>
      <c r="M123" s="131"/>
      <c r="N123" s="131"/>
    </row>
    <row r="124" spans="2:14">
      <c r="B124" s="85" t="s">
        <v>433</v>
      </c>
      <c r="C124" s="66">
        <v>-628448000</v>
      </c>
      <c r="D124" s="66">
        <v>-1015159000</v>
      </c>
      <c r="E124" s="66">
        <v>-685477000</v>
      </c>
      <c r="F124" s="66">
        <v>-261591000</v>
      </c>
      <c r="G124" s="131">
        <v>101036000</v>
      </c>
      <c r="H124" s="131">
        <v>297389000</v>
      </c>
      <c r="I124" s="131">
        <v>338862000</v>
      </c>
      <c r="J124" s="131"/>
      <c r="K124" s="131"/>
      <c r="L124" s="131"/>
      <c r="M124" s="131"/>
      <c r="N124" s="131"/>
    </row>
    <row r="125" spans="2:14">
      <c r="B125" s="86" t="s">
        <v>362</v>
      </c>
      <c r="C125" s="64">
        <f t="shared" ref="C125:E125" si="84">+C119+C120+C121+C122+C123+C124</f>
        <v>63710208000</v>
      </c>
      <c r="D125" s="64">
        <f t="shared" si="84"/>
        <v>61495451000</v>
      </c>
      <c r="E125" s="64">
        <f t="shared" si="84"/>
        <v>65108515000</v>
      </c>
      <c r="F125" s="64">
        <f>+F119+F120+F121+F122+F123+F124</f>
        <v>105483987000</v>
      </c>
      <c r="G125" s="64">
        <f t="shared" ref="G125:I125" si="85">+G119+G120+G121+G122+G123+G124</f>
        <v>129833578000</v>
      </c>
      <c r="H125" s="64">
        <f t="shared" si="85"/>
        <v>101723395000</v>
      </c>
      <c r="I125" s="64">
        <f t="shared" si="85"/>
        <v>52475816000</v>
      </c>
      <c r="J125" s="64"/>
      <c r="K125" s="64"/>
      <c r="L125" s="64"/>
      <c r="M125" s="64"/>
      <c r="N125" s="64"/>
    </row>
    <row r="126" spans="2:14">
      <c r="B126" s="85" t="s">
        <v>363</v>
      </c>
      <c r="C126" s="66">
        <v>-13719788000</v>
      </c>
      <c r="D126" s="66">
        <v>-11394118000</v>
      </c>
      <c r="E126" s="66">
        <v>-17071544000</v>
      </c>
      <c r="F126" s="66">
        <v>-26390068000</v>
      </c>
      <c r="G126" s="91">
        <v>-29139260000</v>
      </c>
      <c r="H126" s="91">
        <v>-12740199000</v>
      </c>
      <c r="I126" s="91">
        <v>-896776000</v>
      </c>
      <c r="J126" s="91"/>
      <c r="K126" s="91"/>
      <c r="L126" s="91"/>
      <c r="M126" s="91"/>
      <c r="N126" s="91"/>
    </row>
    <row r="127" spans="2:14">
      <c r="B127" s="84" t="s">
        <v>365</v>
      </c>
      <c r="C127" s="130">
        <f t="shared" ref="C127:G127" si="86">+C125+C126</f>
        <v>49990420000</v>
      </c>
      <c r="D127" s="130">
        <f t="shared" si="86"/>
        <v>50101333000</v>
      </c>
      <c r="E127" s="130">
        <f t="shared" si="86"/>
        <v>48036971000</v>
      </c>
      <c r="F127" s="130">
        <f t="shared" si="86"/>
        <v>79093919000</v>
      </c>
      <c r="G127" s="130">
        <f t="shared" si="86"/>
        <v>100694318000</v>
      </c>
      <c r="H127" s="130">
        <f>+H125+H126</f>
        <v>88983196000</v>
      </c>
      <c r="I127" s="130">
        <f>+I125+I126</f>
        <v>51579040000</v>
      </c>
      <c r="J127" s="130"/>
      <c r="K127" s="130"/>
      <c r="L127" s="130"/>
      <c r="M127" s="130"/>
      <c r="N127" s="130"/>
    </row>
    <row r="128" spans="2:14" ht="28.5">
      <c r="B128" s="87" t="s">
        <v>435</v>
      </c>
      <c r="C128" s="66">
        <v>415750000</v>
      </c>
      <c r="D128" s="66">
        <v>990215000</v>
      </c>
      <c r="E128" s="66">
        <v>910210000</v>
      </c>
      <c r="F128" s="66">
        <v>1099536000</v>
      </c>
      <c r="G128" s="91">
        <v>1884383000</v>
      </c>
      <c r="H128" s="91">
        <v>1770620000</v>
      </c>
      <c r="I128" s="91">
        <v>852753000</v>
      </c>
      <c r="J128" s="91"/>
      <c r="K128" s="91"/>
      <c r="L128" s="91"/>
      <c r="M128" s="91"/>
      <c r="N128" s="91"/>
    </row>
    <row r="129" spans="2:14">
      <c r="B129" s="84" t="s">
        <v>436</v>
      </c>
      <c r="C129" s="91">
        <f t="shared" ref="C129:G129" si="87">+C127-C128</f>
        <v>49574670000</v>
      </c>
      <c r="D129" s="91">
        <f t="shared" si="87"/>
        <v>49111118000</v>
      </c>
      <c r="E129" s="91">
        <f t="shared" si="87"/>
        <v>47126761000</v>
      </c>
      <c r="F129" s="91">
        <f t="shared" si="87"/>
        <v>77994383000</v>
      </c>
      <c r="G129" s="114">
        <f t="shared" si="87"/>
        <v>98809935000</v>
      </c>
      <c r="H129" s="114">
        <f t="shared" ref="H129:N129" si="88">+H127-H128</f>
        <v>87212576000</v>
      </c>
      <c r="I129" s="114">
        <f t="shared" si="88"/>
        <v>50726287000</v>
      </c>
      <c r="J129" s="91">
        <f t="shared" si="88"/>
        <v>0</v>
      </c>
      <c r="K129" s="91">
        <f t="shared" si="88"/>
        <v>0</v>
      </c>
      <c r="L129" s="91">
        <f t="shared" si="88"/>
        <v>0</v>
      </c>
      <c r="M129" s="91">
        <f t="shared" si="88"/>
        <v>0</v>
      </c>
      <c r="N129" s="91">
        <f t="shared" si="88"/>
        <v>0</v>
      </c>
    </row>
    <row r="130" spans="2:14">
      <c r="B130" s="84" t="s">
        <v>366</v>
      </c>
      <c r="C130" s="111">
        <v>66.36</v>
      </c>
      <c r="D130" s="111">
        <v>65.739999999999995</v>
      </c>
      <c r="E130" s="111">
        <v>70.28</v>
      </c>
      <c r="F130" s="134">
        <v>104.41</v>
      </c>
      <c r="G130" s="134">
        <v>133.61000000000001</v>
      </c>
      <c r="H130" s="134">
        <v>118.01</v>
      </c>
      <c r="I130" s="134">
        <v>58.36</v>
      </c>
      <c r="J130" s="134"/>
      <c r="K130" s="134"/>
      <c r="L130" s="134"/>
      <c r="M130" s="134"/>
      <c r="N130" s="134"/>
    </row>
    <row r="132" spans="2:14" ht="14.65" thickBot="1">
      <c r="B132" s="75" t="s">
        <v>367</v>
      </c>
    </row>
    <row r="133" spans="2:14" ht="14.65" thickBot="1">
      <c r="B133" s="82" t="s">
        <v>308</v>
      </c>
      <c r="C133" s="88">
        <v>2017</v>
      </c>
      <c r="D133" s="88">
        <v>2018</v>
      </c>
      <c r="E133" s="88">
        <v>2019</v>
      </c>
      <c r="F133" s="88">
        <v>2020</v>
      </c>
      <c r="G133" s="88">
        <v>2021</v>
      </c>
      <c r="H133" s="88">
        <v>2022</v>
      </c>
      <c r="I133" s="88">
        <v>2023</v>
      </c>
      <c r="J133" s="88">
        <v>2024</v>
      </c>
      <c r="K133" s="88">
        <v>2025</v>
      </c>
      <c r="L133" s="88">
        <v>2026</v>
      </c>
      <c r="M133" s="88">
        <v>2027</v>
      </c>
      <c r="N133" s="88">
        <v>2028</v>
      </c>
    </row>
    <row r="134" spans="2:14">
      <c r="B134" s="83" t="s">
        <v>368</v>
      </c>
      <c r="C134" s="90">
        <v>19997274000</v>
      </c>
      <c r="D134" s="90">
        <v>36274705000</v>
      </c>
      <c r="E134" s="90">
        <v>68714824000</v>
      </c>
      <c r="F134" s="90">
        <v>108375815000</v>
      </c>
      <c r="G134" s="90">
        <v>38485895000</v>
      </c>
      <c r="H134" s="90">
        <v>4599603000</v>
      </c>
      <c r="I134" s="90">
        <v>50297904000</v>
      </c>
      <c r="J134" s="90"/>
      <c r="K134" s="90"/>
      <c r="L134" s="90"/>
      <c r="M134" s="90"/>
      <c r="N134" s="90"/>
    </row>
    <row r="135" spans="2:14">
      <c r="B135" s="86" t="s">
        <v>369</v>
      </c>
      <c r="C135" s="91">
        <v>-51433175000</v>
      </c>
      <c r="D135" s="93">
        <v>-40095172000</v>
      </c>
      <c r="E135" s="93">
        <v>-57680310000</v>
      </c>
      <c r="F135" s="66">
        <v>-32544778000</v>
      </c>
      <c r="G135" s="93">
        <v>-41912890000</v>
      </c>
      <c r="H135" s="66">
        <v>-70559127000</v>
      </c>
      <c r="I135" s="66">
        <v>-58300632000</v>
      </c>
      <c r="J135" s="66"/>
      <c r="K135" s="66"/>
      <c r="L135" s="66"/>
      <c r="M135" s="66"/>
      <c r="N135" s="66"/>
    </row>
    <row r="136" spans="2:14">
      <c r="B136" s="85" t="s">
        <v>370</v>
      </c>
      <c r="C136" s="93">
        <v>-47629585000</v>
      </c>
      <c r="D136" s="93">
        <v>-26413695000</v>
      </c>
      <c r="E136" s="93">
        <v>-41267414000</v>
      </c>
      <c r="F136" s="93">
        <v>-29509295000</v>
      </c>
      <c r="G136" s="93">
        <v>-45228577000</v>
      </c>
      <c r="H136" s="93">
        <v>-72580477000</v>
      </c>
      <c r="I136" s="93">
        <v>-54399204000</v>
      </c>
      <c r="J136" s="93"/>
      <c r="K136" s="93"/>
      <c r="L136" s="93"/>
      <c r="M136" s="93"/>
      <c r="N136" s="93"/>
    </row>
    <row r="137" spans="2:14">
      <c r="B137" s="86" t="s">
        <v>372</v>
      </c>
      <c r="C137" s="120">
        <v>16311089000</v>
      </c>
      <c r="D137" s="120">
        <v>7685853000</v>
      </c>
      <c r="E137" s="64">
        <v>22121756000</v>
      </c>
      <c r="F137" s="120">
        <v>-53096890000</v>
      </c>
      <c r="G137" s="120">
        <v>-31386833000</v>
      </c>
      <c r="H137" s="120">
        <v>34838150000</v>
      </c>
      <c r="I137" s="120">
        <v>10731174000</v>
      </c>
      <c r="J137" s="120"/>
      <c r="K137" s="120"/>
      <c r="L137" s="120"/>
      <c r="M137" s="120"/>
      <c r="N137" s="120"/>
    </row>
    <row r="138" spans="2:14">
      <c r="B138" s="85" t="s">
        <v>373</v>
      </c>
      <c r="C138" s="93">
        <v>-20630615000</v>
      </c>
      <c r="D138" s="93">
        <v>-18439630000</v>
      </c>
      <c r="E138" s="66">
        <v>-19144896000</v>
      </c>
      <c r="F138" s="93">
        <v>-22187835000</v>
      </c>
      <c r="G138" s="93">
        <v>-48867808000</v>
      </c>
      <c r="H138" s="93">
        <v>-21972879000</v>
      </c>
      <c r="I138" s="93">
        <v>-32149657000</v>
      </c>
      <c r="J138" s="93"/>
      <c r="K138" s="93"/>
      <c r="L138" s="93"/>
      <c r="M138" s="93"/>
      <c r="N138" s="93"/>
    </row>
    <row r="139" spans="2:14">
      <c r="B139" s="85" t="s">
        <v>437</v>
      </c>
      <c r="C139" s="93">
        <v>9427606000</v>
      </c>
      <c r="D139" s="93">
        <v>-8287629000</v>
      </c>
      <c r="E139" s="66">
        <v>-7275791000</v>
      </c>
      <c r="F139" s="93">
        <v>-10734863000</v>
      </c>
      <c r="G139" s="93">
        <v>-8105597000</v>
      </c>
      <c r="H139" s="93">
        <v>-8828713000</v>
      </c>
      <c r="I139" s="93">
        <v>0</v>
      </c>
      <c r="J139" s="93"/>
      <c r="K139" s="93"/>
      <c r="L139" s="93"/>
      <c r="M139" s="93"/>
      <c r="N139" s="93"/>
    </row>
    <row r="140" spans="2:14">
      <c r="B140" s="86" t="s">
        <v>375</v>
      </c>
      <c r="C140" s="64">
        <v>31162346000</v>
      </c>
      <c r="D140" s="64">
        <v>37486337000</v>
      </c>
      <c r="E140" s="64">
        <v>72037137000</v>
      </c>
      <c r="F140" s="64">
        <v>93178436000</v>
      </c>
      <c r="G140" s="64">
        <v>93178436000</v>
      </c>
      <c r="H140" s="64">
        <v>33791676000</v>
      </c>
      <c r="I140" s="64">
        <v>34185194000</v>
      </c>
      <c r="J140" s="64"/>
      <c r="K140" s="64"/>
      <c r="L140" s="64"/>
      <c r="M140" s="64"/>
      <c r="N140" s="64"/>
    </row>
    <row r="141" spans="2:14">
      <c r="B141" s="85"/>
      <c r="C141" s="66"/>
      <c r="D141" s="66"/>
      <c r="E141" s="66"/>
      <c r="F141" s="66"/>
      <c r="G141" s="66"/>
      <c r="H141" s="66"/>
      <c r="I141" s="66"/>
      <c r="J141" s="66"/>
      <c r="K141" s="66"/>
      <c r="L141" s="66"/>
      <c r="M141" s="66"/>
      <c r="N141" s="66"/>
    </row>
    <row r="142" spans="2:14">
      <c r="B142" s="84" t="s">
        <v>376</v>
      </c>
      <c r="C142" s="131">
        <f t="shared" ref="C142:G142" si="89">+C134+C136+C139-C138</f>
        <v>2425910000</v>
      </c>
      <c r="D142" s="131">
        <f t="shared" si="89"/>
        <v>20013011000</v>
      </c>
      <c r="E142" s="131">
        <f t="shared" si="89"/>
        <v>39316515000</v>
      </c>
      <c r="F142" s="131">
        <f t="shared" si="89"/>
        <v>90319492000</v>
      </c>
      <c r="G142" s="131">
        <f t="shared" si="89"/>
        <v>34019529000</v>
      </c>
      <c r="H142" s="131">
        <f t="shared" ref="H142:N142" si="90">+H134+H136+H139-H138</f>
        <v>-54836708000</v>
      </c>
      <c r="I142" s="131">
        <f t="shared" si="90"/>
        <v>28048357000</v>
      </c>
      <c r="J142" s="131">
        <f t="shared" si="90"/>
        <v>0</v>
      </c>
      <c r="K142" s="131">
        <f t="shared" si="90"/>
        <v>0</v>
      </c>
      <c r="L142" s="131">
        <f t="shared" si="90"/>
        <v>0</v>
      </c>
      <c r="M142" s="131">
        <f t="shared" si="90"/>
        <v>0</v>
      </c>
      <c r="N142" s="131">
        <f t="shared" si="90"/>
        <v>0</v>
      </c>
    </row>
  </sheetData>
  <conditionalFormatting sqref="C60:H66 D67:H67 C68:H100">
    <cfRule type="cellIs" dxfId="207" priority="18" operator="lessThan">
      <formula>0</formula>
    </cfRule>
  </conditionalFormatting>
  <conditionalFormatting sqref="C112:N130">
    <cfRule type="cellIs" dxfId="206" priority="2" operator="lessThan">
      <formula>0</formula>
    </cfRule>
  </conditionalFormatting>
  <conditionalFormatting sqref="C134:N142">
    <cfRule type="cellIs" dxfId="205" priority="1" operator="lessThan">
      <formula>0</formula>
    </cfRule>
  </conditionalFormatting>
  <conditionalFormatting sqref="I60:N100 C102:N108">
    <cfRule type="cellIs" dxfId="204" priority="3" operator="lessThan">
      <formula>0</formula>
    </cfRule>
  </conditionalFormatting>
  <pageMargins left="0.7" right="0.7" top="0.75" bottom="0.75" header="0.3" footer="0.3"/>
  <pageSetup paperSize="9"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12BC-4EF9-42DC-93D4-86A3ACE67D5B}">
  <dimension ref="B2:P146"/>
  <sheetViews>
    <sheetView zoomScale="80" zoomScaleNormal="80" workbookViewId="0">
      <pane xSplit="2" ySplit="6" topLeftCell="H141" activePane="bottomRight" state="frozen"/>
      <selection pane="bottomRight" activeCell="B100" sqref="B100"/>
      <selection pane="bottomLeft" activeCell="A7" sqref="A7"/>
      <selection pane="topRight" activeCell="C1" sqref="C1"/>
    </sheetView>
  </sheetViews>
  <sheetFormatPr defaultColWidth="10.7109375" defaultRowHeight="14.25"/>
  <cols>
    <col min="1" max="1" width="4.42578125" customWidth="1"/>
    <col min="2" max="2" width="44.7109375" customWidth="1"/>
    <col min="3" max="6" width="33.28515625" customWidth="1"/>
    <col min="7" max="7" width="36.28515625" customWidth="1"/>
    <col min="8" max="8" width="35.7109375" customWidth="1"/>
    <col min="9" max="9" width="30.7109375" bestFit="1" customWidth="1"/>
    <col min="10" max="10" width="28.7109375" bestFit="1" customWidth="1"/>
    <col min="11" max="14" width="25.42578125" bestFit="1" customWidth="1"/>
  </cols>
  <sheetData>
    <row r="2" spans="2:14" ht="21">
      <c r="B2" s="313">
        <f ca="1">TODAY()-1</f>
        <v>46105</v>
      </c>
      <c r="C2" s="314"/>
      <c r="D2" s="344" t="s">
        <v>265</v>
      </c>
      <c r="E2" s="345" t="s">
        <v>266</v>
      </c>
    </row>
    <row r="3" spans="2:14" ht="25.5">
      <c r="B3" s="376" cm="1">
        <f t="array" aca="1" ref="B3" ca="1">_FV(B6,"Precio")</f>
        <v>1160</v>
      </c>
      <c r="C3" s="316"/>
      <c r="D3" s="365">
        <f>AVERAGE(G49:I49)</f>
        <v>132.05233333333334</v>
      </c>
      <c r="E3" s="365">
        <f>AVERAGE(G48:I48)</f>
        <v>135.05233333333334</v>
      </c>
    </row>
    <row r="4" spans="2:14" ht="28.5">
      <c r="B4" s="319"/>
      <c r="C4" s="320"/>
      <c r="D4" s="328"/>
      <c r="E4" s="328"/>
    </row>
    <row r="5" spans="2:14" ht="18">
      <c r="B5" s="34" t="s">
        <v>684</v>
      </c>
    </row>
    <row r="6" spans="2:14" ht="33.4">
      <c r="B6" s="3" t="e" vm="22">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+C65</f>
        <v>0</v>
      </c>
      <c r="D7" s="5">
        <f t="shared" ref="D7:N7" si="0">+D65</f>
        <v>3756383000</v>
      </c>
      <c r="E7" s="5">
        <f t="shared" si="0"/>
        <v>3457065000</v>
      </c>
      <c r="F7" s="5">
        <f t="shared" si="0"/>
        <v>3577658000</v>
      </c>
      <c r="G7" s="5">
        <f t="shared" si="0"/>
        <v>4233805000</v>
      </c>
      <c r="H7" s="5">
        <f t="shared" si="0"/>
        <v>4683116000</v>
      </c>
      <c r="I7" s="5">
        <f t="shared" si="0"/>
        <v>4572339000</v>
      </c>
      <c r="J7" s="5">
        <f t="shared" si="0"/>
        <v>0</v>
      </c>
      <c r="K7" s="5">
        <f t="shared" si="0"/>
        <v>0</v>
      </c>
      <c r="L7" s="5">
        <f t="shared" si="0"/>
        <v>0</v>
      </c>
      <c r="M7" s="5">
        <f t="shared" si="0"/>
        <v>0</v>
      </c>
      <c r="N7" s="5">
        <f t="shared" si="0"/>
        <v>0</v>
      </c>
    </row>
    <row r="8" spans="2:14" ht="25.5">
      <c r="B8" s="146" t="s">
        <v>377</v>
      </c>
      <c r="C8" s="147">
        <f>+C69</f>
        <v>0</v>
      </c>
      <c r="D8" s="147">
        <f t="shared" ref="D8:N8" si="1">+D69</f>
        <v>970029000</v>
      </c>
      <c r="E8" s="147">
        <f t="shared" si="1"/>
        <v>855612000</v>
      </c>
      <c r="F8" s="147">
        <f t="shared" si="1"/>
        <v>839909000</v>
      </c>
      <c r="G8" s="147">
        <f t="shared" si="1"/>
        <v>1099698000</v>
      </c>
      <c r="H8" s="147">
        <f t="shared" si="1"/>
        <v>1356795000</v>
      </c>
      <c r="I8" s="147">
        <f t="shared" si="1"/>
        <v>1179664000</v>
      </c>
      <c r="J8" s="147">
        <f t="shared" si="1"/>
        <v>0</v>
      </c>
      <c r="K8" s="147">
        <f t="shared" si="1"/>
        <v>0</v>
      </c>
      <c r="L8" s="147">
        <f t="shared" si="1"/>
        <v>0</v>
      </c>
      <c r="M8" s="147">
        <f t="shared" si="1"/>
        <v>0</v>
      </c>
      <c r="N8" s="147">
        <f t="shared" si="1"/>
        <v>0</v>
      </c>
    </row>
    <row r="9" spans="2:14" ht="25.5">
      <c r="B9" s="146" t="s">
        <v>378</v>
      </c>
      <c r="C9" s="147">
        <f>+C71</f>
        <v>0</v>
      </c>
      <c r="D9" s="147">
        <f t="shared" ref="D9:N9" si="2">+D71</f>
        <v>1264442000</v>
      </c>
      <c r="E9" s="147">
        <f t="shared" si="2"/>
        <v>1280141000</v>
      </c>
      <c r="F9" s="147">
        <f t="shared" si="2"/>
        <v>1211768000</v>
      </c>
      <c r="G9" s="147">
        <f t="shared" si="2"/>
        <v>1311879000</v>
      </c>
      <c r="H9" s="147">
        <f t="shared" si="2"/>
        <v>1720023000</v>
      </c>
      <c r="I9" s="147">
        <f t="shared" si="2"/>
        <v>1555429000</v>
      </c>
      <c r="J9" s="147">
        <f t="shared" si="2"/>
        <v>0</v>
      </c>
      <c r="K9" s="147">
        <f t="shared" si="2"/>
        <v>0</v>
      </c>
      <c r="L9" s="147">
        <f t="shared" si="2"/>
        <v>0</v>
      </c>
      <c r="M9" s="147">
        <f t="shared" si="2"/>
        <v>0</v>
      </c>
      <c r="N9" s="147">
        <f t="shared" si="2"/>
        <v>0</v>
      </c>
    </row>
    <row r="10" spans="2:14" ht="25.5">
      <c r="B10" s="146"/>
      <c r="C10" s="352" t="e">
        <f t="shared" ref="C10:M10" si="3">+C9/C7</f>
        <v>#DIV/0!</v>
      </c>
      <c r="D10" s="352">
        <f t="shared" si="3"/>
        <v>0.33661157555020349</v>
      </c>
      <c r="E10" s="352">
        <f t="shared" si="3"/>
        <v>0.37029705834284282</v>
      </c>
      <c r="F10" s="352">
        <f t="shared" si="3"/>
        <v>0.33870425848418156</v>
      </c>
      <c r="G10" s="352">
        <f t="shared" si="3"/>
        <v>0.30985815359942182</v>
      </c>
      <c r="H10" s="352">
        <f t="shared" si="3"/>
        <v>0.36728174147298509</v>
      </c>
      <c r="I10" s="352">
        <f t="shared" si="3"/>
        <v>0.340182344309991</v>
      </c>
      <c r="J10" s="352" t="e">
        <f t="shared" si="3"/>
        <v>#DIV/0!</v>
      </c>
      <c r="K10" s="352" t="e">
        <f t="shared" si="3"/>
        <v>#DIV/0!</v>
      </c>
      <c r="L10" s="352" t="e">
        <f t="shared" si="3"/>
        <v>#DIV/0!</v>
      </c>
      <c r="M10" s="352" t="e">
        <f t="shared" si="3"/>
        <v>#DIV/0!</v>
      </c>
      <c r="N10" s="147"/>
    </row>
    <row r="11" spans="2:14" ht="25.5">
      <c r="B11" s="4" t="s">
        <v>379</v>
      </c>
      <c r="C11" s="5">
        <f>+C74</f>
        <v>0</v>
      </c>
      <c r="D11" s="5">
        <f t="shared" ref="D11:N11" si="4">+D74</f>
        <v>11226928000</v>
      </c>
      <c r="E11" s="5">
        <f t="shared" si="4"/>
        <v>11498731000</v>
      </c>
      <c r="F11" s="5">
        <f t="shared" si="4"/>
        <v>11149295000</v>
      </c>
      <c r="G11" s="5">
        <f t="shared" si="4"/>
        <v>10992484000</v>
      </c>
      <c r="H11" s="5">
        <f t="shared" si="4"/>
        <v>11888055000</v>
      </c>
      <c r="I11" s="5">
        <f t="shared" si="4"/>
        <v>12604161000</v>
      </c>
      <c r="J11" s="5">
        <f t="shared" si="4"/>
        <v>0</v>
      </c>
      <c r="K11" s="5">
        <f t="shared" si="4"/>
        <v>0</v>
      </c>
      <c r="L11" s="5">
        <f t="shared" si="4"/>
        <v>0</v>
      </c>
      <c r="M11" s="5">
        <f t="shared" si="4"/>
        <v>0</v>
      </c>
      <c r="N11" s="5">
        <f t="shared" si="4"/>
        <v>0</v>
      </c>
    </row>
    <row r="12" spans="2:14" ht="25.5">
      <c r="B12" s="8" t="s">
        <v>272</v>
      </c>
      <c r="C12" s="9">
        <f>+C11+C7</f>
        <v>0</v>
      </c>
      <c r="D12" s="9">
        <f t="shared" ref="D12:N12" si="5">+D11+D7</f>
        <v>14983311000</v>
      </c>
      <c r="E12" s="9">
        <f t="shared" si="5"/>
        <v>14955796000</v>
      </c>
      <c r="F12" s="9">
        <f t="shared" si="5"/>
        <v>14726953000</v>
      </c>
      <c r="G12" s="9">
        <f t="shared" si="5"/>
        <v>15226289000</v>
      </c>
      <c r="H12" s="9">
        <f t="shared" si="5"/>
        <v>16571171000</v>
      </c>
      <c r="I12" s="9">
        <f t="shared" si="5"/>
        <v>17176500000</v>
      </c>
      <c r="J12" s="9">
        <f t="shared" si="5"/>
        <v>0</v>
      </c>
      <c r="K12" s="9">
        <f t="shared" si="5"/>
        <v>0</v>
      </c>
      <c r="L12" s="9">
        <f t="shared" si="5"/>
        <v>0</v>
      </c>
      <c r="M12" s="9">
        <f t="shared" si="5"/>
        <v>0</v>
      </c>
      <c r="N12" s="9">
        <f t="shared" si="5"/>
        <v>0</v>
      </c>
    </row>
    <row r="13" spans="2:14" ht="25.5">
      <c r="B13" s="10" t="s">
        <v>273</v>
      </c>
      <c r="C13" s="11">
        <f>+C88</f>
        <v>0</v>
      </c>
      <c r="D13" s="11">
        <f t="shared" ref="D13:N13" si="6">+D88</f>
        <v>1650581000</v>
      </c>
      <c r="E13" s="11">
        <f t="shared" si="6"/>
        <v>1525070000</v>
      </c>
      <c r="F13" s="11">
        <f t="shared" si="6"/>
        <v>1195048000</v>
      </c>
      <c r="G13" s="11">
        <f t="shared" si="6"/>
        <v>2052702000</v>
      </c>
      <c r="H13" s="11">
        <f t="shared" si="6"/>
        <v>2399407000</v>
      </c>
      <c r="I13" s="11">
        <f t="shared" si="6"/>
        <v>2476374000</v>
      </c>
      <c r="J13" s="11">
        <f t="shared" si="6"/>
        <v>0</v>
      </c>
      <c r="K13" s="11">
        <f t="shared" si="6"/>
        <v>0</v>
      </c>
      <c r="L13" s="11">
        <f t="shared" si="6"/>
        <v>0</v>
      </c>
      <c r="M13" s="11">
        <f t="shared" si="6"/>
        <v>0</v>
      </c>
      <c r="N13" s="11">
        <f t="shared" si="6"/>
        <v>0</v>
      </c>
    </row>
    <row r="14" spans="2:14" ht="25.5">
      <c r="B14" s="10" t="s">
        <v>274</v>
      </c>
      <c r="C14" s="11">
        <f>+C98</f>
        <v>0</v>
      </c>
      <c r="D14" s="11">
        <f t="shared" ref="D14:N14" si="7">+D98</f>
        <v>5088712000</v>
      </c>
      <c r="E14" s="11">
        <f t="shared" si="7"/>
        <v>5295151000</v>
      </c>
      <c r="F14" s="11">
        <f t="shared" si="7"/>
        <v>5665768000</v>
      </c>
      <c r="G14" s="11">
        <f t="shared" si="7"/>
        <v>5624647000</v>
      </c>
      <c r="H14" s="11">
        <f t="shared" si="7"/>
        <v>6261751000</v>
      </c>
      <c r="I14" s="11">
        <f t="shared" si="7"/>
        <v>6816037000</v>
      </c>
      <c r="J14" s="11">
        <f t="shared" si="7"/>
        <v>0</v>
      </c>
      <c r="K14" s="11">
        <f t="shared" si="7"/>
        <v>0</v>
      </c>
      <c r="L14" s="11">
        <f t="shared" si="7"/>
        <v>0</v>
      </c>
      <c r="M14" s="11">
        <f t="shared" si="7"/>
        <v>0</v>
      </c>
      <c r="N14" s="11">
        <f t="shared" si="7"/>
        <v>0</v>
      </c>
    </row>
    <row r="15" spans="2:14" ht="25.5">
      <c r="B15" s="12" t="s">
        <v>275</v>
      </c>
      <c r="C15" s="13">
        <f>+C13+C14</f>
        <v>0</v>
      </c>
      <c r="D15" s="13">
        <f t="shared" ref="D15:N15" si="8">+D13+D14</f>
        <v>6739293000</v>
      </c>
      <c r="E15" s="13">
        <f t="shared" si="8"/>
        <v>6820221000</v>
      </c>
      <c r="F15" s="13">
        <f t="shared" si="8"/>
        <v>6860816000</v>
      </c>
      <c r="G15" s="13">
        <f t="shared" si="8"/>
        <v>7677349000</v>
      </c>
      <c r="H15" s="13">
        <f t="shared" si="8"/>
        <v>8661158000</v>
      </c>
      <c r="I15" s="13">
        <f t="shared" si="8"/>
        <v>9292411000</v>
      </c>
      <c r="J15" s="13">
        <f t="shared" si="8"/>
        <v>0</v>
      </c>
      <c r="K15" s="13">
        <f t="shared" si="8"/>
        <v>0</v>
      </c>
      <c r="L15" s="13">
        <f t="shared" si="8"/>
        <v>0</v>
      </c>
      <c r="M15" s="13">
        <f t="shared" si="8"/>
        <v>0</v>
      </c>
      <c r="N15" s="13">
        <f t="shared" si="8"/>
        <v>0</v>
      </c>
    </row>
    <row r="16" spans="2:14" ht="25.5">
      <c r="B16" s="14" t="s">
        <v>276</v>
      </c>
      <c r="C16" s="15">
        <f>+C111</f>
        <v>0</v>
      </c>
      <c r="D16" s="15">
        <f t="shared" ref="D16:N16" si="9">+D111</f>
        <v>8241835000</v>
      </c>
      <c r="E16" s="15">
        <f t="shared" si="9"/>
        <v>8133310000</v>
      </c>
      <c r="F16" s="15">
        <f t="shared" si="9"/>
        <v>7863289000</v>
      </c>
      <c r="G16" s="15">
        <f t="shared" si="9"/>
        <v>7546078000</v>
      </c>
      <c r="H16" s="15">
        <f t="shared" si="9"/>
        <v>7908737000</v>
      </c>
      <c r="I16" s="15">
        <f t="shared" si="9"/>
        <v>7884443000</v>
      </c>
      <c r="J16" s="15">
        <f t="shared" si="9"/>
        <v>0</v>
      </c>
      <c r="K16" s="15">
        <f t="shared" si="9"/>
        <v>0</v>
      </c>
      <c r="L16" s="15">
        <f t="shared" si="9"/>
        <v>0</v>
      </c>
      <c r="M16" s="15">
        <f t="shared" si="9"/>
        <v>0</v>
      </c>
      <c r="N16" s="15">
        <f t="shared" si="9"/>
        <v>0</v>
      </c>
    </row>
    <row r="17" spans="2:14" ht="25.5">
      <c r="B17" s="79" t="s">
        <v>278</v>
      </c>
      <c r="C17" s="180">
        <v>2500000000</v>
      </c>
      <c r="D17" s="180">
        <v>2500000000</v>
      </c>
      <c r="E17" s="180">
        <v>2500000000</v>
      </c>
      <c r="F17" s="180">
        <v>2500000000</v>
      </c>
      <c r="G17" s="180">
        <v>2500000000</v>
      </c>
      <c r="H17" s="180">
        <v>2500000000</v>
      </c>
      <c r="I17" s="180">
        <v>2500000000</v>
      </c>
      <c r="J17" s="180">
        <v>2500000000</v>
      </c>
      <c r="K17" s="80"/>
      <c r="L17" s="80"/>
      <c r="M17" s="80"/>
      <c r="N17" s="80"/>
    </row>
    <row r="19" spans="2:14" ht="25.5">
      <c r="B19" s="18" t="s">
        <v>685</v>
      </c>
      <c r="C19" s="22">
        <f>+C16/C17</f>
        <v>0</v>
      </c>
      <c r="D19" s="22">
        <f t="shared" ref="D19:N19" si="10">+D16/D17</f>
        <v>3.2967339999999998</v>
      </c>
      <c r="E19" s="22">
        <f t="shared" si="10"/>
        <v>3.2533240000000001</v>
      </c>
      <c r="F19" s="22">
        <f t="shared" si="10"/>
        <v>3.1453156</v>
      </c>
      <c r="G19" s="22">
        <f t="shared" si="10"/>
        <v>3.0184312000000002</v>
      </c>
      <c r="H19" s="22">
        <f t="shared" si="10"/>
        <v>3.1634948000000001</v>
      </c>
      <c r="I19" s="22">
        <f t="shared" si="10"/>
        <v>3.1537771999999999</v>
      </c>
      <c r="J19" s="22">
        <f t="shared" si="10"/>
        <v>0</v>
      </c>
      <c r="K19" s="22" t="e">
        <f t="shared" si="10"/>
        <v>#DIV/0!</v>
      </c>
      <c r="L19" s="22" t="e">
        <f t="shared" si="10"/>
        <v>#DIV/0!</v>
      </c>
      <c r="M19" s="22" t="e">
        <f t="shared" si="10"/>
        <v>#DIV/0!</v>
      </c>
      <c r="N19" s="22" t="e">
        <f t="shared" si="10"/>
        <v>#DIV/0!</v>
      </c>
    </row>
    <row r="20" spans="2:14" ht="25.5">
      <c r="B20" s="18" t="s">
        <v>656</v>
      </c>
      <c r="C20" s="19">
        <f>+C19*C44</f>
        <v>0</v>
      </c>
      <c r="D20" s="19">
        <f t="shared" ref="D20:N20" si="11">+D19*D44</f>
        <v>2241.7791199999997</v>
      </c>
      <c r="E20" s="19">
        <f t="shared" si="11"/>
        <v>2257.8068560000002</v>
      </c>
      <c r="F20" s="19">
        <f t="shared" si="11"/>
        <v>2403.0211184</v>
      </c>
      <c r="G20" s="19">
        <f t="shared" si="11"/>
        <v>2571.7033824</v>
      </c>
      <c r="H20" s="19">
        <f t="shared" si="11"/>
        <v>2683.4344641000002</v>
      </c>
      <c r="I20" s="19">
        <f t="shared" si="11"/>
        <v>2789.7997733480001</v>
      </c>
      <c r="J20" s="19">
        <f t="shared" si="11"/>
        <v>0</v>
      </c>
      <c r="K20" s="19" t="e">
        <f t="shared" si="11"/>
        <v>#DIV/0!</v>
      </c>
      <c r="L20" s="19" t="e">
        <f t="shared" si="11"/>
        <v>#DIV/0!</v>
      </c>
      <c r="M20" s="19" t="e">
        <f t="shared" si="11"/>
        <v>#DIV/0!</v>
      </c>
      <c r="N20" s="19" t="e">
        <f t="shared" si="11"/>
        <v>#DIV/0!</v>
      </c>
    </row>
    <row r="21" spans="2:14" ht="25.5">
      <c r="B21" s="76" t="s">
        <v>686</v>
      </c>
      <c r="C21" s="77">
        <v>2091</v>
      </c>
      <c r="D21" s="77">
        <v>2207</v>
      </c>
      <c r="E21" s="77">
        <v>1840</v>
      </c>
      <c r="F21" s="77">
        <v>1872</v>
      </c>
      <c r="G21" s="77">
        <v>1431</v>
      </c>
      <c r="H21" s="101">
        <v>1417</v>
      </c>
      <c r="I21" s="101">
        <v>1700</v>
      </c>
      <c r="J21" s="101"/>
      <c r="K21" s="101"/>
      <c r="L21" s="101"/>
      <c r="M21" s="101"/>
      <c r="N21" s="101"/>
    </row>
    <row r="22" spans="2:14" ht="25.5">
      <c r="B22" s="18" t="s">
        <v>283</v>
      </c>
      <c r="C22" s="22" t="e">
        <f>+C21/C43</f>
        <v>#DIV/0!</v>
      </c>
      <c r="D22" s="22">
        <f t="shared" ref="D22:N22" si="12">+D21/D43</f>
        <v>16.147205150717003</v>
      </c>
      <c r="E22" s="22">
        <f t="shared" si="12"/>
        <v>78.440734614532005</v>
      </c>
      <c r="F22" s="22">
        <f t="shared" si="12"/>
        <v>-216.83732567298341</v>
      </c>
      <c r="G22" s="22">
        <f t="shared" si="12"/>
        <v>7.7938629456553707</v>
      </c>
      <c r="H22" s="22">
        <f t="shared" si="12"/>
        <v>4.1534015024644146</v>
      </c>
      <c r="I22" s="22">
        <f t="shared" si="12"/>
        <v>10.216875478867207</v>
      </c>
      <c r="J22" s="22" t="e">
        <f t="shared" si="12"/>
        <v>#DIV/0!</v>
      </c>
      <c r="K22" s="22" t="e">
        <f t="shared" si="12"/>
        <v>#DIV/0!</v>
      </c>
      <c r="L22" s="22" t="e">
        <f t="shared" si="12"/>
        <v>#DIV/0!</v>
      </c>
      <c r="M22" s="22" t="e">
        <f t="shared" si="12"/>
        <v>#DIV/0!</v>
      </c>
      <c r="N22" s="22" t="e">
        <f t="shared" si="12"/>
        <v>#DIV/0!</v>
      </c>
    </row>
    <row r="23" spans="2:14" ht="25.5">
      <c r="B23" s="18" t="s">
        <v>380</v>
      </c>
      <c r="C23" s="22" t="e">
        <f>+C21/C20</f>
        <v>#DIV/0!</v>
      </c>
      <c r="D23" s="22">
        <f t="shared" ref="D23:N23" si="13">+D21/D20</f>
        <v>0.98448592919359523</v>
      </c>
      <c r="E23" s="22">
        <f t="shared" si="13"/>
        <v>0.81495013406939532</v>
      </c>
      <c r="F23" s="22">
        <f t="shared" si="13"/>
        <v>0.77901937093521301</v>
      </c>
      <c r="G23" s="22">
        <f t="shared" si="13"/>
        <v>0.55644053268092786</v>
      </c>
      <c r="H23" s="22">
        <f t="shared" si="13"/>
        <v>0.52805463258267016</v>
      </c>
      <c r="I23" s="22">
        <f t="shared" si="13"/>
        <v>0.60936272783471246</v>
      </c>
      <c r="J23" s="22" t="e">
        <f t="shared" si="13"/>
        <v>#DIV/0!</v>
      </c>
      <c r="K23" s="22" t="e">
        <f t="shared" si="13"/>
        <v>#DIV/0!</v>
      </c>
      <c r="L23" s="22" t="e">
        <f t="shared" si="13"/>
        <v>#DIV/0!</v>
      </c>
      <c r="M23" s="22" t="e">
        <f t="shared" si="13"/>
        <v>#DIV/0!</v>
      </c>
      <c r="N23" s="22" t="e">
        <f t="shared" si="13"/>
        <v>#DIV/0!</v>
      </c>
    </row>
    <row r="24" spans="2:14" ht="25.5">
      <c r="B24" s="18" t="s">
        <v>285</v>
      </c>
      <c r="C24" s="22" t="e">
        <f>+C22*C23</f>
        <v>#DIV/0!</v>
      </c>
      <c r="D24" s="22">
        <f t="shared" ref="D24:N24" si="14">+D22*D23</f>
        <v>15.896696266683236</v>
      </c>
      <c r="E24" s="22">
        <f t="shared" si="14"/>
        <v>63.925287190614718</v>
      </c>
      <c r="F24" s="22">
        <f t="shared" si="14"/>
        <v>-168.92047704104144</v>
      </c>
      <c r="G24" s="22">
        <f t="shared" si="14"/>
        <v>4.3368212491226199</v>
      </c>
      <c r="H24" s="22">
        <f t="shared" si="14"/>
        <v>2.1932229043521567</v>
      </c>
      <c r="I24" s="22">
        <f t="shared" si="14"/>
        <v>6.2257831117501059</v>
      </c>
      <c r="J24" s="22" t="e">
        <f t="shared" si="14"/>
        <v>#DIV/0!</v>
      </c>
      <c r="K24" s="22" t="e">
        <f t="shared" si="14"/>
        <v>#DIV/0!</v>
      </c>
      <c r="L24" s="22" t="e">
        <f t="shared" si="14"/>
        <v>#DIV/0!</v>
      </c>
      <c r="M24" s="22" t="e">
        <f t="shared" si="14"/>
        <v>#DIV/0!</v>
      </c>
      <c r="N24" s="22" t="e">
        <f t="shared" si="14"/>
        <v>#DIV/0!</v>
      </c>
    </row>
    <row r="25" spans="2:14" ht="25.5">
      <c r="B25" s="23" t="s">
        <v>286</v>
      </c>
      <c r="C25" s="24" t="e">
        <f>IF(C45&lt;10%,0,IF(15%&lt;C45,2,1))</f>
        <v>#DIV/0!</v>
      </c>
      <c r="D25" s="24">
        <f>IF(D45&lt;10%,0,IF(15%&lt;D45,2,1))</f>
        <v>0</v>
      </c>
      <c r="E25" s="24">
        <f t="shared" ref="E25:N25" si="15">IF(E45&lt;10%,0,IF(15%&lt;E45,2,1))</f>
        <v>0</v>
      </c>
      <c r="F25" s="24">
        <f t="shared" si="15"/>
        <v>0</v>
      </c>
      <c r="G25" s="24">
        <f t="shared" si="15"/>
        <v>0</v>
      </c>
      <c r="H25" s="24">
        <f t="shared" si="15"/>
        <v>1</v>
      </c>
      <c r="I25" s="24">
        <f t="shared" si="15"/>
        <v>0</v>
      </c>
      <c r="J25" s="24" t="e">
        <f t="shared" si="15"/>
        <v>#DIV/0!</v>
      </c>
      <c r="K25" s="24" t="e">
        <f t="shared" si="15"/>
        <v>#DIV/0!</v>
      </c>
      <c r="L25" s="24" t="e">
        <f t="shared" si="15"/>
        <v>#DIV/0!</v>
      </c>
      <c r="M25" s="24" t="e">
        <f t="shared" si="15"/>
        <v>#DIV/0!</v>
      </c>
      <c r="N25" s="24" t="e">
        <f t="shared" si="15"/>
        <v>#DIV/0!</v>
      </c>
    </row>
    <row r="26" spans="2:14" ht="25.5">
      <c r="B26" s="23" t="s">
        <v>287</v>
      </c>
      <c r="C26" s="24" t="e">
        <f>IF(C45&lt;10%,1,IF(15%&lt;C45,2.5,2))</f>
        <v>#DIV/0!</v>
      </c>
      <c r="D26" s="24">
        <f t="shared" ref="D26:N26" si="16">IF(D45&lt;10%,1,IF(15%&lt;D45,2.5,2))</f>
        <v>1</v>
      </c>
      <c r="E26" s="24">
        <f t="shared" si="16"/>
        <v>1</v>
      </c>
      <c r="F26" s="24">
        <f t="shared" si="16"/>
        <v>1</v>
      </c>
      <c r="G26" s="24">
        <f t="shared" si="16"/>
        <v>1</v>
      </c>
      <c r="H26" s="24">
        <f t="shared" si="16"/>
        <v>2</v>
      </c>
      <c r="I26" s="24">
        <f t="shared" si="16"/>
        <v>1</v>
      </c>
      <c r="J26" s="24" t="e">
        <f t="shared" si="16"/>
        <v>#DIV/0!</v>
      </c>
      <c r="K26" s="24" t="e">
        <f t="shared" si="16"/>
        <v>#DIV/0!</v>
      </c>
      <c r="L26" s="24" t="e">
        <f t="shared" si="16"/>
        <v>#DIV/0!</v>
      </c>
      <c r="M26" s="24" t="e">
        <f t="shared" si="16"/>
        <v>#DIV/0!</v>
      </c>
      <c r="N26" s="24" t="e">
        <f t="shared" si="16"/>
        <v>#DIV/0!</v>
      </c>
    </row>
    <row r="27" spans="2:14" ht="25.5">
      <c r="B27" s="25" t="s">
        <v>288</v>
      </c>
      <c r="C27" s="26" t="e">
        <f>+C25*C20</f>
        <v>#DIV/0!</v>
      </c>
      <c r="D27" s="26">
        <f t="shared" ref="D27:N27" si="17">+D25*D20</f>
        <v>0</v>
      </c>
      <c r="E27" s="26">
        <f t="shared" si="17"/>
        <v>0</v>
      </c>
      <c r="F27" s="26">
        <f t="shared" si="17"/>
        <v>0</v>
      </c>
      <c r="G27" s="26">
        <f t="shared" si="17"/>
        <v>0</v>
      </c>
      <c r="H27" s="26">
        <f t="shared" si="17"/>
        <v>2683.4344641000002</v>
      </c>
      <c r="I27" s="26">
        <f t="shared" si="17"/>
        <v>0</v>
      </c>
      <c r="J27" s="26" t="e">
        <f t="shared" si="17"/>
        <v>#DIV/0!</v>
      </c>
      <c r="K27" s="26" t="e">
        <f t="shared" si="17"/>
        <v>#DIV/0!</v>
      </c>
      <c r="L27" s="26" t="e">
        <f t="shared" si="17"/>
        <v>#DIV/0!</v>
      </c>
      <c r="M27" s="26" t="e">
        <f t="shared" si="17"/>
        <v>#DIV/0!</v>
      </c>
      <c r="N27" s="26" t="e">
        <f t="shared" si="17"/>
        <v>#DIV/0!</v>
      </c>
    </row>
    <row r="28" spans="2:14" ht="25.5">
      <c r="B28" s="25" t="s">
        <v>289</v>
      </c>
      <c r="C28" s="26" t="e">
        <f>AVERAGE(C27,C29)</f>
        <v>#DIV/0!</v>
      </c>
      <c r="D28" s="26">
        <f t="shared" ref="D28:N28" si="18">AVERAGE(D27,D29)</f>
        <v>1120.8895599999998</v>
      </c>
      <c r="E28" s="26">
        <f t="shared" si="18"/>
        <v>1128.9034280000001</v>
      </c>
      <c r="F28" s="26">
        <f t="shared" si="18"/>
        <v>1201.5105592</v>
      </c>
      <c r="G28" s="26">
        <f t="shared" si="18"/>
        <v>1285.8516912</v>
      </c>
      <c r="H28" s="26">
        <f t="shared" si="18"/>
        <v>4025.1516961500001</v>
      </c>
      <c r="I28" s="26">
        <f t="shared" si="18"/>
        <v>1394.8998866740001</v>
      </c>
      <c r="J28" s="26" t="e">
        <f t="shared" si="18"/>
        <v>#DIV/0!</v>
      </c>
      <c r="K28" s="26" t="e">
        <f t="shared" si="18"/>
        <v>#DIV/0!</v>
      </c>
      <c r="L28" s="26" t="e">
        <f t="shared" si="18"/>
        <v>#DIV/0!</v>
      </c>
      <c r="M28" s="26" t="e">
        <f t="shared" si="18"/>
        <v>#DIV/0!</v>
      </c>
      <c r="N28" s="26" t="e">
        <f t="shared" si="18"/>
        <v>#DIV/0!</v>
      </c>
    </row>
    <row r="29" spans="2:14" ht="25.5">
      <c r="B29" s="25" t="s">
        <v>290</v>
      </c>
      <c r="C29" s="26" t="e">
        <f>+C20*C26</f>
        <v>#DIV/0!</v>
      </c>
      <c r="D29" s="26">
        <f t="shared" ref="D29:N29" si="19">+D20*D26</f>
        <v>2241.7791199999997</v>
      </c>
      <c r="E29" s="26">
        <f t="shared" si="19"/>
        <v>2257.8068560000002</v>
      </c>
      <c r="F29" s="26">
        <f t="shared" si="19"/>
        <v>2403.0211184</v>
      </c>
      <c r="G29" s="26">
        <f t="shared" si="19"/>
        <v>2571.7033824</v>
      </c>
      <c r="H29" s="26">
        <f t="shared" si="19"/>
        <v>5366.8689282000005</v>
      </c>
      <c r="I29" s="26">
        <f t="shared" si="19"/>
        <v>2789.7997733480001</v>
      </c>
      <c r="J29" s="26" t="e">
        <f t="shared" si="19"/>
        <v>#DIV/0!</v>
      </c>
      <c r="K29" s="26" t="e">
        <f t="shared" si="19"/>
        <v>#DIV/0!</v>
      </c>
      <c r="L29" s="26" t="e">
        <f t="shared" si="19"/>
        <v>#DIV/0!</v>
      </c>
      <c r="M29" s="26" t="e">
        <f t="shared" si="19"/>
        <v>#DIV/0!</v>
      </c>
      <c r="N29" s="26" t="e">
        <f t="shared" si="19"/>
        <v>#DIV/0!</v>
      </c>
    </row>
    <row r="31" spans="2:14" ht="25.5">
      <c r="B31" s="243" t="s">
        <v>291</v>
      </c>
      <c r="C31" s="81">
        <f t="shared" ref="C31:N31" si="20">C7-C13</f>
        <v>0</v>
      </c>
      <c r="D31" s="81">
        <f t="shared" si="20"/>
        <v>2105802000</v>
      </c>
      <c r="E31" s="81">
        <f t="shared" si="20"/>
        <v>1931995000</v>
      </c>
      <c r="F31" s="81">
        <f t="shared" si="20"/>
        <v>2382610000</v>
      </c>
      <c r="G31" s="81">
        <f t="shared" si="20"/>
        <v>2181103000</v>
      </c>
      <c r="H31" s="81">
        <f t="shared" si="20"/>
        <v>2283709000</v>
      </c>
      <c r="I31" s="81">
        <f t="shared" si="20"/>
        <v>2095965000</v>
      </c>
      <c r="J31" s="81">
        <f t="shared" si="20"/>
        <v>0</v>
      </c>
      <c r="K31" s="81">
        <f t="shared" si="20"/>
        <v>0</v>
      </c>
      <c r="L31" s="81">
        <f t="shared" si="20"/>
        <v>0</v>
      </c>
      <c r="M31" s="81">
        <f t="shared" si="20"/>
        <v>0</v>
      </c>
      <c r="N31" s="81">
        <f t="shared" si="20"/>
        <v>0</v>
      </c>
    </row>
    <row r="32" spans="2:14" ht="25.5">
      <c r="B32" s="30" t="s">
        <v>149</v>
      </c>
      <c r="C32" s="241" t="e">
        <f t="shared" ref="C32:N32" si="21">C7/C13</f>
        <v>#DIV/0!</v>
      </c>
      <c r="D32" s="241">
        <f t="shared" si="21"/>
        <v>2.275794402092354</v>
      </c>
      <c r="E32" s="241">
        <f t="shared" si="21"/>
        <v>2.2668238179231119</v>
      </c>
      <c r="F32" s="241">
        <f t="shared" si="21"/>
        <v>2.9937358164692967</v>
      </c>
      <c r="G32" s="241">
        <f t="shared" si="21"/>
        <v>2.062552187312138</v>
      </c>
      <c r="H32" s="242">
        <f t="shared" si="21"/>
        <v>1.9517805857864048</v>
      </c>
      <c r="I32" s="242">
        <f t="shared" si="21"/>
        <v>1.8463846737205285</v>
      </c>
      <c r="J32" s="242" t="e">
        <f t="shared" si="21"/>
        <v>#DIV/0!</v>
      </c>
      <c r="K32" s="242" t="e">
        <f t="shared" si="21"/>
        <v>#DIV/0!</v>
      </c>
      <c r="L32" s="242" t="e">
        <f t="shared" si="21"/>
        <v>#DIV/0!</v>
      </c>
      <c r="M32" s="242" t="e">
        <f t="shared" si="21"/>
        <v>#DIV/0!</v>
      </c>
      <c r="N32" s="242" t="e">
        <f t="shared" si="21"/>
        <v>#DIV/0!</v>
      </c>
    </row>
    <row r="33" spans="2:14" ht="25.5">
      <c r="B33" s="30" t="s">
        <v>292</v>
      </c>
      <c r="C33" s="241" t="e">
        <f t="shared" ref="C33:N33" si="22">+(C7-C9)/C13</f>
        <v>#DIV/0!</v>
      </c>
      <c r="D33" s="241">
        <f t="shared" si="22"/>
        <v>1.5097356627757135</v>
      </c>
      <c r="E33" s="241">
        <f t="shared" si="22"/>
        <v>1.4274256263646914</v>
      </c>
      <c r="F33" s="241">
        <f t="shared" si="22"/>
        <v>1.9797447466545277</v>
      </c>
      <c r="G33" s="241">
        <f t="shared" si="22"/>
        <v>1.4234535748491501</v>
      </c>
      <c r="H33" s="241">
        <f t="shared" si="22"/>
        <v>1.2349272132656111</v>
      </c>
      <c r="I33" s="241">
        <f t="shared" si="22"/>
        <v>1.2182772069162413</v>
      </c>
      <c r="J33" s="241" t="e">
        <f t="shared" si="22"/>
        <v>#DIV/0!</v>
      </c>
      <c r="K33" s="241" t="e">
        <f t="shared" si="22"/>
        <v>#DIV/0!</v>
      </c>
      <c r="L33" s="241" t="e">
        <f t="shared" si="22"/>
        <v>#DIV/0!</v>
      </c>
      <c r="M33" s="241" t="e">
        <f t="shared" si="22"/>
        <v>#DIV/0!</v>
      </c>
      <c r="N33" s="241" t="e">
        <f t="shared" si="22"/>
        <v>#DIV/0!</v>
      </c>
    </row>
    <row r="34" spans="2:14" ht="25.5">
      <c r="B34" s="32" t="s">
        <v>153</v>
      </c>
      <c r="C34" s="33" t="e">
        <f t="shared" ref="C34:N34" si="23">C15/C12</f>
        <v>#DIV/0!</v>
      </c>
      <c r="D34" s="33">
        <f t="shared" si="23"/>
        <v>0.44978663260743906</v>
      </c>
      <c r="E34" s="33">
        <f t="shared" si="23"/>
        <v>0.45602527608694315</v>
      </c>
      <c r="F34" s="33">
        <f t="shared" si="23"/>
        <v>0.46586799047976862</v>
      </c>
      <c r="G34" s="33">
        <f t="shared" si="23"/>
        <v>0.50421668733596214</v>
      </c>
      <c r="H34" s="33">
        <f t="shared" si="23"/>
        <v>0.52266421003078178</v>
      </c>
      <c r="I34" s="33">
        <f t="shared" si="23"/>
        <v>0.54099560445958139</v>
      </c>
      <c r="J34" s="33" t="e">
        <f t="shared" si="23"/>
        <v>#DIV/0!</v>
      </c>
      <c r="K34" s="33" t="e">
        <f t="shared" si="23"/>
        <v>#DIV/0!</v>
      </c>
      <c r="L34" s="33" t="e">
        <f t="shared" si="23"/>
        <v>#DIV/0!</v>
      </c>
      <c r="M34" s="33" t="e">
        <f t="shared" si="23"/>
        <v>#DIV/0!</v>
      </c>
      <c r="N34" s="33" t="e">
        <f t="shared" si="23"/>
        <v>#DIV/0!</v>
      </c>
    </row>
    <row r="37" spans="2:14" ht="25.5">
      <c r="B37" s="35" t="s">
        <v>293</v>
      </c>
      <c r="C37" s="36">
        <f>+C116</f>
        <v>0</v>
      </c>
      <c r="D37" s="36">
        <f t="shared" ref="D37:N37" si="24">+D116</f>
        <v>6274472000</v>
      </c>
      <c r="E37" s="36">
        <f t="shared" si="24"/>
        <v>5670277000</v>
      </c>
      <c r="F37" s="36">
        <f t="shared" si="24"/>
        <v>5286927000</v>
      </c>
      <c r="G37" s="36">
        <f t="shared" si="24"/>
        <v>6323022000</v>
      </c>
      <c r="H37" s="36">
        <f t="shared" si="24"/>
        <v>7821345000</v>
      </c>
      <c r="I37" s="36">
        <f t="shared" si="24"/>
        <v>8099816000</v>
      </c>
      <c r="J37" s="36">
        <f t="shared" si="24"/>
        <v>0</v>
      </c>
      <c r="K37" s="36">
        <f t="shared" si="24"/>
        <v>0</v>
      </c>
      <c r="L37" s="36">
        <f t="shared" si="24"/>
        <v>0</v>
      </c>
      <c r="M37" s="36">
        <f t="shared" si="24"/>
        <v>0</v>
      </c>
      <c r="N37" s="36">
        <f t="shared" si="24"/>
        <v>0</v>
      </c>
    </row>
    <row r="38" spans="2:14" ht="25.5">
      <c r="B38" s="39" t="s">
        <v>156</v>
      </c>
      <c r="C38" s="40">
        <f>+C123</f>
        <v>0</v>
      </c>
      <c r="D38" s="40">
        <f t="shared" ref="D38:N38" si="25">+D123</f>
        <v>1080582000</v>
      </c>
      <c r="E38" s="40">
        <f t="shared" si="25"/>
        <v>364614000</v>
      </c>
      <c r="F38" s="40">
        <f t="shared" si="25"/>
        <v>217778000</v>
      </c>
      <c r="G38" s="40">
        <f t="shared" si="25"/>
        <v>978047000</v>
      </c>
      <c r="H38" s="40">
        <f t="shared" si="25"/>
        <v>1394145000</v>
      </c>
      <c r="I38" s="40">
        <f t="shared" si="25"/>
        <v>555693000</v>
      </c>
      <c r="J38" s="40">
        <f t="shared" si="25"/>
        <v>0</v>
      </c>
      <c r="K38" s="40">
        <f t="shared" si="25"/>
        <v>0</v>
      </c>
      <c r="L38" s="40">
        <f t="shared" si="25"/>
        <v>0</v>
      </c>
      <c r="M38" s="40">
        <f t="shared" si="25"/>
        <v>0</v>
      </c>
      <c r="N38" s="40">
        <f t="shared" si="25"/>
        <v>0</v>
      </c>
    </row>
    <row r="39" spans="2:14" ht="25.5">
      <c r="B39" s="35" t="s">
        <v>381</v>
      </c>
      <c r="C39" s="41" t="e">
        <f>C38/C37</f>
        <v>#DIV/0!</v>
      </c>
      <c r="D39" s="41">
        <f t="shared" ref="D39:N39" si="26">D38/D37</f>
        <v>0.17221879386823305</v>
      </c>
      <c r="E39" s="41">
        <f t="shared" si="26"/>
        <v>6.430267868747859E-2</v>
      </c>
      <c r="F39" s="41">
        <f t="shared" si="26"/>
        <v>4.1191792510091398E-2</v>
      </c>
      <c r="G39" s="41">
        <f t="shared" si="26"/>
        <v>0.15468030951023101</v>
      </c>
      <c r="H39" s="41">
        <f t="shared" si="26"/>
        <v>0.178248753890795</v>
      </c>
      <c r="I39" s="41">
        <f t="shared" si="26"/>
        <v>6.8605632523010399E-2</v>
      </c>
      <c r="J39" s="41" t="e">
        <f t="shared" si="26"/>
        <v>#DIV/0!</v>
      </c>
      <c r="K39" s="41" t="e">
        <f t="shared" si="26"/>
        <v>#DIV/0!</v>
      </c>
      <c r="L39" s="41" t="e">
        <f t="shared" si="26"/>
        <v>#DIV/0!</v>
      </c>
      <c r="M39" s="41" t="e">
        <f t="shared" si="26"/>
        <v>#DIV/0!</v>
      </c>
      <c r="N39" s="41" t="e">
        <f t="shared" si="26"/>
        <v>#DIV/0!</v>
      </c>
    </row>
    <row r="40" spans="2:14" ht="25.5">
      <c r="B40" s="43" t="s">
        <v>295</v>
      </c>
      <c r="C40" s="44">
        <f>+C133</f>
        <v>0</v>
      </c>
      <c r="D40" s="44">
        <f t="shared" ref="D40:N40" si="27">+D133</f>
        <v>702887000</v>
      </c>
      <c r="E40" s="44">
        <f t="shared" si="27"/>
        <v>227844000</v>
      </c>
      <c r="F40" s="44">
        <f t="shared" si="27"/>
        <v>-28366000</v>
      </c>
      <c r="G40" s="44">
        <f t="shared" si="27"/>
        <v>538811000</v>
      </c>
      <c r="H40" s="44">
        <f t="shared" si="27"/>
        <v>1005375000</v>
      </c>
      <c r="I40" s="44">
        <f t="shared" si="27"/>
        <v>470242000</v>
      </c>
      <c r="J40" s="44">
        <f t="shared" si="27"/>
        <v>0</v>
      </c>
      <c r="K40" s="44">
        <f t="shared" si="27"/>
        <v>0</v>
      </c>
      <c r="L40" s="44">
        <f t="shared" si="27"/>
        <v>0</v>
      </c>
      <c r="M40" s="44">
        <f t="shared" si="27"/>
        <v>0</v>
      </c>
      <c r="N40" s="44">
        <f t="shared" si="27"/>
        <v>0</v>
      </c>
    </row>
    <row r="41" spans="2:14" ht="25.5">
      <c r="B41" s="30" t="s">
        <v>296</v>
      </c>
      <c r="C41" s="45" t="e">
        <f>C40/C37</f>
        <v>#DIV/0!</v>
      </c>
      <c r="D41" s="45">
        <f t="shared" ref="D41:N41" si="28">D40/D37</f>
        <v>0.11202329056532566</v>
      </c>
      <c r="E41" s="45">
        <f t="shared" si="28"/>
        <v>4.0182163940139078E-2</v>
      </c>
      <c r="F41" s="45">
        <f t="shared" si="28"/>
        <v>-5.3653095645164002E-3</v>
      </c>
      <c r="G41" s="45">
        <f t="shared" si="28"/>
        <v>8.5214158672862444E-2</v>
      </c>
      <c r="H41" s="45">
        <f t="shared" si="28"/>
        <v>0.12854246935789176</v>
      </c>
      <c r="I41" s="45">
        <f t="shared" si="28"/>
        <v>5.8055886701623836E-2</v>
      </c>
      <c r="J41" s="45" t="e">
        <f t="shared" si="28"/>
        <v>#DIV/0!</v>
      </c>
      <c r="K41" s="45" t="e">
        <f t="shared" si="28"/>
        <v>#DIV/0!</v>
      </c>
      <c r="L41" s="45" t="e">
        <f t="shared" si="28"/>
        <v>#DIV/0!</v>
      </c>
      <c r="M41" s="45" t="e">
        <f t="shared" si="28"/>
        <v>#DIV/0!</v>
      </c>
      <c r="N41" s="45" t="e">
        <f t="shared" si="28"/>
        <v>#DIV/0!</v>
      </c>
    </row>
    <row r="42" spans="2:14" ht="25.5">
      <c r="B42" s="46" t="s">
        <v>658</v>
      </c>
      <c r="C42" s="121">
        <f>+C134</f>
        <v>0</v>
      </c>
      <c r="D42" s="121">
        <f t="shared" ref="D42:N42" si="29">+D134</f>
        <v>0.20100000000000001</v>
      </c>
      <c r="E42" s="121">
        <f t="shared" si="29"/>
        <v>3.3799999999999997E-2</v>
      </c>
      <c r="F42" s="121">
        <f t="shared" si="29"/>
        <v>-1.1299999999999999E-2</v>
      </c>
      <c r="G42" s="121">
        <f t="shared" si="29"/>
        <v>0.2155</v>
      </c>
      <c r="H42" s="121">
        <f t="shared" si="29"/>
        <v>0.4022</v>
      </c>
      <c r="I42" s="121">
        <f t="shared" si="29"/>
        <v>0.18809999999999999</v>
      </c>
      <c r="J42" s="121">
        <f t="shared" si="29"/>
        <v>0</v>
      </c>
      <c r="K42" s="121">
        <f t="shared" si="29"/>
        <v>0</v>
      </c>
      <c r="L42" s="121">
        <f t="shared" si="29"/>
        <v>0</v>
      </c>
      <c r="M42" s="121">
        <f t="shared" si="29"/>
        <v>0</v>
      </c>
      <c r="N42" s="121">
        <f t="shared" si="29"/>
        <v>0</v>
      </c>
    </row>
    <row r="43" spans="2:14" ht="25.5">
      <c r="B43" s="46" t="s">
        <v>159</v>
      </c>
      <c r="C43" s="181">
        <f>+C42*C44</f>
        <v>0</v>
      </c>
      <c r="D43" s="181">
        <f t="shared" ref="D43:N43" si="30">+D42*D44</f>
        <v>136.68</v>
      </c>
      <c r="E43" s="181">
        <f t="shared" si="30"/>
        <v>23.457199999999997</v>
      </c>
      <c r="F43" s="181">
        <f t="shared" si="30"/>
        <v>-8.6331999999999987</v>
      </c>
      <c r="G43" s="181">
        <f t="shared" si="30"/>
        <v>183.60599999999999</v>
      </c>
      <c r="H43" s="181">
        <f t="shared" si="30"/>
        <v>341.16615000000002</v>
      </c>
      <c r="I43" s="181">
        <f t="shared" si="30"/>
        <v>166.391379</v>
      </c>
      <c r="J43" s="181">
        <f t="shared" si="30"/>
        <v>0</v>
      </c>
      <c r="K43" s="181">
        <f t="shared" si="30"/>
        <v>0</v>
      </c>
      <c r="L43" s="181">
        <f t="shared" si="30"/>
        <v>0</v>
      </c>
      <c r="M43" s="181">
        <f t="shared" si="30"/>
        <v>0</v>
      </c>
      <c r="N43" s="181">
        <f t="shared" si="30"/>
        <v>0</v>
      </c>
    </row>
    <row r="44" spans="2:14" ht="25.5">
      <c r="B44" s="79" t="s">
        <v>600</v>
      </c>
      <c r="C44" s="173">
        <v>668.8</v>
      </c>
      <c r="D44" s="173">
        <v>680</v>
      </c>
      <c r="E44" s="173">
        <v>694</v>
      </c>
      <c r="F44" s="173">
        <v>764</v>
      </c>
      <c r="G44" s="173">
        <v>852</v>
      </c>
      <c r="H44" s="173">
        <v>848.25</v>
      </c>
      <c r="I44" s="173">
        <v>884.59</v>
      </c>
      <c r="J44" s="174"/>
      <c r="K44" s="174"/>
      <c r="L44" s="174"/>
      <c r="M44" s="174"/>
      <c r="N44" s="174"/>
    </row>
    <row r="45" spans="2:14" ht="25.5">
      <c r="B45" s="48" t="s">
        <v>160</v>
      </c>
      <c r="C45" s="49" t="e">
        <f t="shared" ref="C45:N45" si="31">C40/C16</f>
        <v>#DIV/0!</v>
      </c>
      <c r="D45" s="49">
        <f t="shared" si="31"/>
        <v>8.5282828399258173E-2</v>
      </c>
      <c r="E45" s="49">
        <f t="shared" si="31"/>
        <v>2.8013686924511668E-2</v>
      </c>
      <c r="F45" s="49">
        <f t="shared" si="31"/>
        <v>-3.6073963452189026E-3</v>
      </c>
      <c r="G45" s="49">
        <f t="shared" si="31"/>
        <v>7.1402786984179067E-2</v>
      </c>
      <c r="H45" s="49">
        <f t="shared" si="31"/>
        <v>0.12712206765757922</v>
      </c>
      <c r="I45" s="49">
        <f t="shared" si="31"/>
        <v>5.9641752752857748E-2</v>
      </c>
      <c r="J45" s="49" t="e">
        <f t="shared" si="31"/>
        <v>#DIV/0!</v>
      </c>
      <c r="K45" s="49" t="e">
        <f t="shared" si="31"/>
        <v>#DIV/0!</v>
      </c>
      <c r="L45" s="49" t="e">
        <f t="shared" si="31"/>
        <v>#DIV/0!</v>
      </c>
      <c r="M45" s="49" t="e">
        <f t="shared" si="31"/>
        <v>#DIV/0!</v>
      </c>
      <c r="N45" s="49" t="e">
        <f t="shared" si="31"/>
        <v>#DIV/0!</v>
      </c>
    </row>
    <row r="46" spans="2:14" ht="25.5">
      <c r="B46" s="48" t="s">
        <v>382</v>
      </c>
      <c r="C46" s="49">
        <f>AVERAGE(G45:I45)</f>
        <v>8.6055535798205351E-2</v>
      </c>
      <c r="D46" s="49"/>
      <c r="E46" s="49"/>
      <c r="F46" s="49"/>
      <c r="G46" s="49"/>
      <c r="H46" s="49"/>
      <c r="I46" s="49"/>
      <c r="J46" s="49"/>
      <c r="K46" s="49"/>
      <c r="L46" s="49"/>
      <c r="M46" s="49"/>
      <c r="N46" s="49"/>
    </row>
    <row r="47" spans="2:14" ht="25.5">
      <c r="B47" s="48" t="s">
        <v>298</v>
      </c>
      <c r="C47" s="50">
        <f>+C146</f>
        <v>0</v>
      </c>
      <c r="D47" s="50">
        <f t="shared" ref="D47:N47" si="32">+D146</f>
        <v>525603000</v>
      </c>
      <c r="E47" s="50">
        <f t="shared" si="32"/>
        <v>232718000</v>
      </c>
      <c r="F47" s="50">
        <f t="shared" si="32"/>
        <v>410411000</v>
      </c>
      <c r="G47" s="50">
        <f t="shared" si="32"/>
        <v>744588000</v>
      </c>
      <c r="H47" s="50">
        <f t="shared" si="32"/>
        <v>215636000</v>
      </c>
      <c r="I47" s="50">
        <f t="shared" si="32"/>
        <v>49147000</v>
      </c>
      <c r="J47" s="50">
        <f t="shared" si="32"/>
        <v>0</v>
      </c>
      <c r="K47" s="50">
        <f t="shared" si="32"/>
        <v>0</v>
      </c>
      <c r="L47" s="50">
        <f t="shared" si="32"/>
        <v>0</v>
      </c>
      <c r="M47" s="50">
        <f t="shared" si="32"/>
        <v>0</v>
      </c>
      <c r="N47" s="50">
        <f t="shared" si="32"/>
        <v>0</v>
      </c>
    </row>
    <row r="48" spans="2:14" ht="25.5">
      <c r="B48" s="51" t="s">
        <v>119</v>
      </c>
      <c r="C48" s="51">
        <f>SUM(C50:C53)</f>
        <v>0</v>
      </c>
      <c r="D48" s="51">
        <f t="shared" ref="D48:F48" si="33">SUM(D50:D53)</f>
        <v>0</v>
      </c>
      <c r="E48" s="51">
        <f t="shared" si="33"/>
        <v>56</v>
      </c>
      <c r="F48" s="51">
        <f t="shared" si="33"/>
        <v>5.5</v>
      </c>
      <c r="G48" s="51">
        <f>SUM(G50:G53)</f>
        <v>160.79399999999998</v>
      </c>
      <c r="H48" s="51">
        <f>SUM(H50:H53)</f>
        <v>176.495</v>
      </c>
      <c r="I48" s="51">
        <f t="shared" ref="I48:N48" si="34">SUM(I50:I52)</f>
        <v>67.867999999999995</v>
      </c>
      <c r="J48" s="51">
        <f t="shared" si="34"/>
        <v>65.817999999999998</v>
      </c>
      <c r="K48" s="51">
        <f t="shared" si="34"/>
        <v>0</v>
      </c>
      <c r="L48" s="51">
        <f t="shared" si="34"/>
        <v>0</v>
      </c>
      <c r="M48" s="51">
        <f t="shared" si="34"/>
        <v>0</v>
      </c>
      <c r="N48" s="51">
        <f t="shared" si="34"/>
        <v>0</v>
      </c>
    </row>
    <row r="49" spans="2:16" ht="25.5">
      <c r="B49" s="51" t="s">
        <v>383</v>
      </c>
      <c r="C49" s="51">
        <f>+C50+C51</f>
        <v>0</v>
      </c>
      <c r="D49" s="51">
        <f t="shared" ref="D49:N49" si="35">+D50+D51</f>
        <v>0</v>
      </c>
      <c r="E49" s="51">
        <f t="shared" si="35"/>
        <v>40.186</v>
      </c>
      <c r="F49" s="51">
        <f t="shared" si="35"/>
        <v>5.5</v>
      </c>
      <c r="G49" s="51">
        <f>+G50+G51</f>
        <v>151.79399999999998</v>
      </c>
      <c r="H49" s="51">
        <f t="shared" si="35"/>
        <v>176.495</v>
      </c>
      <c r="I49" s="51">
        <f t="shared" si="35"/>
        <v>67.867999999999995</v>
      </c>
      <c r="J49" s="51">
        <f t="shared" si="35"/>
        <v>65.817999999999998</v>
      </c>
      <c r="K49" s="51">
        <f t="shared" si="35"/>
        <v>0</v>
      </c>
      <c r="L49" s="51">
        <f t="shared" si="35"/>
        <v>0</v>
      </c>
      <c r="M49" s="51">
        <f t="shared" si="35"/>
        <v>0</v>
      </c>
      <c r="N49" s="51">
        <f t="shared" si="35"/>
        <v>0</v>
      </c>
    </row>
    <row r="50" spans="2:16" ht="18">
      <c r="B50" s="135" t="s">
        <v>121</v>
      </c>
      <c r="C50" s="94"/>
      <c r="D50" s="94"/>
      <c r="E50" s="94">
        <v>18.186</v>
      </c>
      <c r="F50" s="94">
        <v>5.5</v>
      </c>
      <c r="G50" s="94">
        <f>46.044+3</f>
        <v>49.043999999999997</v>
      </c>
      <c r="H50" s="94">
        <v>36.692</v>
      </c>
      <c r="I50" s="155">
        <v>67.867999999999995</v>
      </c>
      <c r="J50" s="155">
        <v>22.626999999999999</v>
      </c>
      <c r="K50" s="155"/>
      <c r="L50" s="155"/>
      <c r="M50" s="155"/>
      <c r="N50" s="155"/>
    </row>
    <row r="51" spans="2:16" ht="18">
      <c r="B51" s="135" t="s">
        <v>122</v>
      </c>
      <c r="C51" s="94"/>
      <c r="D51" s="94"/>
      <c r="E51" s="94">
        <f>8+14</f>
        <v>22</v>
      </c>
      <c r="F51" s="94"/>
      <c r="G51" s="94">
        <f>78.724+24.026</f>
        <v>102.75</v>
      </c>
      <c r="H51" s="94">
        <f>70.55+69.253</f>
        <v>139.803</v>
      </c>
      <c r="I51" s="155"/>
      <c r="J51" s="155">
        <v>43.191000000000003</v>
      </c>
      <c r="K51" s="155"/>
      <c r="L51" s="155"/>
      <c r="M51" s="155"/>
      <c r="N51" s="155"/>
    </row>
    <row r="52" spans="2:16" ht="18">
      <c r="B52" s="135" t="s">
        <v>123</v>
      </c>
      <c r="C52" s="94"/>
      <c r="D52" s="94"/>
      <c r="E52" s="94">
        <v>15.814</v>
      </c>
      <c r="F52" s="94"/>
      <c r="G52" s="94"/>
      <c r="H52" s="94"/>
      <c r="I52" s="155"/>
      <c r="J52" s="155"/>
      <c r="K52" s="155"/>
      <c r="L52" s="155"/>
      <c r="M52" s="155"/>
      <c r="N52" s="155"/>
    </row>
    <row r="53" spans="2:16" ht="18">
      <c r="B53" s="135" t="s">
        <v>124</v>
      </c>
      <c r="C53" s="94"/>
      <c r="D53" s="94"/>
      <c r="E53" s="94"/>
      <c r="F53" s="94"/>
      <c r="G53" s="94">
        <v>9</v>
      </c>
      <c r="H53" s="94"/>
      <c r="I53" s="94"/>
      <c r="J53" s="94"/>
      <c r="K53" s="94"/>
      <c r="L53" s="94"/>
      <c r="M53" s="94"/>
      <c r="N53" s="94"/>
    </row>
    <row r="54" spans="2:16" ht="25.5">
      <c r="B54" s="541" t="s">
        <v>167</v>
      </c>
      <c r="C54" s="99" t="e">
        <f>(C51+C52+D50)/C43</f>
        <v>#DIV/0!</v>
      </c>
      <c r="D54" s="99">
        <f t="shared" ref="D54:N54" si="36">(D51+D52+E50)/D43</f>
        <v>0.13305531167690957</v>
      </c>
      <c r="E54" s="99">
        <f t="shared" si="36"/>
        <v>1.8465119451596954</v>
      </c>
      <c r="F54" s="99">
        <f t="shared" si="36"/>
        <v>-5.6808599360607888</v>
      </c>
      <c r="G54" s="99">
        <f t="shared" si="36"/>
        <v>0.75946319837042364</v>
      </c>
      <c r="H54" s="99">
        <f t="shared" si="36"/>
        <v>0.60870927552455012</v>
      </c>
      <c r="I54" s="99">
        <f t="shared" si="36"/>
        <v>0.13598661262372252</v>
      </c>
      <c r="J54" s="99" t="e">
        <f t="shared" si="36"/>
        <v>#DIV/0!</v>
      </c>
      <c r="K54" s="99" t="e">
        <f t="shared" si="36"/>
        <v>#DIV/0!</v>
      </c>
      <c r="L54" s="99" t="e">
        <f t="shared" si="36"/>
        <v>#DIV/0!</v>
      </c>
      <c r="M54" s="99" t="e">
        <f t="shared" si="36"/>
        <v>#DIV/0!</v>
      </c>
      <c r="N54" s="99" t="e">
        <f t="shared" si="36"/>
        <v>#DIV/0!</v>
      </c>
    </row>
    <row r="55" spans="2:16" ht="28.5">
      <c r="B55" s="540" t="s">
        <v>303</v>
      </c>
      <c r="C55" s="54">
        <f>AVERAGE(G54:I54)</f>
        <v>0.50138636217289878</v>
      </c>
      <c r="D55" s="54"/>
      <c r="E55" s="54"/>
      <c r="F55" s="54"/>
      <c r="G55" s="54"/>
      <c r="H55" s="54"/>
      <c r="I55" s="54"/>
      <c r="J55" s="54"/>
      <c r="K55" s="54"/>
      <c r="L55" s="54"/>
      <c r="M55" s="54"/>
      <c r="N55" s="54"/>
    </row>
    <row r="56" spans="2:16" ht="25.5">
      <c r="B56" s="541" t="s">
        <v>299</v>
      </c>
      <c r="C56" s="99">
        <f t="shared" ref="C56:N56" si="37">+C48/C21</f>
        <v>0</v>
      </c>
      <c r="D56" s="99">
        <f t="shared" si="37"/>
        <v>0</v>
      </c>
      <c r="E56" s="99">
        <f t="shared" si="37"/>
        <v>3.0434782608695653E-2</v>
      </c>
      <c r="F56" s="99">
        <f t="shared" si="37"/>
        <v>2.938034188034188E-3</v>
      </c>
      <c r="G56" s="99">
        <f t="shared" si="37"/>
        <v>0.11236477987421382</v>
      </c>
      <c r="H56" s="99">
        <f t="shared" si="37"/>
        <v>0.12455539872971066</v>
      </c>
      <c r="I56" s="99">
        <f t="shared" si="37"/>
        <v>3.9922352941176464E-2</v>
      </c>
      <c r="J56" s="99" t="e">
        <f t="shared" si="37"/>
        <v>#DIV/0!</v>
      </c>
      <c r="K56" s="99" t="e">
        <f t="shared" si="37"/>
        <v>#DIV/0!</v>
      </c>
      <c r="L56" s="99" t="e">
        <f t="shared" si="37"/>
        <v>#DIV/0!</v>
      </c>
      <c r="M56" s="99" t="e">
        <f t="shared" si="37"/>
        <v>#DIV/0!</v>
      </c>
      <c r="N56" s="99" t="e">
        <f t="shared" si="37"/>
        <v>#DIV/0!</v>
      </c>
    </row>
    <row r="57" spans="2:16" ht="25.5">
      <c r="B57" s="542" t="s">
        <v>384</v>
      </c>
      <c r="C57" s="534">
        <f>AVERAGE(G56:I56)</f>
        <v>9.2280843848366989E-2</v>
      </c>
      <c r="D57" s="534"/>
      <c r="E57" s="534"/>
      <c r="F57" s="534"/>
      <c r="G57" s="534"/>
      <c r="H57" s="534"/>
      <c r="I57" s="534"/>
      <c r="J57" s="534"/>
      <c r="K57" s="534"/>
      <c r="L57" s="534"/>
      <c r="M57" s="534"/>
      <c r="N57" s="534"/>
      <c r="O57" s="534"/>
      <c r="P57" s="534"/>
    </row>
    <row r="58" spans="2:16" ht="25.5">
      <c r="B58" s="543" t="s">
        <v>176</v>
      </c>
      <c r="C58" s="355" t="e">
        <f>+C45*(100%-C54)</f>
        <v>#DIV/0!</v>
      </c>
      <c r="D58" s="355">
        <f t="shared" ref="D58:N58" si="38">+D45*(100%-D54)</f>
        <v>7.393549508590648E-2</v>
      </c>
      <c r="E58" s="355">
        <f t="shared" si="38"/>
        <v>-2.3713920609563097E-2</v>
      </c>
      <c r="F58" s="549">
        <f t="shared" si="38"/>
        <v>-2.4100509716265081E-2</v>
      </c>
      <c r="G58" s="355">
        <f t="shared" si="38"/>
        <v>1.7174998008612379E-2</v>
      </c>
      <c r="H58" s="355">
        <f t="shared" si="38"/>
        <v>4.9741685950551326E-2</v>
      </c>
      <c r="I58" s="355">
        <f t="shared" si="38"/>
        <v>5.1531272825055041E-2</v>
      </c>
      <c r="J58" s="355" t="e">
        <f t="shared" si="38"/>
        <v>#DIV/0!</v>
      </c>
      <c r="K58" s="355" t="e">
        <f t="shared" si="38"/>
        <v>#DIV/0!</v>
      </c>
      <c r="L58" s="355" t="e">
        <f t="shared" si="38"/>
        <v>#DIV/0!</v>
      </c>
      <c r="M58" s="355" t="e">
        <f t="shared" si="38"/>
        <v>#DIV/0!</v>
      </c>
      <c r="N58" s="355" t="e">
        <f t="shared" si="38"/>
        <v>#DIV/0!</v>
      </c>
    </row>
    <row r="59" spans="2:16" ht="25.5">
      <c r="B59" s="542" t="s">
        <v>306</v>
      </c>
      <c r="C59" s="534">
        <f>AVERAGE(G58:I58)</f>
        <v>3.9482652261406244E-2</v>
      </c>
      <c r="D59" s="534"/>
      <c r="E59" s="534"/>
      <c r="F59" s="534"/>
      <c r="G59" s="534"/>
      <c r="H59" s="534"/>
      <c r="I59" s="534"/>
      <c r="J59" s="534"/>
      <c r="K59" s="534"/>
      <c r="L59" s="534"/>
      <c r="M59" s="534"/>
      <c r="N59" s="534"/>
      <c r="O59" s="534"/>
    </row>
    <row r="61" spans="2:16">
      <c r="B61" s="75" t="s">
        <v>307</v>
      </c>
    </row>
    <row r="62" spans="2:16" ht="14.65" thickBot="1"/>
    <row r="63" spans="2:16">
      <c r="B63" s="57" t="s">
        <v>385</v>
      </c>
      <c r="C63" s="158">
        <v>2017</v>
      </c>
      <c r="D63" s="158">
        <v>2018</v>
      </c>
      <c r="E63" s="158">
        <v>2019</v>
      </c>
      <c r="F63" s="158">
        <v>2020</v>
      </c>
      <c r="G63" s="158">
        <v>2021</v>
      </c>
      <c r="H63" s="158">
        <v>2022</v>
      </c>
      <c r="I63" s="158">
        <v>2023</v>
      </c>
      <c r="J63" s="158">
        <v>2024</v>
      </c>
      <c r="K63" s="158">
        <v>2025</v>
      </c>
      <c r="L63" s="158">
        <v>2026</v>
      </c>
      <c r="M63" s="158">
        <v>2027</v>
      </c>
      <c r="N63" s="158">
        <v>2028</v>
      </c>
    </row>
    <row r="64" spans="2:16">
      <c r="B64" s="157" t="s">
        <v>309</v>
      </c>
      <c r="C64" s="66"/>
      <c r="D64" s="66"/>
      <c r="E64" s="66"/>
      <c r="F64" s="66"/>
      <c r="G64" s="66"/>
      <c r="H64" s="66"/>
      <c r="I64" s="66"/>
      <c r="J64" s="66"/>
      <c r="K64" s="66"/>
      <c r="L64" s="66"/>
      <c r="M64" s="66"/>
      <c r="N64" s="66"/>
    </row>
    <row r="65" spans="2:14">
      <c r="B65" s="58" t="s">
        <v>310</v>
      </c>
      <c r="C65" s="64"/>
      <c r="D65" s="64">
        <v>3756383000</v>
      </c>
      <c r="E65" s="64">
        <v>3457065000</v>
      </c>
      <c r="F65" s="69">
        <v>3577658000</v>
      </c>
      <c r="G65" s="64">
        <v>4233805000</v>
      </c>
      <c r="H65" s="64">
        <v>4683116000</v>
      </c>
      <c r="I65" s="64">
        <v>4572339000</v>
      </c>
      <c r="J65" s="64"/>
      <c r="K65" s="64"/>
      <c r="L65" s="64"/>
      <c r="M65" s="64"/>
      <c r="N65" s="64"/>
    </row>
    <row r="66" spans="2:14">
      <c r="B66" s="59" t="s">
        <v>386</v>
      </c>
      <c r="C66" s="66"/>
      <c r="D66" s="66"/>
      <c r="E66" s="66"/>
      <c r="F66" s="66"/>
      <c r="G66" s="66"/>
      <c r="H66" s="160"/>
      <c r="I66" s="66"/>
      <c r="J66" s="66"/>
      <c r="K66" s="66"/>
      <c r="L66" s="66"/>
      <c r="M66" s="66"/>
      <c r="N66" s="66"/>
    </row>
    <row r="67" spans="2:14">
      <c r="B67" s="59" t="s">
        <v>387</v>
      </c>
      <c r="C67" s="139"/>
      <c r="D67" s="133"/>
      <c r="E67" s="133"/>
      <c r="F67" s="358"/>
      <c r="G67" s="66"/>
      <c r="H67" s="160"/>
      <c r="I67" s="66"/>
      <c r="J67" s="66"/>
      <c r="K67" s="66"/>
      <c r="L67" s="66"/>
      <c r="M67" s="66"/>
      <c r="N67" s="66"/>
    </row>
    <row r="68" spans="2:14">
      <c r="B68" s="59" t="s">
        <v>388</v>
      </c>
      <c r="C68" s="66"/>
      <c r="D68" s="66"/>
      <c r="E68" s="66"/>
      <c r="F68" s="66"/>
      <c r="G68" s="66"/>
      <c r="H68" s="160"/>
      <c r="I68" s="66"/>
      <c r="J68" s="66"/>
      <c r="K68" s="66"/>
      <c r="L68" s="66"/>
      <c r="M68" s="66"/>
      <c r="N68" s="66"/>
    </row>
    <row r="69" spans="2:14">
      <c r="B69" s="59" t="s">
        <v>389</v>
      </c>
      <c r="C69" s="359"/>
      <c r="D69" s="359">
        <v>970029000</v>
      </c>
      <c r="E69" s="359">
        <v>855612000</v>
      </c>
      <c r="F69" s="359">
        <v>839909000</v>
      </c>
      <c r="G69" s="66">
        <v>1099698000</v>
      </c>
      <c r="H69" s="160">
        <v>1356795000</v>
      </c>
      <c r="I69" s="66">
        <v>1179664000</v>
      </c>
      <c r="J69" s="66"/>
      <c r="K69" s="66"/>
      <c r="L69" s="66"/>
      <c r="M69" s="66"/>
      <c r="N69" s="66"/>
    </row>
    <row r="70" spans="2:14">
      <c r="B70" s="59" t="s">
        <v>390</v>
      </c>
      <c r="C70" s="359"/>
      <c r="D70" s="359"/>
      <c r="E70" s="359"/>
      <c r="F70" s="359"/>
      <c r="G70" s="360"/>
      <c r="H70" s="359"/>
      <c r="I70" s="66"/>
      <c r="J70" s="66"/>
      <c r="K70" s="66"/>
      <c r="L70" s="66"/>
      <c r="M70" s="66"/>
      <c r="N70" s="66"/>
    </row>
    <row r="71" spans="2:14">
      <c r="B71" s="59" t="s">
        <v>391</v>
      </c>
      <c r="C71" s="359"/>
      <c r="D71" s="359">
        <v>1264442000</v>
      </c>
      <c r="E71" s="359">
        <v>1280141000</v>
      </c>
      <c r="F71" s="359">
        <v>1211768000</v>
      </c>
      <c r="G71" s="66">
        <v>1311879000</v>
      </c>
      <c r="H71" s="160">
        <v>1720023000</v>
      </c>
      <c r="I71" s="66">
        <v>1555429000</v>
      </c>
      <c r="J71" s="66"/>
      <c r="K71" s="66"/>
      <c r="L71" s="66"/>
      <c r="M71" s="66"/>
      <c r="N71" s="66"/>
    </row>
    <row r="72" spans="2:14">
      <c r="B72" s="59" t="s">
        <v>392</v>
      </c>
      <c r="C72" s="66"/>
      <c r="D72" s="66"/>
      <c r="E72" s="66"/>
      <c r="F72" s="66"/>
      <c r="G72" s="66"/>
      <c r="H72" s="160"/>
      <c r="I72" s="66"/>
      <c r="J72" s="66"/>
      <c r="K72" s="66"/>
      <c r="L72" s="66"/>
      <c r="M72" s="66"/>
      <c r="N72" s="66"/>
    </row>
    <row r="73" spans="2:14">
      <c r="B73" s="59" t="s">
        <v>318</v>
      </c>
      <c r="C73" s="66">
        <f t="shared" ref="C73:M73" si="39">+C65-C66-C71-C72-C70-C69-C68-C67</f>
        <v>0</v>
      </c>
      <c r="D73" s="66">
        <f t="shared" si="39"/>
        <v>1521912000</v>
      </c>
      <c r="E73" s="66">
        <f t="shared" si="39"/>
        <v>1321312000</v>
      </c>
      <c r="F73" s="66">
        <f t="shared" si="39"/>
        <v>1525981000</v>
      </c>
      <c r="G73" s="66">
        <f t="shared" si="39"/>
        <v>1822228000</v>
      </c>
      <c r="H73" s="66">
        <f t="shared" si="39"/>
        <v>1606298000</v>
      </c>
      <c r="I73" s="66">
        <f t="shared" si="39"/>
        <v>1837246000</v>
      </c>
      <c r="J73" s="66">
        <f t="shared" si="39"/>
        <v>0</v>
      </c>
      <c r="K73" s="66">
        <f t="shared" si="39"/>
        <v>0</v>
      </c>
      <c r="L73" s="66">
        <f t="shared" si="39"/>
        <v>0</v>
      </c>
      <c r="M73" s="66">
        <f t="shared" si="39"/>
        <v>0</v>
      </c>
      <c r="N73" s="66"/>
    </row>
    <row r="74" spans="2:14">
      <c r="B74" s="58" t="s">
        <v>319</v>
      </c>
      <c r="C74" s="64"/>
      <c r="D74" s="64">
        <v>11226928000</v>
      </c>
      <c r="E74" s="64">
        <v>11498731000</v>
      </c>
      <c r="F74" s="69">
        <v>11149295000</v>
      </c>
      <c r="G74" s="64">
        <v>10992484000</v>
      </c>
      <c r="H74" s="141">
        <v>11888055000</v>
      </c>
      <c r="I74" s="64">
        <v>12604161000</v>
      </c>
      <c r="J74" s="64"/>
      <c r="K74" s="64"/>
      <c r="L74" s="64"/>
      <c r="M74" s="64"/>
      <c r="N74" s="64"/>
    </row>
    <row r="75" spans="2:14">
      <c r="B75" s="59" t="s">
        <v>393</v>
      </c>
      <c r="C75" s="66"/>
      <c r="D75" s="66"/>
      <c r="E75" s="66"/>
      <c r="F75" s="66"/>
      <c r="G75" s="67"/>
      <c r="H75" s="131"/>
      <c r="I75" s="66"/>
      <c r="J75" s="66"/>
      <c r="K75" s="66"/>
      <c r="L75" s="66"/>
      <c r="M75" s="66"/>
      <c r="N75" s="66"/>
    </row>
    <row r="76" spans="2:14">
      <c r="B76" s="59" t="s">
        <v>394</v>
      </c>
      <c r="C76" s="66"/>
      <c r="D76" s="66"/>
      <c r="E76" s="66"/>
      <c r="F76" s="66"/>
      <c r="G76" s="67"/>
      <c r="H76" s="131"/>
      <c r="I76" s="66"/>
      <c r="J76" s="66"/>
      <c r="K76" s="66"/>
      <c r="L76" s="66"/>
      <c r="M76" s="66"/>
      <c r="N76" s="66"/>
    </row>
    <row r="77" spans="2:14">
      <c r="B77" s="59" t="s">
        <v>487</v>
      </c>
      <c r="C77" s="66"/>
      <c r="D77" s="66"/>
      <c r="E77" s="66"/>
      <c r="F77" s="66"/>
      <c r="G77" s="66"/>
      <c r="H77" s="160"/>
      <c r="I77" s="66"/>
      <c r="J77" s="66"/>
      <c r="K77" s="66"/>
      <c r="L77" s="66"/>
      <c r="M77" s="66"/>
      <c r="N77" s="66"/>
    </row>
    <row r="78" spans="2:14">
      <c r="B78" s="59" t="s">
        <v>396</v>
      </c>
      <c r="C78" s="66"/>
      <c r="D78" s="66"/>
      <c r="E78" s="66"/>
      <c r="F78" s="66"/>
      <c r="G78" s="66"/>
      <c r="H78" s="160"/>
      <c r="I78" s="66"/>
      <c r="J78" s="66"/>
      <c r="K78" s="66"/>
      <c r="L78" s="66"/>
      <c r="M78" s="66"/>
      <c r="N78" s="66"/>
    </row>
    <row r="79" spans="2:14">
      <c r="B79" s="59" t="s">
        <v>397</v>
      </c>
      <c r="C79" s="66"/>
      <c r="D79" s="66"/>
      <c r="E79" s="66"/>
      <c r="F79" s="66"/>
      <c r="G79" s="66"/>
      <c r="H79" s="160"/>
      <c r="I79" s="66"/>
      <c r="J79" s="66"/>
      <c r="K79" s="66"/>
      <c r="L79" s="66"/>
      <c r="M79" s="66"/>
      <c r="N79" s="66"/>
    </row>
    <row r="80" spans="2:14">
      <c r="B80" s="59" t="s">
        <v>398</v>
      </c>
      <c r="C80" s="66"/>
      <c r="D80" s="66">
        <v>7695455000</v>
      </c>
      <c r="E80" s="66">
        <v>7808616000</v>
      </c>
      <c r="F80" s="68">
        <v>7290523000</v>
      </c>
      <c r="G80" s="66">
        <v>7133464000</v>
      </c>
      <c r="H80" s="160">
        <v>7630759000</v>
      </c>
      <c r="I80" s="66">
        <v>8025198000</v>
      </c>
      <c r="J80" s="66"/>
      <c r="K80" s="66"/>
      <c r="L80" s="66"/>
      <c r="M80" s="66"/>
      <c r="N80" s="66"/>
    </row>
    <row r="81" spans="2:14">
      <c r="B81" s="59" t="s">
        <v>399</v>
      </c>
      <c r="C81" s="66"/>
      <c r="D81" s="66"/>
      <c r="E81" s="66"/>
      <c r="F81" s="66"/>
      <c r="G81" s="66"/>
      <c r="H81" s="66"/>
      <c r="I81" s="66"/>
      <c r="J81" s="66"/>
      <c r="K81" s="66"/>
      <c r="L81" s="66"/>
      <c r="M81" s="66"/>
      <c r="N81" s="66"/>
    </row>
    <row r="82" spans="2:14">
      <c r="B82" s="59" t="s">
        <v>400</v>
      </c>
      <c r="C82" s="66"/>
      <c r="D82" s="66"/>
      <c r="E82" s="66"/>
      <c r="F82" s="161"/>
      <c r="G82" s="66"/>
      <c r="H82" s="160"/>
      <c r="I82" s="66"/>
      <c r="J82" s="66"/>
      <c r="K82" s="66"/>
      <c r="L82" s="66"/>
      <c r="M82" s="66"/>
      <c r="N82" s="66"/>
    </row>
    <row r="83" spans="2:14">
      <c r="B83" s="59" t="s">
        <v>401</v>
      </c>
      <c r="C83" s="66"/>
      <c r="D83" s="66"/>
      <c r="E83" s="66"/>
      <c r="F83" s="66"/>
      <c r="G83" s="66"/>
      <c r="H83" s="160"/>
      <c r="I83" s="66"/>
      <c r="J83" s="66"/>
      <c r="K83" s="66"/>
      <c r="L83" s="66"/>
      <c r="M83" s="66"/>
      <c r="N83" s="66"/>
    </row>
    <row r="84" spans="2:14">
      <c r="B84" s="59" t="s">
        <v>328</v>
      </c>
      <c r="C84" s="66">
        <f t="shared" ref="C84:M84" si="40">+C74-C81-C82-C80-C75-C83-C79-C78-C77-C76</f>
        <v>0</v>
      </c>
      <c r="D84" s="66">
        <f t="shared" si="40"/>
        <v>3531473000</v>
      </c>
      <c r="E84" s="66">
        <f t="shared" si="40"/>
        <v>3690115000</v>
      </c>
      <c r="F84" s="66">
        <f t="shared" si="40"/>
        <v>3858772000</v>
      </c>
      <c r="G84" s="66">
        <f t="shared" si="40"/>
        <v>3859020000</v>
      </c>
      <c r="H84" s="66">
        <f t="shared" si="40"/>
        <v>4257296000</v>
      </c>
      <c r="I84" s="66">
        <f t="shared" si="40"/>
        <v>4578963000</v>
      </c>
      <c r="J84" s="66">
        <f t="shared" si="40"/>
        <v>0</v>
      </c>
      <c r="K84" s="66">
        <f t="shared" si="40"/>
        <v>0</v>
      </c>
      <c r="L84" s="66">
        <f t="shared" si="40"/>
        <v>0</v>
      </c>
      <c r="M84" s="66">
        <f t="shared" si="40"/>
        <v>0</v>
      </c>
      <c r="N84" s="66"/>
    </row>
    <row r="85" spans="2:14" ht="14.65" thickBot="1">
      <c r="B85" s="60" t="s">
        <v>329</v>
      </c>
      <c r="C85" s="70">
        <f t="shared" ref="C85:I85" si="41">+C74+C65</f>
        <v>0</v>
      </c>
      <c r="D85" s="70">
        <f t="shared" si="41"/>
        <v>14983311000</v>
      </c>
      <c r="E85" s="70">
        <f t="shared" si="41"/>
        <v>14955796000</v>
      </c>
      <c r="F85" s="70">
        <f t="shared" si="41"/>
        <v>14726953000</v>
      </c>
      <c r="G85" s="70">
        <f t="shared" si="41"/>
        <v>15226289000</v>
      </c>
      <c r="H85" s="162">
        <f t="shared" si="41"/>
        <v>16571171000</v>
      </c>
      <c r="I85" s="162">
        <f t="shared" si="41"/>
        <v>17176500000</v>
      </c>
      <c r="J85" s="70"/>
      <c r="K85" s="70"/>
      <c r="L85" s="70"/>
      <c r="M85" s="70"/>
      <c r="N85" s="70"/>
    </row>
    <row r="86" spans="2:14" ht="14.65" thickBot="1">
      <c r="B86" s="61"/>
      <c r="C86" s="72"/>
      <c r="D86" s="72"/>
      <c r="E86" s="72"/>
      <c r="F86" s="72"/>
      <c r="G86" s="72"/>
      <c r="H86" s="163"/>
      <c r="I86" s="72"/>
      <c r="J86" s="72"/>
      <c r="K86" s="72"/>
      <c r="L86" s="72"/>
      <c r="M86" s="72"/>
      <c r="N86" s="72"/>
    </row>
    <row r="87" spans="2:14">
      <c r="B87" s="57" t="s">
        <v>330</v>
      </c>
      <c r="C87" s="62"/>
      <c r="D87" s="62"/>
      <c r="E87" s="62"/>
      <c r="F87" s="62"/>
      <c r="G87" s="62"/>
      <c r="H87" s="164"/>
      <c r="I87" s="62"/>
      <c r="J87" s="62"/>
      <c r="K87" s="62"/>
      <c r="L87" s="62"/>
      <c r="M87" s="62"/>
      <c r="N87" s="62"/>
    </row>
    <row r="88" spans="2:14">
      <c r="B88" s="58" t="s">
        <v>310</v>
      </c>
      <c r="C88" s="64"/>
      <c r="D88" s="64">
        <v>1650581000</v>
      </c>
      <c r="E88" s="64">
        <v>1525070000</v>
      </c>
      <c r="F88" s="64">
        <v>1195048000</v>
      </c>
      <c r="G88" s="64">
        <v>2052702000</v>
      </c>
      <c r="H88" s="141">
        <v>2399407000</v>
      </c>
      <c r="I88" s="64">
        <v>2476374000</v>
      </c>
      <c r="J88" s="64"/>
      <c r="K88" s="64"/>
      <c r="L88" s="64"/>
      <c r="M88" s="64"/>
      <c r="N88" s="64"/>
    </row>
    <row r="89" spans="2:14">
      <c r="B89" s="59" t="s">
        <v>402</v>
      </c>
      <c r="C89" s="66"/>
      <c r="D89" s="66"/>
      <c r="E89" s="66"/>
      <c r="F89" s="66"/>
      <c r="G89" s="66"/>
      <c r="H89" s="160"/>
      <c r="I89" s="66"/>
      <c r="J89" s="66"/>
      <c r="K89" s="66"/>
      <c r="L89" s="66"/>
      <c r="M89" s="66"/>
      <c r="N89" s="66"/>
    </row>
    <row r="90" spans="2:14">
      <c r="B90" s="59" t="s">
        <v>403</v>
      </c>
      <c r="C90" s="66"/>
      <c r="D90" s="66"/>
      <c r="E90" s="66"/>
      <c r="F90" s="66"/>
      <c r="G90" s="66"/>
      <c r="H90" s="160"/>
      <c r="I90" s="66"/>
      <c r="J90" s="66"/>
      <c r="K90" s="66"/>
      <c r="L90" s="66"/>
      <c r="M90" s="66"/>
      <c r="N90" s="66"/>
    </row>
    <row r="91" spans="2:14">
      <c r="B91" s="59" t="s">
        <v>404</v>
      </c>
      <c r="C91" s="66"/>
      <c r="D91" s="66"/>
      <c r="E91" s="66"/>
      <c r="F91" s="66"/>
      <c r="G91" s="66"/>
      <c r="H91" s="160"/>
      <c r="I91" s="66"/>
      <c r="J91" s="66"/>
      <c r="K91" s="66"/>
      <c r="L91" s="66"/>
      <c r="M91" s="66"/>
      <c r="N91" s="66"/>
    </row>
    <row r="92" spans="2:14">
      <c r="B92" s="59" t="s">
        <v>405</v>
      </c>
      <c r="C92" s="66"/>
      <c r="D92" s="66">
        <v>824252000</v>
      </c>
      <c r="E92" s="66">
        <v>814273000</v>
      </c>
      <c r="F92" s="66">
        <v>736348000</v>
      </c>
      <c r="G92" s="66">
        <v>884560000</v>
      </c>
      <c r="H92" s="160">
        <v>1153616000</v>
      </c>
      <c r="I92" s="66">
        <v>1184571000</v>
      </c>
      <c r="J92" s="66"/>
      <c r="K92" s="66"/>
      <c r="L92" s="66"/>
      <c r="M92" s="66"/>
      <c r="N92" s="66"/>
    </row>
    <row r="93" spans="2:14">
      <c r="B93" s="59" t="s">
        <v>406</v>
      </c>
      <c r="C93" s="66"/>
      <c r="D93" s="66"/>
      <c r="E93" s="66"/>
      <c r="F93" s="66"/>
      <c r="G93" s="66"/>
      <c r="H93" s="131"/>
      <c r="I93" s="66"/>
      <c r="J93" s="66"/>
      <c r="K93" s="66"/>
      <c r="L93" s="66"/>
      <c r="M93" s="66"/>
      <c r="N93" s="66"/>
    </row>
    <row r="94" spans="2:14">
      <c r="B94" s="59" t="s">
        <v>407</v>
      </c>
      <c r="C94" s="66"/>
      <c r="D94" s="66"/>
      <c r="E94" s="66"/>
      <c r="F94" s="66"/>
      <c r="G94" s="66"/>
      <c r="H94" s="160"/>
      <c r="I94" s="66"/>
      <c r="J94" s="66"/>
      <c r="K94" s="66"/>
      <c r="L94" s="66"/>
      <c r="M94" s="66"/>
      <c r="N94" s="66"/>
    </row>
    <row r="95" spans="2:14">
      <c r="B95" s="59" t="s">
        <v>408</v>
      </c>
      <c r="C95" s="66"/>
      <c r="D95" s="66"/>
      <c r="E95" s="66"/>
      <c r="F95" s="66"/>
      <c r="G95" s="66"/>
      <c r="H95" s="131"/>
      <c r="I95" s="66"/>
      <c r="J95" s="66"/>
      <c r="K95" s="66"/>
      <c r="L95" s="66"/>
      <c r="M95" s="66"/>
      <c r="N95" s="66"/>
    </row>
    <row r="96" spans="2:14">
      <c r="B96" s="59" t="s">
        <v>409</v>
      </c>
      <c r="C96" s="66"/>
      <c r="D96" s="66"/>
      <c r="E96" s="66"/>
      <c r="F96" s="66"/>
      <c r="G96" s="66"/>
      <c r="H96" s="160"/>
      <c r="I96" s="66"/>
      <c r="J96" s="66"/>
      <c r="K96" s="66"/>
      <c r="L96" s="66"/>
      <c r="M96" s="66"/>
      <c r="N96" s="66"/>
    </row>
    <row r="97" spans="2:14">
      <c r="B97" s="59" t="s">
        <v>410</v>
      </c>
      <c r="C97" s="66">
        <f t="shared" ref="C97:M97" si="42">+C88-C89-C95-C96-C94-C93-C92-C91-C90</f>
        <v>0</v>
      </c>
      <c r="D97" s="66">
        <f t="shared" si="42"/>
        <v>826329000</v>
      </c>
      <c r="E97" s="66">
        <f t="shared" si="42"/>
        <v>710797000</v>
      </c>
      <c r="F97" s="66">
        <f t="shared" si="42"/>
        <v>458700000</v>
      </c>
      <c r="G97" s="66">
        <f t="shared" si="42"/>
        <v>1168142000</v>
      </c>
      <c r="H97" s="66">
        <f t="shared" si="42"/>
        <v>1245791000</v>
      </c>
      <c r="I97" s="66">
        <f>+I88-I89-I95-I96-I94-I93-I92-I91-I90</f>
        <v>1291803000</v>
      </c>
      <c r="J97" s="66">
        <f t="shared" si="42"/>
        <v>0</v>
      </c>
      <c r="K97" s="66">
        <f t="shared" si="42"/>
        <v>0</v>
      </c>
      <c r="L97" s="66">
        <f t="shared" si="42"/>
        <v>0</v>
      </c>
      <c r="M97" s="66">
        <f t="shared" si="42"/>
        <v>0</v>
      </c>
      <c r="N97" s="66"/>
    </row>
    <row r="98" spans="2:14">
      <c r="B98" s="58" t="s">
        <v>319</v>
      </c>
      <c r="C98" s="361"/>
      <c r="D98" s="362">
        <v>5088712000</v>
      </c>
      <c r="E98" s="362">
        <v>5295151000</v>
      </c>
      <c r="F98" s="363">
        <v>5665768000</v>
      </c>
      <c r="G98" s="364">
        <v>5624647000</v>
      </c>
      <c r="H98" s="364">
        <v>6261751000</v>
      </c>
      <c r="I98" s="64">
        <v>6816037000</v>
      </c>
      <c r="J98" s="64"/>
      <c r="K98" s="64"/>
      <c r="L98" s="64"/>
      <c r="M98" s="64"/>
      <c r="N98" s="64"/>
    </row>
    <row r="99" spans="2:14">
      <c r="B99" s="59" t="s">
        <v>411</v>
      </c>
      <c r="C99" s="66"/>
      <c r="D99" s="66">
        <v>3436223000</v>
      </c>
      <c r="E99" s="66">
        <v>3432197000</v>
      </c>
      <c r="F99" s="66">
        <v>3780959000</v>
      </c>
      <c r="G99" s="66">
        <v>3630779000</v>
      </c>
      <c r="H99" s="160">
        <v>4184570000</v>
      </c>
      <c r="I99" s="66">
        <v>4764494000</v>
      </c>
      <c r="J99" s="66"/>
      <c r="K99" s="66"/>
      <c r="L99" s="66"/>
      <c r="M99" s="66"/>
      <c r="N99" s="66"/>
    </row>
    <row r="100" spans="2:14">
      <c r="B100" s="59" t="s">
        <v>412</v>
      </c>
      <c r="C100" s="66"/>
      <c r="D100" s="66"/>
      <c r="E100" s="66"/>
      <c r="F100" s="66"/>
      <c r="G100" s="66"/>
      <c r="H100" s="160"/>
      <c r="I100" s="66"/>
      <c r="J100" s="66"/>
      <c r="K100" s="66"/>
      <c r="L100" s="66"/>
      <c r="M100" s="66"/>
      <c r="N100" s="66"/>
    </row>
    <row r="101" spans="2:14">
      <c r="B101" s="59" t="s">
        <v>413</v>
      </c>
      <c r="C101" s="66"/>
      <c r="D101" s="66"/>
      <c r="E101" s="66"/>
      <c r="F101" s="66"/>
      <c r="G101" s="66"/>
      <c r="H101" s="160"/>
      <c r="I101" s="66"/>
      <c r="J101" s="66"/>
      <c r="K101" s="66"/>
      <c r="L101" s="66"/>
      <c r="M101" s="66"/>
      <c r="N101" s="66"/>
    </row>
    <row r="102" spans="2:14">
      <c r="B102" s="59" t="s">
        <v>414</v>
      </c>
      <c r="C102" s="66"/>
      <c r="D102" s="66"/>
      <c r="E102" s="66"/>
      <c r="F102" s="66"/>
      <c r="G102" s="66"/>
      <c r="H102" s="160"/>
      <c r="I102" s="66"/>
      <c r="J102" s="66"/>
      <c r="K102" s="66"/>
      <c r="L102" s="66"/>
      <c r="M102" s="66"/>
      <c r="N102" s="66"/>
    </row>
    <row r="103" spans="2:14">
      <c r="B103" s="59" t="s">
        <v>341</v>
      </c>
      <c r="C103" s="66">
        <f t="shared" ref="C103:M103" si="43">+C98-C99-C101-C102-C100</f>
        <v>0</v>
      </c>
      <c r="D103" s="66">
        <f t="shared" si="43"/>
        <v>1652489000</v>
      </c>
      <c r="E103" s="66">
        <f t="shared" si="43"/>
        <v>1862954000</v>
      </c>
      <c r="F103" s="66">
        <f t="shared" si="43"/>
        <v>1884809000</v>
      </c>
      <c r="G103" s="66">
        <f t="shared" si="43"/>
        <v>1993868000</v>
      </c>
      <c r="H103" s="66">
        <f t="shared" si="43"/>
        <v>2077181000</v>
      </c>
      <c r="I103" s="66">
        <f t="shared" si="43"/>
        <v>2051543000</v>
      </c>
      <c r="J103" s="66">
        <f t="shared" si="43"/>
        <v>0</v>
      </c>
      <c r="K103" s="66">
        <f t="shared" si="43"/>
        <v>0</v>
      </c>
      <c r="L103" s="66">
        <f t="shared" si="43"/>
        <v>0</v>
      </c>
      <c r="M103" s="66">
        <f t="shared" si="43"/>
        <v>0</v>
      </c>
      <c r="N103" s="66"/>
    </row>
    <row r="104" spans="2:14" ht="14.65" thickBot="1">
      <c r="B104" s="60" t="s">
        <v>342</v>
      </c>
      <c r="C104" s="70">
        <f t="shared" ref="C104:I104" si="44">+C98+C88</f>
        <v>0</v>
      </c>
      <c r="D104" s="70">
        <f t="shared" si="44"/>
        <v>6739293000</v>
      </c>
      <c r="E104" s="70">
        <f t="shared" si="44"/>
        <v>6820221000</v>
      </c>
      <c r="F104" s="70">
        <f t="shared" si="44"/>
        <v>6860816000</v>
      </c>
      <c r="G104" s="70">
        <f t="shared" si="44"/>
        <v>7677349000</v>
      </c>
      <c r="H104" s="162">
        <f t="shared" si="44"/>
        <v>8661158000</v>
      </c>
      <c r="I104" s="162">
        <f t="shared" si="44"/>
        <v>9292411000</v>
      </c>
      <c r="J104" s="70"/>
      <c r="K104" s="70"/>
      <c r="L104" s="70"/>
      <c r="M104" s="70"/>
      <c r="N104" s="70"/>
    </row>
    <row r="105" spans="2:14" ht="14.65" thickBot="1">
      <c r="B105" s="61"/>
      <c r="C105" s="61"/>
      <c r="D105" s="61"/>
      <c r="E105" s="61"/>
      <c r="F105" s="61"/>
      <c r="G105" s="61"/>
      <c r="H105" s="61"/>
      <c r="I105" s="61"/>
      <c r="J105" s="61"/>
      <c r="K105" s="61"/>
      <c r="L105" s="61"/>
      <c r="M105" s="61"/>
      <c r="N105" s="61"/>
    </row>
    <row r="106" spans="2:14" ht="14.65" thickBot="1">
      <c r="B106" s="57" t="s">
        <v>343</v>
      </c>
      <c r="C106" s="62"/>
      <c r="D106" s="62"/>
      <c r="E106" s="62"/>
      <c r="F106" s="62"/>
      <c r="G106" s="62"/>
      <c r="H106" s="164"/>
      <c r="I106" s="62"/>
      <c r="J106" s="62"/>
      <c r="K106" s="62"/>
      <c r="L106" s="62"/>
      <c r="M106" s="62"/>
      <c r="N106" s="62"/>
    </row>
    <row r="107" spans="2:14">
      <c r="B107" s="59" t="s">
        <v>415</v>
      </c>
      <c r="C107" s="62"/>
      <c r="D107" s="160">
        <v>1453728000</v>
      </c>
      <c r="E107" s="160">
        <v>1453728000</v>
      </c>
      <c r="F107" s="160">
        <v>1453728000</v>
      </c>
      <c r="G107" s="160">
        <v>1453728000</v>
      </c>
      <c r="H107" s="160">
        <v>1453728000</v>
      </c>
      <c r="I107" s="160">
        <v>1453728000</v>
      </c>
      <c r="J107" s="160"/>
      <c r="K107" s="160"/>
      <c r="L107" s="160"/>
      <c r="M107" s="160"/>
      <c r="N107" s="160"/>
    </row>
    <row r="108" spans="2:14">
      <c r="B108" s="59" t="s">
        <v>416</v>
      </c>
      <c r="C108" s="66"/>
      <c r="D108" s="66">
        <v>7157302000</v>
      </c>
      <c r="E108" s="68">
        <v>7154299000</v>
      </c>
      <c r="F108" s="66">
        <v>7135232000</v>
      </c>
      <c r="G108" s="66">
        <v>7058897000</v>
      </c>
      <c r="H108" s="160">
        <v>7461257000</v>
      </c>
      <c r="I108" s="66">
        <v>7754902000</v>
      </c>
      <c r="J108" s="66"/>
      <c r="K108" s="66"/>
      <c r="L108" s="66"/>
      <c r="M108" s="66"/>
      <c r="N108" s="66"/>
    </row>
    <row r="109" spans="2:14">
      <c r="B109" s="59" t="s">
        <v>345</v>
      </c>
      <c r="C109" s="66"/>
      <c r="D109" s="66">
        <v>-369195000</v>
      </c>
      <c r="E109" s="66">
        <v>-474717000</v>
      </c>
      <c r="F109" s="66">
        <v>-725671000</v>
      </c>
      <c r="G109" s="66">
        <v>-966547000</v>
      </c>
      <c r="H109" s="160">
        <v>-1006248000</v>
      </c>
      <c r="I109" s="66">
        <v>-1324187000</v>
      </c>
      <c r="J109" s="66"/>
      <c r="K109" s="66"/>
      <c r="L109" s="66"/>
      <c r="M109" s="66"/>
      <c r="N109" s="66"/>
    </row>
    <row r="110" spans="2:14">
      <c r="B110" s="59" t="s">
        <v>419</v>
      </c>
      <c r="C110" s="66"/>
      <c r="D110" s="66">
        <v>2183000</v>
      </c>
      <c r="E110" s="66">
        <v>2265000</v>
      </c>
      <c r="F110" s="66">
        <v>2848000</v>
      </c>
      <c r="G110" s="66">
        <v>2872000</v>
      </c>
      <c r="H110" s="160">
        <v>2084000</v>
      </c>
      <c r="I110" s="66">
        <v>454000</v>
      </c>
      <c r="J110" s="66"/>
      <c r="K110" s="66"/>
      <c r="L110" s="66"/>
      <c r="M110" s="66"/>
      <c r="N110" s="66"/>
    </row>
    <row r="111" spans="2:14" ht="14.65" thickBot="1">
      <c r="B111" s="60" t="s">
        <v>420</v>
      </c>
      <c r="C111" s="70">
        <f t="shared" ref="C111:F111" si="45">+C107+C109+C108</f>
        <v>0</v>
      </c>
      <c r="D111" s="70">
        <f t="shared" si="45"/>
        <v>8241835000</v>
      </c>
      <c r="E111" s="70">
        <f t="shared" si="45"/>
        <v>8133310000</v>
      </c>
      <c r="F111" s="70">
        <f t="shared" si="45"/>
        <v>7863289000</v>
      </c>
      <c r="G111" s="70">
        <f>+G107+G109+G108</f>
        <v>7546078000</v>
      </c>
      <c r="H111" s="70">
        <f>+H107+H109+H108</f>
        <v>7908737000</v>
      </c>
      <c r="I111" s="70">
        <f>+I107+I109+I108</f>
        <v>7884443000</v>
      </c>
      <c r="J111" s="70"/>
      <c r="K111" s="70"/>
      <c r="L111" s="70"/>
      <c r="M111" s="70"/>
      <c r="N111" s="70"/>
    </row>
    <row r="112" spans="2:14" ht="14.65" thickBot="1">
      <c r="B112" s="60" t="s">
        <v>347</v>
      </c>
      <c r="C112" s="70">
        <f>+C111+C110</f>
        <v>0</v>
      </c>
      <c r="D112" s="70">
        <f>+D111+D110</f>
        <v>8244018000</v>
      </c>
      <c r="E112" s="70">
        <f>+E111+E110</f>
        <v>8135575000</v>
      </c>
      <c r="F112" s="70">
        <f t="shared" ref="F112:N112" si="46">+F111+F110</f>
        <v>7866137000</v>
      </c>
      <c r="G112" s="70">
        <f t="shared" si="46"/>
        <v>7548950000</v>
      </c>
      <c r="H112" s="70">
        <f t="shared" si="46"/>
        <v>7910821000</v>
      </c>
      <c r="I112" s="70">
        <f t="shared" si="46"/>
        <v>7884897000</v>
      </c>
      <c r="J112" s="70">
        <f t="shared" si="46"/>
        <v>0</v>
      </c>
      <c r="K112" s="70">
        <f t="shared" si="46"/>
        <v>0</v>
      </c>
      <c r="L112" s="70">
        <f t="shared" si="46"/>
        <v>0</v>
      </c>
      <c r="M112" s="70">
        <f t="shared" si="46"/>
        <v>0</v>
      </c>
      <c r="N112" s="70">
        <f t="shared" si="46"/>
        <v>0</v>
      </c>
    </row>
    <row r="114" spans="2:14" ht="14.65" thickBot="1">
      <c r="B114" s="75" t="s">
        <v>348</v>
      </c>
    </row>
    <row r="115" spans="2:14" ht="14.65" thickBot="1">
      <c r="B115" s="82" t="s">
        <v>308</v>
      </c>
      <c r="C115" s="88">
        <v>2017</v>
      </c>
      <c r="D115" s="88">
        <v>2018</v>
      </c>
      <c r="E115" s="88">
        <v>2019</v>
      </c>
      <c r="F115" s="88">
        <v>2020</v>
      </c>
      <c r="G115" s="88">
        <v>2021</v>
      </c>
      <c r="H115" s="88">
        <v>2022</v>
      </c>
      <c r="I115" s="88">
        <v>2023</v>
      </c>
      <c r="J115" s="88">
        <v>2024</v>
      </c>
      <c r="K115" s="88">
        <v>2025</v>
      </c>
      <c r="L115" s="88">
        <v>2026</v>
      </c>
      <c r="M115" s="88">
        <v>2027</v>
      </c>
      <c r="N115" s="88">
        <v>2028</v>
      </c>
    </row>
    <row r="116" spans="2:14">
      <c r="B116" s="83" t="s">
        <v>349</v>
      </c>
      <c r="C116" s="90"/>
      <c r="D116" s="90">
        <v>6274472000</v>
      </c>
      <c r="E116" s="90">
        <v>5670277000</v>
      </c>
      <c r="F116" s="90">
        <v>5286927000</v>
      </c>
      <c r="G116" s="90">
        <v>6323022000</v>
      </c>
      <c r="H116" s="90">
        <v>7821345000</v>
      </c>
      <c r="I116" s="90">
        <v>8099816000</v>
      </c>
      <c r="J116" s="90"/>
      <c r="K116" s="90"/>
      <c r="L116" s="90"/>
      <c r="M116" s="90"/>
      <c r="N116" s="90"/>
    </row>
    <row r="117" spans="2:14">
      <c r="B117" s="85" t="s">
        <v>534</v>
      </c>
      <c r="C117" s="160"/>
      <c r="D117" s="160">
        <v>-4480693000</v>
      </c>
      <c r="E117" s="160">
        <v>-4562448000</v>
      </c>
      <c r="F117" s="160">
        <v>-4423499000</v>
      </c>
      <c r="G117" s="66">
        <v>-4628257000</v>
      </c>
      <c r="H117" s="66">
        <v>-5542264000</v>
      </c>
      <c r="I117" s="66">
        <v>-6345528000</v>
      </c>
      <c r="J117" s="66"/>
      <c r="K117" s="66"/>
      <c r="L117" s="66"/>
      <c r="M117" s="66"/>
      <c r="N117" s="66"/>
    </row>
    <row r="118" spans="2:14">
      <c r="B118" s="86" t="s">
        <v>422</v>
      </c>
      <c r="C118" s="141">
        <f t="shared" ref="C118:F118" si="47">+C116+C117</f>
        <v>0</v>
      </c>
      <c r="D118" s="141">
        <f>+D116+D117</f>
        <v>1793779000</v>
      </c>
      <c r="E118" s="141">
        <f t="shared" si="47"/>
        <v>1107829000</v>
      </c>
      <c r="F118" s="141">
        <f t="shared" si="47"/>
        <v>863428000</v>
      </c>
      <c r="G118" s="64">
        <f>+G116+G117</f>
        <v>1694765000</v>
      </c>
      <c r="H118" s="64">
        <f t="shared" ref="H118:I118" si="48">+H116+H117</f>
        <v>2279081000</v>
      </c>
      <c r="I118" s="64">
        <f t="shared" si="48"/>
        <v>1754288000</v>
      </c>
      <c r="J118" s="64"/>
      <c r="K118" s="64"/>
      <c r="L118" s="64"/>
      <c r="M118" s="64"/>
      <c r="N118" s="64"/>
    </row>
    <row r="119" spans="2:14">
      <c r="B119" s="85" t="s">
        <v>592</v>
      </c>
      <c r="C119" s="189"/>
      <c r="D119" s="189"/>
      <c r="E119" s="189"/>
      <c r="F119" s="189"/>
      <c r="G119" s="117"/>
      <c r="H119" s="117"/>
      <c r="I119" s="117"/>
      <c r="J119" s="117"/>
      <c r="K119" s="117"/>
      <c r="L119" s="117"/>
      <c r="M119" s="117"/>
      <c r="N119" s="117"/>
    </row>
    <row r="120" spans="2:14">
      <c r="B120" s="85" t="s">
        <v>536</v>
      </c>
      <c r="C120" s="189"/>
      <c r="D120" s="189"/>
      <c r="E120" s="189"/>
      <c r="F120" s="189"/>
      <c r="G120" s="117"/>
      <c r="H120" s="117"/>
      <c r="I120" s="117"/>
      <c r="J120" s="117"/>
      <c r="K120" s="117"/>
      <c r="L120" s="117"/>
      <c r="M120" s="117"/>
      <c r="N120" s="117"/>
    </row>
    <row r="121" spans="2:14">
      <c r="B121" s="85" t="s">
        <v>537</v>
      </c>
      <c r="C121" s="189"/>
      <c r="D121" s="189"/>
      <c r="E121" s="189"/>
      <c r="F121" s="189"/>
      <c r="G121" s="117"/>
      <c r="H121" s="117"/>
      <c r="I121" s="117"/>
      <c r="J121" s="117"/>
      <c r="K121" s="117"/>
      <c r="L121" s="117"/>
      <c r="M121" s="117"/>
      <c r="N121" s="117"/>
    </row>
    <row r="122" spans="2:14">
      <c r="B122" s="85" t="s">
        <v>593</v>
      </c>
      <c r="C122" s="189"/>
      <c r="D122" s="189"/>
      <c r="E122" s="189"/>
      <c r="F122" s="189"/>
      <c r="G122" s="117"/>
      <c r="H122" s="117"/>
      <c r="I122" s="117"/>
      <c r="J122" s="117"/>
      <c r="K122" s="117"/>
      <c r="L122" s="117"/>
      <c r="M122" s="117"/>
      <c r="N122" s="117"/>
    </row>
    <row r="123" spans="2:14">
      <c r="B123" s="86" t="s">
        <v>428</v>
      </c>
      <c r="C123" s="141">
        <f t="shared" ref="C123" si="49">+C118+C122+C119+C120+C121</f>
        <v>0</v>
      </c>
      <c r="D123" s="141">
        <v>1080582000</v>
      </c>
      <c r="E123" s="141">
        <v>364614000</v>
      </c>
      <c r="F123" s="141">
        <v>217778000</v>
      </c>
      <c r="G123" s="64">
        <v>978047000</v>
      </c>
      <c r="H123" s="64">
        <v>1394145000</v>
      </c>
      <c r="I123" s="64">
        <v>555693000</v>
      </c>
      <c r="J123" s="64"/>
      <c r="K123" s="64"/>
      <c r="L123" s="64"/>
      <c r="M123" s="64"/>
      <c r="N123" s="64"/>
    </row>
    <row r="124" spans="2:14">
      <c r="B124" s="85" t="s">
        <v>429</v>
      </c>
      <c r="C124" s="160"/>
      <c r="D124" s="160"/>
      <c r="E124" s="160"/>
      <c r="F124" s="160"/>
      <c r="G124" s="131"/>
      <c r="H124" s="131"/>
      <c r="I124" s="131"/>
      <c r="J124" s="131"/>
      <c r="K124" s="131"/>
      <c r="L124" s="131"/>
      <c r="M124" s="131"/>
      <c r="N124" s="131"/>
    </row>
    <row r="125" spans="2:14">
      <c r="B125" s="85" t="s">
        <v>430</v>
      </c>
      <c r="C125" s="160"/>
      <c r="D125" s="160"/>
      <c r="E125" s="160"/>
      <c r="F125" s="160"/>
      <c r="G125" s="131"/>
      <c r="H125" s="131"/>
      <c r="I125" s="131"/>
      <c r="J125" s="131"/>
      <c r="K125" s="131"/>
      <c r="L125" s="131"/>
      <c r="M125" s="131"/>
      <c r="N125" s="131"/>
    </row>
    <row r="126" spans="2:14">
      <c r="B126" s="85" t="s">
        <v>431</v>
      </c>
      <c r="C126" s="160"/>
      <c r="D126" s="160"/>
      <c r="E126" s="160"/>
      <c r="F126" s="160"/>
      <c r="G126" s="131"/>
      <c r="H126" s="131"/>
      <c r="I126" s="131"/>
      <c r="J126" s="131"/>
      <c r="K126" s="131"/>
      <c r="L126" s="131"/>
      <c r="M126" s="131"/>
      <c r="N126" s="131"/>
    </row>
    <row r="127" spans="2:14">
      <c r="B127" s="85" t="s">
        <v>432</v>
      </c>
      <c r="C127" s="160"/>
      <c r="D127" s="160"/>
      <c r="E127" s="160"/>
      <c r="F127" s="160"/>
      <c r="G127" s="131"/>
      <c r="H127" s="131"/>
      <c r="I127" s="131"/>
      <c r="J127" s="131"/>
      <c r="K127" s="131"/>
      <c r="L127" s="131"/>
      <c r="M127" s="131"/>
      <c r="N127" s="131"/>
    </row>
    <row r="128" spans="2:14">
      <c r="B128" s="85" t="s">
        <v>433</v>
      </c>
      <c r="C128" s="160"/>
      <c r="D128" s="160"/>
      <c r="E128" s="160"/>
      <c r="F128" s="160"/>
      <c r="G128" s="131"/>
      <c r="H128" s="131"/>
      <c r="I128" s="131"/>
      <c r="J128" s="131"/>
      <c r="K128" s="131"/>
      <c r="L128" s="131"/>
      <c r="M128" s="131"/>
      <c r="N128" s="131"/>
    </row>
    <row r="129" spans="2:14">
      <c r="B129" s="86" t="s">
        <v>362</v>
      </c>
      <c r="C129" s="64">
        <f t="shared" ref="C129:E129" si="50">+C123+C124+C125+C126+C127+C128</f>
        <v>0</v>
      </c>
      <c r="D129" s="64">
        <f t="shared" si="50"/>
        <v>1080582000</v>
      </c>
      <c r="E129" s="64">
        <f t="shared" si="50"/>
        <v>364614000</v>
      </c>
      <c r="F129" s="64">
        <v>51656000</v>
      </c>
      <c r="G129" s="64">
        <v>874827000</v>
      </c>
      <c r="H129" s="64">
        <v>1360362000</v>
      </c>
      <c r="I129" s="64">
        <v>590421000</v>
      </c>
      <c r="J129" s="64"/>
      <c r="K129" s="64"/>
      <c r="L129" s="64"/>
      <c r="M129" s="64"/>
      <c r="N129" s="64"/>
    </row>
    <row r="130" spans="2:14">
      <c r="B130" s="85" t="s">
        <v>363</v>
      </c>
      <c r="C130" s="160"/>
      <c r="D130" s="160">
        <v>-377887000</v>
      </c>
      <c r="E130" s="160">
        <v>-136871000</v>
      </c>
      <c r="F130" s="160">
        <v>-79322000</v>
      </c>
      <c r="G130" s="91">
        <v>-336379000</v>
      </c>
      <c r="H130" s="91">
        <v>-354980000</v>
      </c>
      <c r="I130" s="91">
        <v>-120174000</v>
      </c>
      <c r="J130" s="91"/>
      <c r="K130" s="91"/>
      <c r="L130" s="91"/>
      <c r="M130" s="91"/>
      <c r="N130" s="91"/>
    </row>
    <row r="131" spans="2:14">
      <c r="B131" s="84" t="s">
        <v>365</v>
      </c>
      <c r="C131" s="130">
        <f t="shared" ref="C131:G131" si="51">+C129+C130</f>
        <v>0</v>
      </c>
      <c r="D131" s="130">
        <f t="shared" si="51"/>
        <v>702695000</v>
      </c>
      <c r="E131" s="130">
        <f t="shared" si="51"/>
        <v>227743000</v>
      </c>
      <c r="F131" s="130">
        <f t="shared" si="51"/>
        <v>-27666000</v>
      </c>
      <c r="G131" s="130">
        <f t="shared" si="51"/>
        <v>538448000</v>
      </c>
      <c r="H131" s="130">
        <f>+H129+H130</f>
        <v>1005382000</v>
      </c>
      <c r="I131" s="130">
        <f>+I129+I130</f>
        <v>470247000</v>
      </c>
      <c r="J131" s="130"/>
      <c r="K131" s="130"/>
      <c r="L131" s="130"/>
      <c r="M131" s="130"/>
      <c r="N131" s="130"/>
    </row>
    <row r="132" spans="2:14" ht="28.5">
      <c r="B132" s="87" t="s">
        <v>435</v>
      </c>
      <c r="C132" s="66"/>
      <c r="D132" s="66">
        <v>-192000</v>
      </c>
      <c r="E132" s="66">
        <v>-101000</v>
      </c>
      <c r="F132" s="66">
        <v>700000</v>
      </c>
      <c r="G132" s="91">
        <v>-363000</v>
      </c>
      <c r="H132" s="91">
        <v>7000</v>
      </c>
      <c r="I132" s="91">
        <v>5000</v>
      </c>
      <c r="J132" s="91"/>
      <c r="K132" s="91"/>
      <c r="L132" s="91"/>
      <c r="M132" s="91"/>
      <c r="N132" s="91"/>
    </row>
    <row r="133" spans="2:14">
      <c r="B133" s="84" t="s">
        <v>436</v>
      </c>
      <c r="C133" s="66">
        <f>+C131-C132</f>
        <v>0</v>
      </c>
      <c r="D133" s="66">
        <f t="shared" ref="D133:N133" si="52">+D131-D132</f>
        <v>702887000</v>
      </c>
      <c r="E133" s="66">
        <f t="shared" si="52"/>
        <v>227844000</v>
      </c>
      <c r="F133" s="66">
        <f t="shared" si="52"/>
        <v>-28366000</v>
      </c>
      <c r="G133" s="66">
        <f t="shared" si="52"/>
        <v>538811000</v>
      </c>
      <c r="H133" s="66">
        <f t="shared" si="52"/>
        <v>1005375000</v>
      </c>
      <c r="I133" s="66">
        <f t="shared" si="52"/>
        <v>470242000</v>
      </c>
      <c r="J133" s="66">
        <f t="shared" si="52"/>
        <v>0</v>
      </c>
      <c r="K133" s="66">
        <f t="shared" si="52"/>
        <v>0</v>
      </c>
      <c r="L133" s="66">
        <f t="shared" si="52"/>
        <v>0</v>
      </c>
      <c r="M133" s="66">
        <f t="shared" si="52"/>
        <v>0</v>
      </c>
      <c r="N133" s="66">
        <f t="shared" si="52"/>
        <v>0</v>
      </c>
    </row>
    <row r="134" spans="2:14">
      <c r="B134" s="84" t="s">
        <v>366</v>
      </c>
      <c r="C134" s="111"/>
      <c r="D134" s="111">
        <v>0.20100000000000001</v>
      </c>
      <c r="E134" s="111">
        <v>3.3799999999999997E-2</v>
      </c>
      <c r="F134" s="134">
        <v>-1.1299999999999999E-2</v>
      </c>
      <c r="G134" s="134">
        <v>0.2155</v>
      </c>
      <c r="H134" s="134">
        <v>0.4022</v>
      </c>
      <c r="I134" s="134">
        <v>0.18809999999999999</v>
      </c>
      <c r="J134" s="134"/>
      <c r="K134" s="134"/>
      <c r="L134" s="134"/>
      <c r="M134" s="134"/>
      <c r="N134" s="134"/>
    </row>
    <row r="136" spans="2:14" ht="14.65" thickBot="1">
      <c r="B136" s="75" t="s">
        <v>367</v>
      </c>
    </row>
    <row r="137" spans="2:14" ht="14.65" thickBot="1">
      <c r="B137" s="82" t="s">
        <v>308</v>
      </c>
      <c r="C137" s="88">
        <v>2017</v>
      </c>
      <c r="D137" s="88">
        <v>2018</v>
      </c>
      <c r="E137" s="88">
        <v>2019</v>
      </c>
      <c r="F137" s="88">
        <v>2020</v>
      </c>
      <c r="G137" s="88">
        <v>2021</v>
      </c>
      <c r="H137" s="88">
        <v>2022</v>
      </c>
      <c r="I137" s="88">
        <v>2023</v>
      </c>
      <c r="J137" s="88">
        <v>2024</v>
      </c>
      <c r="K137" s="88">
        <v>2025</v>
      </c>
      <c r="L137" s="88">
        <v>2026</v>
      </c>
      <c r="M137" s="88">
        <v>2027</v>
      </c>
      <c r="N137" s="88">
        <v>2028</v>
      </c>
    </row>
    <row r="138" spans="2:14">
      <c r="B138" s="83" t="s">
        <v>368</v>
      </c>
      <c r="C138" s="90"/>
      <c r="D138" s="90">
        <v>1006308000</v>
      </c>
      <c r="E138" s="90">
        <v>646862000</v>
      </c>
      <c r="F138" s="90">
        <v>752635000</v>
      </c>
      <c r="G138" s="90">
        <v>1155873000</v>
      </c>
      <c r="H138" s="90">
        <v>826578000</v>
      </c>
      <c r="I138" s="90">
        <v>854740000</v>
      </c>
      <c r="J138" s="90"/>
      <c r="K138" s="90"/>
      <c r="L138" s="90"/>
      <c r="M138" s="90"/>
      <c r="N138" s="90"/>
    </row>
    <row r="139" spans="2:14">
      <c r="B139" s="86" t="s">
        <v>369</v>
      </c>
      <c r="C139" s="91"/>
      <c r="D139" s="91">
        <v>-360628000</v>
      </c>
      <c r="E139" s="93">
        <v>-713064000</v>
      </c>
      <c r="F139" s="66">
        <v>-331734000</v>
      </c>
      <c r="G139" s="91">
        <v>-419208000</v>
      </c>
      <c r="H139" s="66">
        <v>-825205000</v>
      </c>
      <c r="I139" s="66">
        <v>-977344000</v>
      </c>
      <c r="J139" s="66"/>
      <c r="K139" s="66"/>
      <c r="L139" s="66"/>
      <c r="M139" s="66"/>
      <c r="N139" s="66"/>
    </row>
    <row r="140" spans="2:14">
      <c r="B140" s="85" t="s">
        <v>370</v>
      </c>
      <c r="C140" s="93"/>
      <c r="D140" s="93">
        <v>-294926000</v>
      </c>
      <c r="E140" s="93">
        <v>-248060000</v>
      </c>
      <c r="F140" s="93">
        <v>-167338000</v>
      </c>
      <c r="G140" s="93">
        <v>-224914000</v>
      </c>
      <c r="H140" s="93">
        <v>-392646000</v>
      </c>
      <c r="I140" s="93">
        <v>-567093000</v>
      </c>
      <c r="J140" s="93"/>
      <c r="K140" s="93"/>
      <c r="L140" s="93"/>
      <c r="M140" s="93"/>
      <c r="N140" s="93"/>
    </row>
    <row r="141" spans="2:14">
      <c r="B141" s="86" t="s">
        <v>372</v>
      </c>
      <c r="C141" s="120"/>
      <c r="D141" s="120">
        <v>-487329000</v>
      </c>
      <c r="E141" s="64">
        <v>-278940000</v>
      </c>
      <c r="F141" s="120">
        <v>-148797000</v>
      </c>
      <c r="G141" s="114">
        <v>-448165000</v>
      </c>
      <c r="H141" s="120">
        <v>-400309000</v>
      </c>
      <c r="I141" s="120">
        <v>209096000</v>
      </c>
      <c r="J141" s="120"/>
      <c r="K141" s="120"/>
      <c r="L141" s="120"/>
      <c r="M141" s="120"/>
      <c r="N141" s="120"/>
    </row>
    <row r="142" spans="2:14">
      <c r="B142" s="85" t="s">
        <v>373</v>
      </c>
      <c r="C142" s="366"/>
      <c r="D142" s="366">
        <v>-118966000</v>
      </c>
      <c r="E142" s="66">
        <v>-202883000</v>
      </c>
      <c r="F142" s="93">
        <v>-16730000</v>
      </c>
      <c r="G142" s="93">
        <v>-491910000</v>
      </c>
      <c r="H142" s="93">
        <v>-482900000</v>
      </c>
      <c r="I142" s="93">
        <v>-205327000</v>
      </c>
      <c r="J142" s="93"/>
      <c r="K142" s="93"/>
      <c r="L142" s="93"/>
      <c r="M142" s="93"/>
      <c r="N142" s="93"/>
    </row>
    <row r="143" spans="2:14">
      <c r="B143" s="85" t="s">
        <v>437</v>
      </c>
      <c r="C143" s="366"/>
      <c r="D143" s="366">
        <v>-185779000</v>
      </c>
      <c r="E143" s="160">
        <v>-166084000</v>
      </c>
      <c r="F143" s="366">
        <v>-174886000</v>
      </c>
      <c r="G143" s="93">
        <v>-186371000</v>
      </c>
      <c r="H143" s="93">
        <v>-218296000</v>
      </c>
      <c r="I143" s="93">
        <v>-238500000</v>
      </c>
      <c r="J143" s="93"/>
      <c r="K143" s="93"/>
      <c r="L143" s="93"/>
      <c r="M143" s="93"/>
      <c r="N143" s="93"/>
    </row>
    <row r="144" spans="2:14">
      <c r="B144" s="86" t="s">
        <v>375</v>
      </c>
      <c r="C144" s="64"/>
      <c r="D144" s="64">
        <v>134750000</v>
      </c>
      <c r="E144" s="64">
        <v>-352466000</v>
      </c>
      <c r="F144" s="64">
        <v>275993000</v>
      </c>
      <c r="G144" s="64">
        <v>264034000</v>
      </c>
      <c r="H144" s="64">
        <v>-396375000</v>
      </c>
      <c r="I144" s="64">
        <v>87568000</v>
      </c>
      <c r="J144" s="64"/>
      <c r="K144" s="64"/>
      <c r="L144" s="64"/>
      <c r="M144" s="64"/>
      <c r="N144" s="64"/>
    </row>
    <row r="145" spans="2:14">
      <c r="B145" s="85"/>
      <c r="C145" s="66"/>
      <c r="D145" s="66"/>
      <c r="E145" s="66"/>
      <c r="F145" s="66"/>
      <c r="G145" s="66"/>
      <c r="H145" s="66"/>
      <c r="I145" s="66"/>
      <c r="J145" s="66"/>
      <c r="K145" s="66"/>
      <c r="L145" s="66"/>
      <c r="M145" s="66"/>
      <c r="N145" s="66"/>
    </row>
    <row r="146" spans="2:14">
      <c r="B146" s="84" t="s">
        <v>376</v>
      </c>
      <c r="C146" s="131">
        <f t="shared" ref="C146:G146" si="53">+C138+C140+C143</f>
        <v>0</v>
      </c>
      <c r="D146" s="131">
        <f>+D138+D140+D143</f>
        <v>525603000</v>
      </c>
      <c r="E146" s="131">
        <f t="shared" si="53"/>
        <v>232718000</v>
      </c>
      <c r="F146" s="131">
        <f t="shared" si="53"/>
        <v>410411000</v>
      </c>
      <c r="G146" s="131">
        <f t="shared" si="53"/>
        <v>744588000</v>
      </c>
      <c r="H146" s="131">
        <f>+H138+H140+H143</f>
        <v>215636000</v>
      </c>
      <c r="I146" s="131">
        <f>+I138+I140+I143</f>
        <v>49147000</v>
      </c>
      <c r="J146" s="131"/>
      <c r="K146" s="131"/>
      <c r="L146" s="131"/>
      <c r="M146" s="131"/>
      <c r="N146" s="131"/>
    </row>
  </sheetData>
  <conditionalFormatting sqref="C108:D108 F108">
    <cfRule type="cellIs" dxfId="203" priority="7" operator="lessThan">
      <formula>0</formula>
    </cfRule>
  </conditionalFormatting>
  <conditionalFormatting sqref="C70:F71">
    <cfRule type="cellIs" dxfId="202" priority="12" operator="lessThan">
      <formula>0</formula>
    </cfRule>
  </conditionalFormatting>
  <conditionalFormatting sqref="C109:F109">
    <cfRule type="cellIs" dxfId="201" priority="6" operator="lessThan">
      <formula>0</formula>
    </cfRule>
  </conditionalFormatting>
  <conditionalFormatting sqref="C64:H68">
    <cfRule type="cellIs" dxfId="200" priority="1" operator="lessThan">
      <formula>0</formula>
    </cfRule>
  </conditionalFormatting>
  <conditionalFormatting sqref="C72:H97">
    <cfRule type="cellIs" dxfId="199" priority="10" operator="lessThan">
      <formula>0</formula>
    </cfRule>
  </conditionalFormatting>
  <conditionalFormatting sqref="C99:H104">
    <cfRule type="cellIs" dxfId="198" priority="9" operator="lessThan">
      <formula>0</formula>
    </cfRule>
  </conditionalFormatting>
  <conditionalFormatting sqref="C106:I107">
    <cfRule type="cellIs" dxfId="197" priority="8" operator="lessThan">
      <formula>0</formula>
    </cfRule>
  </conditionalFormatting>
  <conditionalFormatting sqref="C116:N134">
    <cfRule type="cellIs" dxfId="196" priority="4" operator="lessThan">
      <formula>0</formula>
    </cfRule>
  </conditionalFormatting>
  <conditionalFormatting sqref="C138:N146">
    <cfRule type="cellIs" dxfId="195" priority="3" operator="lessThan">
      <formula>0</formula>
    </cfRule>
  </conditionalFormatting>
  <conditionalFormatting sqref="D69:F69">
    <cfRule type="cellIs" dxfId="194" priority="13" operator="lessThan">
      <formula>0</formula>
    </cfRule>
  </conditionalFormatting>
  <conditionalFormatting sqref="G69:H71">
    <cfRule type="cellIs" dxfId="193" priority="11" operator="lessThan">
      <formula>0</formula>
    </cfRule>
  </conditionalFormatting>
  <conditionalFormatting sqref="G108:I109 C110:I112">
    <cfRule type="cellIs" dxfId="192" priority="15" operator="lessThan">
      <formula>0</formula>
    </cfRule>
  </conditionalFormatting>
  <conditionalFormatting sqref="I64:N104">
    <cfRule type="cellIs" dxfId="191" priority="2" operator="lessThan">
      <formula>0</formula>
    </cfRule>
  </conditionalFormatting>
  <conditionalFormatting sqref="J106:N112">
    <cfRule type="cellIs" dxfId="190" priority="5" operator="lessThan">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3862C-EA6D-467D-BC17-D9FACC5B12D0}">
  <sheetPr codeName="Hoja5"/>
  <dimension ref="B2:N137"/>
  <sheetViews>
    <sheetView zoomScale="80" zoomScaleNormal="80" workbookViewId="0">
      <pane xSplit="2" topLeftCell="C127" activePane="topRight" state="frozen"/>
      <selection pane="topRight" activeCell="C127" sqref="C127"/>
    </sheetView>
  </sheetViews>
  <sheetFormatPr defaultColWidth="10.7109375" defaultRowHeight="14.25"/>
  <cols>
    <col min="1" max="1" width="3.42578125" customWidth="1"/>
    <col min="2" max="2" width="53.28515625" customWidth="1"/>
    <col min="3" max="7" width="34.7109375" customWidth="1"/>
    <col min="8" max="8" width="34.7109375" bestFit="1" customWidth="1"/>
    <col min="9" max="9" width="34.28515625" bestFit="1" customWidth="1"/>
    <col min="10" max="10" width="38.28515625" style="414" customWidth="1"/>
    <col min="11" max="11" width="34.85546875" customWidth="1"/>
    <col min="12" max="14" width="30.7109375" bestFit="1" customWidth="1"/>
  </cols>
  <sheetData>
    <row r="2" spans="2:14" ht="21">
      <c r="B2" s="313">
        <f ca="1">TODAY()-1</f>
        <v>46105</v>
      </c>
      <c r="C2" s="314"/>
      <c r="D2" s="344" t="s">
        <v>265</v>
      </c>
      <c r="E2" s="345" t="s">
        <v>266</v>
      </c>
    </row>
    <row r="3" spans="2:14" ht="25.5">
      <c r="B3" s="376" cm="1">
        <f t="array" aca="1" ref="B3" ca="1">_FV(B6,"Precio")</f>
        <v>136.87</v>
      </c>
      <c r="C3" s="316"/>
      <c r="D3" s="346">
        <f>AVERAGE(G48:I48)</f>
        <v>5.085</v>
      </c>
      <c r="E3" s="346">
        <f>AVERAGE(G47:I47)</f>
        <v>5.085</v>
      </c>
    </row>
    <row r="4" spans="2:14" ht="28.5">
      <c r="B4" s="319"/>
      <c r="C4" s="320"/>
      <c r="D4" s="328"/>
      <c r="E4" s="328"/>
    </row>
    <row r="6" spans="2:14" ht="33.4">
      <c r="B6" s="3" t="e" vm="23">
        <v>#VALUE!</v>
      </c>
      <c r="C6" s="3">
        <v>2017</v>
      </c>
      <c r="D6" s="3">
        <v>2018</v>
      </c>
      <c r="E6" s="3">
        <v>2019</v>
      </c>
      <c r="F6" s="3">
        <v>2020</v>
      </c>
      <c r="G6" s="3">
        <v>2021</v>
      </c>
      <c r="H6" s="3">
        <v>2022</v>
      </c>
      <c r="I6" s="3">
        <v>2023</v>
      </c>
      <c r="J6" s="459">
        <v>2024</v>
      </c>
      <c r="K6" s="3">
        <v>2025</v>
      </c>
      <c r="L6" s="3">
        <v>2026</v>
      </c>
      <c r="M6" s="3">
        <v>2027</v>
      </c>
      <c r="N6" s="3">
        <v>2028</v>
      </c>
    </row>
    <row r="7" spans="2:14" ht="25.5">
      <c r="B7" s="4" t="s">
        <v>267</v>
      </c>
      <c r="C7" s="5">
        <f>+C71</f>
        <v>37715744000</v>
      </c>
      <c r="D7" s="5">
        <f t="shared" ref="D7:I7" si="0">+D71</f>
        <v>42188106000</v>
      </c>
      <c r="E7" s="5">
        <f t="shared" si="0"/>
        <v>37814346000</v>
      </c>
      <c r="F7" s="5">
        <f t="shared" si="0"/>
        <v>86975275000</v>
      </c>
      <c r="G7" s="5">
        <f t="shared" si="0"/>
        <v>52264410000</v>
      </c>
      <c r="H7" s="5">
        <f t="shared" si="0"/>
        <v>49145372000</v>
      </c>
      <c r="I7" s="5">
        <f t="shared" si="0"/>
        <v>82861143000</v>
      </c>
      <c r="J7" s="416">
        <f t="shared" ref="J7:N7" si="1">+J71</f>
        <v>121041860000</v>
      </c>
      <c r="K7" s="387">
        <f t="shared" si="1"/>
        <v>154459118000</v>
      </c>
      <c r="L7" s="5">
        <f t="shared" si="1"/>
        <v>0</v>
      </c>
      <c r="M7" s="5">
        <f t="shared" si="1"/>
        <v>0</v>
      </c>
      <c r="N7" s="5">
        <f t="shared" si="1"/>
        <v>0</v>
      </c>
    </row>
    <row r="8" spans="2:14" ht="25.5">
      <c r="B8" s="6" t="s">
        <v>268</v>
      </c>
      <c r="C8" s="7">
        <v>0</v>
      </c>
      <c r="D8" s="7">
        <v>0</v>
      </c>
      <c r="E8" s="7">
        <v>0</v>
      </c>
      <c r="F8" s="7">
        <v>0</v>
      </c>
      <c r="G8" s="7">
        <v>0</v>
      </c>
      <c r="H8" s="7">
        <v>0</v>
      </c>
      <c r="I8" s="7">
        <v>0</v>
      </c>
      <c r="J8" s="417">
        <v>0</v>
      </c>
      <c r="K8" s="388">
        <v>0</v>
      </c>
      <c r="L8" s="7">
        <v>0</v>
      </c>
      <c r="M8" s="7">
        <v>0</v>
      </c>
      <c r="N8" s="7">
        <v>0</v>
      </c>
    </row>
    <row r="9" spans="2:14" ht="25.5">
      <c r="B9" s="4" t="s">
        <v>269</v>
      </c>
      <c r="C9" s="5">
        <f>+C77</f>
        <v>783467660000</v>
      </c>
      <c r="D9" s="5">
        <f t="shared" ref="D9:I9" si="2">+D77</f>
        <v>769333695000</v>
      </c>
      <c r="E9" s="5">
        <f t="shared" si="2"/>
        <v>792705021000</v>
      </c>
      <c r="F9" s="5">
        <f t="shared" si="2"/>
        <v>779308961000</v>
      </c>
      <c r="G9" s="5">
        <f t="shared" si="2"/>
        <v>750932325000</v>
      </c>
      <c r="H9" s="5">
        <f t="shared" si="2"/>
        <v>735583165000</v>
      </c>
      <c r="I9" s="5">
        <f t="shared" si="2"/>
        <v>735358593000</v>
      </c>
      <c r="J9" s="416">
        <f t="shared" ref="J9:N9" si="3">+J77</f>
        <v>745309209000</v>
      </c>
      <c r="K9" s="387">
        <f t="shared" si="3"/>
        <v>778465296000</v>
      </c>
      <c r="L9" s="5">
        <f t="shared" si="3"/>
        <v>0</v>
      </c>
      <c r="M9" s="5">
        <f t="shared" si="3"/>
        <v>0</v>
      </c>
      <c r="N9" s="5">
        <f t="shared" si="3"/>
        <v>0</v>
      </c>
    </row>
    <row r="10" spans="2:14" ht="25.5">
      <c r="B10" s="6" t="s">
        <v>270</v>
      </c>
      <c r="C10" s="115">
        <f>+C78</f>
        <v>250655323000</v>
      </c>
      <c r="D10" s="115">
        <f t="shared" ref="D10:I10" si="4">+D78</f>
        <v>252699529000</v>
      </c>
      <c r="E10" s="115">
        <f t="shared" si="4"/>
        <v>287678508000</v>
      </c>
      <c r="F10" s="115">
        <f t="shared" si="4"/>
        <v>292066955000</v>
      </c>
      <c r="G10" s="115">
        <f t="shared" si="4"/>
        <v>282249531000</v>
      </c>
      <c r="H10" s="115">
        <f t="shared" si="4"/>
        <v>283834225000</v>
      </c>
      <c r="I10" s="115">
        <f t="shared" si="4"/>
        <v>302227478000</v>
      </c>
      <c r="J10" s="476">
        <f t="shared" ref="J10:N10" si="5">+J78</f>
        <v>326405684000</v>
      </c>
      <c r="K10" s="471">
        <f t="shared" si="5"/>
        <v>373947166000</v>
      </c>
      <c r="L10" s="115">
        <f t="shared" si="5"/>
        <v>0</v>
      </c>
      <c r="M10" s="115">
        <f t="shared" si="5"/>
        <v>0</v>
      </c>
      <c r="N10" s="115">
        <f t="shared" si="5"/>
        <v>0</v>
      </c>
    </row>
    <row r="11" spans="2:14" ht="25.5">
      <c r="B11" s="6" t="s">
        <v>271</v>
      </c>
      <c r="C11" s="115">
        <f>+C81</f>
        <v>512256762000</v>
      </c>
      <c r="D11" s="115">
        <f t="shared" ref="D11:I11" si="6">+D81</f>
        <v>497432898000</v>
      </c>
      <c r="E11" s="115">
        <f t="shared" si="6"/>
        <v>482037801000</v>
      </c>
      <c r="F11" s="115">
        <f t="shared" si="6"/>
        <v>465500750000</v>
      </c>
      <c r="G11" s="115">
        <f t="shared" si="6"/>
        <v>448730825000</v>
      </c>
      <c r="H11" s="115">
        <f t="shared" si="6"/>
        <v>431460558000</v>
      </c>
      <c r="I11" s="115">
        <f t="shared" si="6"/>
        <v>417276702000</v>
      </c>
      <c r="J11" s="476">
        <f t="shared" ref="J11:N11" si="7">+J81</f>
        <v>403881255000</v>
      </c>
      <c r="K11" s="471">
        <f t="shared" si="7"/>
        <v>390461939000</v>
      </c>
      <c r="L11" s="115">
        <f t="shared" si="7"/>
        <v>0</v>
      </c>
      <c r="M11" s="115">
        <f t="shared" si="7"/>
        <v>0</v>
      </c>
      <c r="N11" s="115">
        <f t="shared" si="7"/>
        <v>0</v>
      </c>
    </row>
    <row r="12" spans="2:14" ht="25.5">
      <c r="B12" s="8" t="s">
        <v>272</v>
      </c>
      <c r="C12" s="9">
        <f>+C7+C9</f>
        <v>821183404000</v>
      </c>
      <c r="D12" s="9">
        <f t="shared" ref="D12:I12" si="8">+D7+D9</f>
        <v>811521801000</v>
      </c>
      <c r="E12" s="9">
        <f t="shared" si="8"/>
        <v>830519367000</v>
      </c>
      <c r="F12" s="9">
        <f t="shared" si="8"/>
        <v>866284236000</v>
      </c>
      <c r="G12" s="9">
        <f t="shared" si="8"/>
        <v>803196735000</v>
      </c>
      <c r="H12" s="9">
        <f t="shared" si="8"/>
        <v>784728537000</v>
      </c>
      <c r="I12" s="9">
        <f t="shared" si="8"/>
        <v>818219736000</v>
      </c>
      <c r="J12" s="418">
        <f t="shared" ref="J12:N12" si="9">+J7+J9</f>
        <v>866351069000</v>
      </c>
      <c r="K12" s="389">
        <f t="shared" si="9"/>
        <v>932924414000</v>
      </c>
      <c r="L12" s="9">
        <f t="shared" si="9"/>
        <v>0</v>
      </c>
      <c r="M12" s="9">
        <f t="shared" si="9"/>
        <v>0</v>
      </c>
      <c r="N12" s="9">
        <f t="shared" si="9"/>
        <v>0</v>
      </c>
    </row>
    <row r="13" spans="2:14" ht="25.5">
      <c r="B13" s="10" t="s">
        <v>273</v>
      </c>
      <c r="C13" s="11">
        <f>+C87</f>
        <v>13013149000</v>
      </c>
      <c r="D13" s="11">
        <f t="shared" ref="D13:I13" si="10">+D87</f>
        <v>13007035000</v>
      </c>
      <c r="E13" s="11">
        <f t="shared" si="10"/>
        <v>15742689000</v>
      </c>
      <c r="F13" s="11">
        <f t="shared" si="10"/>
        <v>80319950000</v>
      </c>
      <c r="G13" s="11">
        <f t="shared" si="10"/>
        <v>22885541000</v>
      </c>
      <c r="H13" s="11">
        <f t="shared" si="10"/>
        <v>50946720000</v>
      </c>
      <c r="I13" s="11">
        <f t="shared" si="10"/>
        <v>47617190000</v>
      </c>
      <c r="J13" s="419">
        <f t="shared" ref="J13:N13" si="11">+J87</f>
        <v>68350500000</v>
      </c>
      <c r="K13" s="390">
        <f t="shared" si="11"/>
        <v>101987318000</v>
      </c>
      <c r="L13" s="11">
        <f t="shared" si="11"/>
        <v>0</v>
      </c>
      <c r="M13" s="11">
        <f t="shared" si="11"/>
        <v>0</v>
      </c>
      <c r="N13" s="11">
        <f t="shared" si="11"/>
        <v>0</v>
      </c>
    </row>
    <row r="14" spans="2:14" ht="25.5">
      <c r="B14" s="10" t="s">
        <v>274</v>
      </c>
      <c r="C14" s="11">
        <f>+C92</f>
        <v>62654612000</v>
      </c>
      <c r="D14" s="11">
        <f t="shared" ref="D14:I14" si="12">+D92</f>
        <v>72660002000</v>
      </c>
      <c r="E14" s="11">
        <f t="shared" si="12"/>
        <v>97893220000</v>
      </c>
      <c r="F14" s="11">
        <f t="shared" si="12"/>
        <v>111534908000</v>
      </c>
      <c r="G14" s="11">
        <f t="shared" si="12"/>
        <v>120212348000</v>
      </c>
      <c r="H14" s="11">
        <f t="shared" si="12"/>
        <v>127716902000</v>
      </c>
      <c r="I14" s="11">
        <f t="shared" si="12"/>
        <v>147130978000</v>
      </c>
      <c r="J14" s="419">
        <f t="shared" ref="J14:N14" si="13">+J92</f>
        <v>170486258000</v>
      </c>
      <c r="K14" s="390">
        <f t="shared" si="13"/>
        <v>178721532000</v>
      </c>
      <c r="L14" s="11">
        <f t="shared" si="13"/>
        <v>0</v>
      </c>
      <c r="M14" s="11">
        <f t="shared" si="13"/>
        <v>0</v>
      </c>
      <c r="N14" s="11">
        <f t="shared" si="13"/>
        <v>0</v>
      </c>
    </row>
    <row r="15" spans="2:14" ht="25.5">
      <c r="B15" s="12" t="s">
        <v>275</v>
      </c>
      <c r="C15" s="13">
        <f>+C13+C14</f>
        <v>75667761000</v>
      </c>
      <c r="D15" s="13">
        <f t="shared" ref="D15:I15" si="14">+D13+D14</f>
        <v>85667037000</v>
      </c>
      <c r="E15" s="13">
        <f t="shared" si="14"/>
        <v>113635909000</v>
      </c>
      <c r="F15" s="13">
        <f t="shared" si="14"/>
        <v>191854858000</v>
      </c>
      <c r="G15" s="13">
        <f t="shared" si="14"/>
        <v>143097889000</v>
      </c>
      <c r="H15" s="13">
        <f t="shared" si="14"/>
        <v>178663622000</v>
      </c>
      <c r="I15" s="13">
        <f t="shared" si="14"/>
        <v>194748168000</v>
      </c>
      <c r="J15" s="420">
        <f t="shared" ref="J15:N15" si="15">+J13+J14</f>
        <v>238836758000</v>
      </c>
      <c r="K15" s="391">
        <f t="shared" si="15"/>
        <v>280708850000</v>
      </c>
      <c r="L15" s="13">
        <f t="shared" si="15"/>
        <v>0</v>
      </c>
      <c r="M15" s="13">
        <f t="shared" si="15"/>
        <v>0</v>
      </c>
      <c r="N15" s="13">
        <f t="shared" si="15"/>
        <v>0</v>
      </c>
    </row>
    <row r="16" spans="2:14" ht="25.5">
      <c r="B16" s="14" t="s">
        <v>276</v>
      </c>
      <c r="C16" s="15">
        <f>+C104</f>
        <v>745515267000</v>
      </c>
      <c r="D16" s="15">
        <f t="shared" ref="D16:I16" si="16">+D104</f>
        <v>725854641000</v>
      </c>
      <c r="E16" s="15">
        <f t="shared" si="16"/>
        <v>716883333000</v>
      </c>
      <c r="F16" s="15">
        <f t="shared" si="16"/>
        <v>674432252000</v>
      </c>
      <c r="G16" s="15">
        <f t="shared" si="16"/>
        <v>660098720000</v>
      </c>
      <c r="H16" s="15">
        <f t="shared" si="16"/>
        <v>606064779000</v>
      </c>
      <c r="I16" s="15">
        <f t="shared" si="16"/>
        <v>623471419000</v>
      </c>
      <c r="J16" s="421">
        <f t="shared" ref="J16:N16" si="17">+J104</f>
        <v>627514153000</v>
      </c>
      <c r="K16" s="392">
        <f t="shared" si="17"/>
        <v>652215564000</v>
      </c>
      <c r="L16" s="15">
        <f t="shared" si="17"/>
        <v>0</v>
      </c>
      <c r="M16" s="15">
        <f t="shared" si="17"/>
        <v>0</v>
      </c>
      <c r="N16" s="15">
        <f t="shared" si="17"/>
        <v>0</v>
      </c>
    </row>
    <row r="17" spans="2:14" ht="25.5">
      <c r="B17" s="16" t="s">
        <v>277</v>
      </c>
      <c r="C17" s="17">
        <f>+C16-C11</f>
        <v>233258505000</v>
      </c>
      <c r="D17" s="17">
        <f t="shared" ref="D17:I17" si="18">+D16-D11</f>
        <v>228421743000</v>
      </c>
      <c r="E17" s="17">
        <f t="shared" si="18"/>
        <v>234845532000</v>
      </c>
      <c r="F17" s="17">
        <f t="shared" si="18"/>
        <v>208931502000</v>
      </c>
      <c r="G17" s="17">
        <f t="shared" si="18"/>
        <v>211367895000</v>
      </c>
      <c r="H17" s="17">
        <f t="shared" si="18"/>
        <v>174604221000</v>
      </c>
      <c r="I17" s="17">
        <f t="shared" si="18"/>
        <v>206194717000</v>
      </c>
      <c r="J17" s="422">
        <f t="shared" ref="J17:N17" si="19">+J16-J11</f>
        <v>223632898000</v>
      </c>
      <c r="K17" s="393">
        <f t="shared" si="19"/>
        <v>261753625000</v>
      </c>
      <c r="L17" s="17">
        <f t="shared" si="19"/>
        <v>0</v>
      </c>
      <c r="M17" s="17">
        <f t="shared" si="19"/>
        <v>0</v>
      </c>
      <c r="N17" s="17">
        <f t="shared" si="19"/>
        <v>0</v>
      </c>
    </row>
    <row r="18" spans="2:14" ht="25.5">
      <c r="B18" s="79" t="s">
        <v>278</v>
      </c>
      <c r="C18" s="80">
        <v>12770259168</v>
      </c>
      <c r="D18" s="80">
        <v>12770259169</v>
      </c>
      <c r="E18" s="80">
        <v>12770259170</v>
      </c>
      <c r="F18" s="80">
        <v>12770259171</v>
      </c>
      <c r="G18" s="80">
        <v>12770259172</v>
      </c>
      <c r="H18" s="80">
        <v>12770259173</v>
      </c>
      <c r="I18" s="80">
        <v>12770259174</v>
      </c>
      <c r="J18" s="80">
        <v>12770259174</v>
      </c>
      <c r="K18" s="394">
        <v>12770259168</v>
      </c>
      <c r="L18" s="80"/>
      <c r="M18" s="80"/>
      <c r="N18" s="80"/>
    </row>
    <row r="20" spans="2:14" ht="25.5">
      <c r="B20" s="18" t="s">
        <v>279</v>
      </c>
      <c r="C20" s="19">
        <f t="shared" ref="C20:I20" si="20">(C16/C18)</f>
        <v>58.379024042685742</v>
      </c>
      <c r="D20" s="19">
        <f t="shared" si="20"/>
        <v>56.839460452143626</v>
      </c>
      <c r="E20" s="19">
        <f t="shared" si="20"/>
        <v>56.13694471323717</v>
      </c>
      <c r="F20" s="19">
        <f t="shared" si="20"/>
        <v>52.812730185740406</v>
      </c>
      <c r="G20" s="19">
        <f t="shared" si="20"/>
        <v>51.690315060114742</v>
      </c>
      <c r="H20" s="19">
        <f t="shared" si="20"/>
        <v>47.459082136828926</v>
      </c>
      <c r="I20" s="19">
        <f t="shared" si="20"/>
        <v>48.822142957707207</v>
      </c>
      <c r="J20" s="424">
        <f t="shared" ref="J20:N20" si="21">(J16/J18)</f>
        <v>49.138717112148093</v>
      </c>
      <c r="K20" s="19">
        <f t="shared" si="21"/>
        <v>51.073009202063517</v>
      </c>
      <c r="L20" s="19" t="e">
        <f t="shared" si="21"/>
        <v>#DIV/0!</v>
      </c>
      <c r="M20" s="19" t="e">
        <f t="shared" si="21"/>
        <v>#DIV/0!</v>
      </c>
      <c r="N20" s="19" t="e">
        <f t="shared" si="21"/>
        <v>#DIV/0!</v>
      </c>
    </row>
    <row r="21" spans="2:14" ht="25.5">
      <c r="B21" s="20" t="s">
        <v>280</v>
      </c>
      <c r="C21" s="21">
        <f t="shared" ref="C21:I21" si="22">+C17/C18</f>
        <v>18.26576124504226</v>
      </c>
      <c r="D21" s="21">
        <f t="shared" si="22"/>
        <v>17.887009181027217</v>
      </c>
      <c r="E21" s="21">
        <f t="shared" si="22"/>
        <v>18.390036480363772</v>
      </c>
      <c r="F21" s="21">
        <f t="shared" si="22"/>
        <v>16.36078792155314</v>
      </c>
      <c r="G21" s="21">
        <f t="shared" si="22"/>
        <v>16.551574416237699</v>
      </c>
      <c r="H21" s="21">
        <f t="shared" si="22"/>
        <v>13.672723367209612</v>
      </c>
      <c r="I21" s="21">
        <f t="shared" si="22"/>
        <v>16.146478641546167</v>
      </c>
      <c r="J21" s="425">
        <f t="shared" ref="J21:N21" si="23">+J17/J18</f>
        <v>17.51200934553562</v>
      </c>
      <c r="K21" s="21">
        <f t="shared" si="23"/>
        <v>20.497127079136192</v>
      </c>
      <c r="L21" s="21" t="e">
        <f t="shared" si="23"/>
        <v>#DIV/0!</v>
      </c>
      <c r="M21" s="21" t="e">
        <f t="shared" si="23"/>
        <v>#DIV/0!</v>
      </c>
      <c r="N21" s="21" t="e">
        <f t="shared" si="23"/>
        <v>#DIV/0!</v>
      </c>
    </row>
    <row r="22" spans="2:14" ht="25.5">
      <c r="B22" s="20" t="s">
        <v>281</v>
      </c>
      <c r="C22" s="21">
        <f t="shared" ref="C22:I22" si="24">+C10/C18</f>
        <v>19.628052939449944</v>
      </c>
      <c r="D22" s="21">
        <f t="shared" si="24"/>
        <v>19.788128467543711</v>
      </c>
      <c r="E22" s="21">
        <f t="shared" si="24"/>
        <v>22.527225498744517</v>
      </c>
      <c r="F22" s="21">
        <f t="shared" si="24"/>
        <v>22.870871380845212</v>
      </c>
      <c r="G22" s="21">
        <f t="shared" si="24"/>
        <v>22.102098884481435</v>
      </c>
      <c r="H22" s="21">
        <f t="shared" si="24"/>
        <v>22.226191430797833</v>
      </c>
      <c r="I22" s="21">
        <f t="shared" si="24"/>
        <v>23.666510904910158</v>
      </c>
      <c r="J22" s="425">
        <f t="shared" ref="J22:N22" si="25">+J10/J18</f>
        <v>25.559832384964874</v>
      </c>
      <c r="K22" s="21">
        <f t="shared" si="25"/>
        <v>29.282660679044412</v>
      </c>
      <c r="L22" s="21" t="e">
        <f t="shared" si="25"/>
        <v>#DIV/0!</v>
      </c>
      <c r="M22" s="21" t="e">
        <f t="shared" si="25"/>
        <v>#DIV/0!</v>
      </c>
      <c r="N22" s="21" t="e">
        <f t="shared" si="25"/>
        <v>#DIV/0!</v>
      </c>
    </row>
    <row r="23" spans="2:14" ht="25.5">
      <c r="B23" s="76" t="s">
        <v>282</v>
      </c>
      <c r="C23" s="77">
        <v>52</v>
      </c>
      <c r="D23" s="77">
        <v>53</v>
      </c>
      <c r="E23" s="77">
        <v>46</v>
      </c>
      <c r="F23" s="77">
        <v>32</v>
      </c>
      <c r="G23" s="77">
        <v>30</v>
      </c>
      <c r="H23" s="77">
        <v>40</v>
      </c>
      <c r="I23" s="77">
        <v>35.35</v>
      </c>
      <c r="J23" s="849">
        <v>52.32</v>
      </c>
      <c r="K23" s="77">
        <v>172</v>
      </c>
      <c r="L23" s="77"/>
      <c r="M23" s="77"/>
      <c r="N23" s="77"/>
    </row>
    <row r="24" spans="2:14" ht="25.5">
      <c r="B24" s="18" t="s">
        <v>283</v>
      </c>
      <c r="C24" s="22">
        <f t="shared" ref="C24:I24" si="26">+C23/C43</f>
        <v>10.947368421052632</v>
      </c>
      <c r="D24" s="22">
        <f t="shared" si="26"/>
        <v>14.600550964187327</v>
      </c>
      <c r="E24" s="22">
        <f t="shared" si="26"/>
        <v>8.3636363636363633</v>
      </c>
      <c r="F24" s="22">
        <f t="shared" si="26"/>
        <v>8.9635854341736696</v>
      </c>
      <c r="G24" s="22">
        <f t="shared" si="26"/>
        <v>7.0257611241217806</v>
      </c>
      <c r="H24" s="22">
        <f t="shared" si="26"/>
        <v>7.6045627376425857</v>
      </c>
      <c r="I24" s="22">
        <f t="shared" si="26"/>
        <v>6.1159169550173011</v>
      </c>
      <c r="J24" s="427">
        <f t="shared" ref="J24:N24" si="27">+J23/J43</f>
        <v>8.4523424878836835</v>
      </c>
      <c r="K24" s="22">
        <f t="shared" si="27"/>
        <v>20.975609756097562</v>
      </c>
      <c r="L24" s="22" t="e">
        <f t="shared" si="27"/>
        <v>#DIV/0!</v>
      </c>
      <c r="M24" s="22" t="e">
        <f t="shared" si="27"/>
        <v>#DIV/0!</v>
      </c>
      <c r="N24" s="22" t="e">
        <f t="shared" si="27"/>
        <v>#DIV/0!</v>
      </c>
    </row>
    <row r="25" spans="2:14" ht="25.5">
      <c r="B25" s="18" t="s">
        <v>301</v>
      </c>
      <c r="C25" s="22">
        <f t="shared" ref="C25:I25" si="28">+C23/C20</f>
        <v>0.89073088926561172</v>
      </c>
      <c r="D25" s="22">
        <f t="shared" si="28"/>
        <v>0.93245079348745252</v>
      </c>
      <c r="E25" s="22">
        <f t="shared" si="28"/>
        <v>0.81942471637850167</v>
      </c>
      <c r="F25" s="22">
        <f t="shared" si="28"/>
        <v>0.60591451885666947</v>
      </c>
      <c r="G25" s="22">
        <f>+G23/G20</f>
        <v>0.58037951529431842</v>
      </c>
      <c r="H25" s="22">
        <f t="shared" si="28"/>
        <v>0.84283130222949321</v>
      </c>
      <c r="I25" s="22">
        <f t="shared" si="28"/>
        <v>0.72405670579889092</v>
      </c>
      <c r="J25" s="427">
        <f t="shared" ref="J25:N25" si="29">+J23/J20</f>
        <v>1.0647408616832903</v>
      </c>
      <c r="K25" s="22">
        <f t="shared" si="29"/>
        <v>3.3677279386359444</v>
      </c>
      <c r="L25" s="22" t="e">
        <f t="shared" si="29"/>
        <v>#DIV/0!</v>
      </c>
      <c r="M25" s="22" t="e">
        <f t="shared" si="29"/>
        <v>#DIV/0!</v>
      </c>
      <c r="N25" s="22" t="e">
        <f t="shared" si="29"/>
        <v>#DIV/0!</v>
      </c>
    </row>
    <row r="26" spans="2:14" ht="25.5">
      <c r="B26" s="18" t="s">
        <v>285</v>
      </c>
      <c r="C26" s="22">
        <f>+C24*C25</f>
        <v>9.7511592088024859</v>
      </c>
      <c r="D26" s="22">
        <f t="shared" ref="D26:I26" si="30">+D24*D25</f>
        <v>13.614295331910464</v>
      </c>
      <c r="E26" s="22">
        <f t="shared" si="30"/>
        <v>6.8533703551656497</v>
      </c>
      <c r="F26" s="22">
        <f t="shared" si="30"/>
        <v>5.43116655557799</v>
      </c>
      <c r="G26" s="22">
        <f t="shared" si="30"/>
        <v>4.0776078357914649</v>
      </c>
      <c r="H26" s="22">
        <f t="shared" si="30"/>
        <v>6.4093635150531805</v>
      </c>
      <c r="I26" s="22">
        <f t="shared" si="30"/>
        <v>4.4282706833894112</v>
      </c>
      <c r="J26" s="427">
        <f t="shared" ref="J26:N26" si="31">+J24*J25</f>
        <v>8.9995544237915581</v>
      </c>
      <c r="K26" s="22">
        <f t="shared" si="31"/>
        <v>70.640147005534445</v>
      </c>
      <c r="L26" s="22" t="e">
        <f t="shared" si="31"/>
        <v>#DIV/0!</v>
      </c>
      <c r="M26" s="22" t="e">
        <f t="shared" si="31"/>
        <v>#DIV/0!</v>
      </c>
      <c r="N26" s="22" t="e">
        <f t="shared" si="31"/>
        <v>#DIV/0!</v>
      </c>
    </row>
    <row r="27" spans="2:14" ht="25.5">
      <c r="B27" s="23" t="s">
        <v>286</v>
      </c>
      <c r="C27" s="24">
        <v>0</v>
      </c>
      <c r="D27" s="24">
        <v>0</v>
      </c>
      <c r="E27" s="24">
        <v>0</v>
      </c>
      <c r="F27" s="24">
        <v>0</v>
      </c>
      <c r="G27" s="24">
        <v>0</v>
      </c>
      <c r="H27" s="24">
        <v>1</v>
      </c>
      <c r="I27" s="24">
        <v>1</v>
      </c>
      <c r="J27" s="428">
        <v>1</v>
      </c>
      <c r="K27" s="24">
        <v>1</v>
      </c>
      <c r="L27" s="24"/>
      <c r="M27" s="24"/>
      <c r="N27" s="24"/>
    </row>
    <row r="28" spans="2:14" ht="25.5">
      <c r="B28" s="23" t="s">
        <v>287</v>
      </c>
      <c r="C28" s="24">
        <v>1</v>
      </c>
      <c r="D28" s="24">
        <v>1</v>
      </c>
      <c r="E28" s="24">
        <v>1</v>
      </c>
      <c r="F28" s="24">
        <v>1</v>
      </c>
      <c r="G28" s="24">
        <v>1</v>
      </c>
      <c r="H28" s="24">
        <v>2</v>
      </c>
      <c r="I28" s="24">
        <v>2</v>
      </c>
      <c r="J28" s="428">
        <v>2</v>
      </c>
      <c r="K28" s="24">
        <v>2</v>
      </c>
      <c r="L28" s="24"/>
      <c r="M28" s="24"/>
      <c r="N28" s="24"/>
    </row>
    <row r="29" spans="2:14" ht="25.5">
      <c r="B29" s="25" t="s">
        <v>288</v>
      </c>
      <c r="C29" s="26">
        <f>+C27*C20</f>
        <v>0</v>
      </c>
      <c r="D29" s="26">
        <f t="shared" ref="D29:H29" si="32">+D27*D20</f>
        <v>0</v>
      </c>
      <c r="E29" s="26">
        <f t="shared" si="32"/>
        <v>0</v>
      </c>
      <c r="F29" s="26">
        <f t="shared" si="32"/>
        <v>0</v>
      </c>
      <c r="G29" s="26">
        <f t="shared" si="32"/>
        <v>0</v>
      </c>
      <c r="H29" s="26">
        <f t="shared" si="32"/>
        <v>47.459082136828926</v>
      </c>
      <c r="I29" s="26">
        <f t="shared" ref="I29:J29" si="33">+I27*I20</f>
        <v>48.822142957707207</v>
      </c>
      <c r="J29" s="429">
        <f t="shared" si="33"/>
        <v>49.138717112148093</v>
      </c>
      <c r="K29" s="26">
        <f t="shared" ref="K29:N29" si="34">+K27*K20</f>
        <v>51.073009202063517</v>
      </c>
      <c r="L29" s="26" t="e">
        <f t="shared" si="34"/>
        <v>#DIV/0!</v>
      </c>
      <c r="M29" s="26" t="e">
        <f t="shared" si="34"/>
        <v>#DIV/0!</v>
      </c>
      <c r="N29" s="26" t="e">
        <f t="shared" si="34"/>
        <v>#DIV/0!</v>
      </c>
    </row>
    <row r="30" spans="2:14" ht="25.5">
      <c r="B30" s="25" t="s">
        <v>289</v>
      </c>
      <c r="C30" s="26">
        <f>AVERAGE(C29,C31)</f>
        <v>29.189512021342871</v>
      </c>
      <c r="D30" s="26">
        <f t="shared" ref="D30:H30" si="35">AVERAGE(D29,D31)</f>
        <v>28.419730226071813</v>
      </c>
      <c r="E30" s="26">
        <f t="shared" si="35"/>
        <v>28.068472356618585</v>
      </c>
      <c r="F30" s="26">
        <f t="shared" si="35"/>
        <v>26.406365092870203</v>
      </c>
      <c r="G30" s="26">
        <f t="shared" si="35"/>
        <v>25.845157530057371</v>
      </c>
      <c r="H30" s="26">
        <f t="shared" si="35"/>
        <v>71.188623205243388</v>
      </c>
      <c r="I30" s="26">
        <f t="shared" ref="I30:J30" si="36">AVERAGE(I29,I31)</f>
        <v>73.233214436560814</v>
      </c>
      <c r="J30" s="429">
        <f t="shared" si="36"/>
        <v>73.708075668222136</v>
      </c>
      <c r="K30" s="26">
        <f t="shared" ref="K30:N30" si="37">AVERAGE(K29,K31)</f>
        <v>76.609513803095268</v>
      </c>
      <c r="L30" s="26" t="e">
        <f t="shared" si="37"/>
        <v>#DIV/0!</v>
      </c>
      <c r="M30" s="26" t="e">
        <f t="shared" si="37"/>
        <v>#DIV/0!</v>
      </c>
      <c r="N30" s="26" t="e">
        <f t="shared" si="37"/>
        <v>#DIV/0!</v>
      </c>
    </row>
    <row r="31" spans="2:14" ht="25.5">
      <c r="B31" s="25" t="s">
        <v>290</v>
      </c>
      <c r="C31" s="26">
        <f>+C20*C28</f>
        <v>58.379024042685742</v>
      </c>
      <c r="D31" s="26">
        <f t="shared" ref="D31:H31" si="38">+D20*D28</f>
        <v>56.839460452143626</v>
      </c>
      <c r="E31" s="26">
        <f t="shared" si="38"/>
        <v>56.13694471323717</v>
      </c>
      <c r="F31" s="26">
        <f t="shared" si="38"/>
        <v>52.812730185740406</v>
      </c>
      <c r="G31" s="26">
        <f t="shared" si="38"/>
        <v>51.690315060114742</v>
      </c>
      <c r="H31" s="26">
        <f t="shared" si="38"/>
        <v>94.918164273657851</v>
      </c>
      <c r="I31" s="26">
        <f t="shared" ref="I31:J31" si="39">+I20*I28</f>
        <v>97.644285915414414</v>
      </c>
      <c r="J31" s="429">
        <f t="shared" si="39"/>
        <v>98.277434224296186</v>
      </c>
      <c r="K31" s="26">
        <f t="shared" ref="K31:N31" si="40">+K20*K28</f>
        <v>102.14601840412703</v>
      </c>
      <c r="L31" s="26" t="e">
        <f t="shared" si="40"/>
        <v>#DIV/0!</v>
      </c>
      <c r="M31" s="26" t="e">
        <f t="shared" si="40"/>
        <v>#DIV/0!</v>
      </c>
      <c r="N31" s="26" t="e">
        <f t="shared" si="40"/>
        <v>#DIV/0!</v>
      </c>
    </row>
    <row r="33" spans="2:14" ht="25.5">
      <c r="B33" s="27" t="s">
        <v>291</v>
      </c>
      <c r="C33" s="28">
        <f t="shared" ref="C33:I33" si="41">C7-C13</f>
        <v>24702595000</v>
      </c>
      <c r="D33" s="28">
        <f t="shared" si="41"/>
        <v>29181071000</v>
      </c>
      <c r="E33" s="28">
        <f t="shared" si="41"/>
        <v>22071657000</v>
      </c>
      <c r="F33" s="28">
        <f t="shared" si="41"/>
        <v>6655325000</v>
      </c>
      <c r="G33" s="28">
        <f t="shared" si="41"/>
        <v>29378869000</v>
      </c>
      <c r="H33" s="29">
        <f t="shared" si="41"/>
        <v>-1801348000</v>
      </c>
      <c r="I33" s="28">
        <f t="shared" si="41"/>
        <v>35243953000</v>
      </c>
      <c r="J33" s="461">
        <f t="shared" ref="J33:N33" si="42">J7-J13</f>
        <v>52691360000</v>
      </c>
      <c r="K33" s="453">
        <f t="shared" si="42"/>
        <v>52471800000</v>
      </c>
      <c r="L33" s="28">
        <f t="shared" si="42"/>
        <v>0</v>
      </c>
      <c r="M33" s="28">
        <f t="shared" si="42"/>
        <v>0</v>
      </c>
      <c r="N33" s="28">
        <f t="shared" si="42"/>
        <v>0</v>
      </c>
    </row>
    <row r="34" spans="2:14" ht="25.5">
      <c r="B34" s="30" t="s">
        <v>149</v>
      </c>
      <c r="C34" s="31">
        <f t="shared" ref="C34:I34" si="43">C7/C13</f>
        <v>2.8982795786016129</v>
      </c>
      <c r="D34" s="31">
        <f t="shared" si="43"/>
        <v>3.2434836993980567</v>
      </c>
      <c r="E34" s="31">
        <f t="shared" si="43"/>
        <v>2.4020258546681572</v>
      </c>
      <c r="F34" s="31">
        <f t="shared" si="43"/>
        <v>1.0828601735932355</v>
      </c>
      <c r="G34" s="31">
        <f t="shared" si="43"/>
        <v>2.2837305877977716</v>
      </c>
      <c r="H34" s="98">
        <f t="shared" si="43"/>
        <v>0.96464251280553492</v>
      </c>
      <c r="I34" s="98">
        <f t="shared" si="43"/>
        <v>1.7401518863250856</v>
      </c>
      <c r="J34" s="462">
        <f t="shared" ref="J34:N34" si="44">J7/J13</f>
        <v>1.7708994081974527</v>
      </c>
      <c r="K34" s="454">
        <f t="shared" si="44"/>
        <v>1.514493380441674</v>
      </c>
      <c r="L34" s="98" t="e">
        <f t="shared" si="44"/>
        <v>#DIV/0!</v>
      </c>
      <c r="M34" s="98" t="e">
        <f t="shared" si="44"/>
        <v>#DIV/0!</v>
      </c>
      <c r="N34" s="98" t="e">
        <f t="shared" si="44"/>
        <v>#DIV/0!</v>
      </c>
    </row>
    <row r="35" spans="2:14" ht="25.5">
      <c r="B35" s="30" t="s">
        <v>292</v>
      </c>
      <c r="C35" s="31">
        <f>+(C7-C8)/C13</f>
        <v>2.8982795786016129</v>
      </c>
      <c r="D35" s="31">
        <f t="shared" ref="D35:I35" si="45">+(D7-D8)/D13</f>
        <v>3.2434836993980567</v>
      </c>
      <c r="E35" s="31">
        <f t="shared" si="45"/>
        <v>2.4020258546681572</v>
      </c>
      <c r="F35" s="31">
        <f t="shared" si="45"/>
        <v>1.0828601735932355</v>
      </c>
      <c r="G35" s="31">
        <f t="shared" si="45"/>
        <v>2.2837305877977716</v>
      </c>
      <c r="H35" s="31">
        <f t="shared" si="45"/>
        <v>0.96464251280553492</v>
      </c>
      <c r="I35" s="31">
        <f t="shared" si="45"/>
        <v>1.7401518863250856</v>
      </c>
      <c r="J35" s="431">
        <f t="shared" ref="J35:N35" si="46">+(J7-J8)/J13</f>
        <v>1.7708994081974527</v>
      </c>
      <c r="K35" s="396">
        <f t="shared" si="46"/>
        <v>1.514493380441674</v>
      </c>
      <c r="L35" s="31" t="e">
        <f t="shared" si="46"/>
        <v>#DIV/0!</v>
      </c>
      <c r="M35" s="31" t="e">
        <f t="shared" si="46"/>
        <v>#DIV/0!</v>
      </c>
      <c r="N35" s="31" t="e">
        <f t="shared" si="46"/>
        <v>#DIV/0!</v>
      </c>
    </row>
    <row r="36" spans="2:14" ht="25.5">
      <c r="B36" s="32" t="s">
        <v>153</v>
      </c>
      <c r="C36" s="33">
        <f t="shared" ref="C36:I36" si="47">C15/C12</f>
        <v>9.2144776223461039E-2</v>
      </c>
      <c r="D36" s="33">
        <f t="shared" si="47"/>
        <v>0.10556344499240385</v>
      </c>
      <c r="E36" s="33">
        <f t="shared" si="47"/>
        <v>0.1368251163250718</v>
      </c>
      <c r="F36" s="33">
        <f t="shared" si="47"/>
        <v>0.22146871664879286</v>
      </c>
      <c r="G36" s="33">
        <f t="shared" si="47"/>
        <v>0.17816044658099861</v>
      </c>
      <c r="H36" s="33">
        <f t="shared" si="47"/>
        <v>0.22767570385935895</v>
      </c>
      <c r="I36" s="33">
        <f t="shared" si="47"/>
        <v>0.23801450812230224</v>
      </c>
      <c r="J36" s="432">
        <f t="shared" ref="J36:N36" si="48">J15/J12</f>
        <v>0.27568126426586081</v>
      </c>
      <c r="K36" s="397">
        <f t="shared" si="48"/>
        <v>0.30089131100818206</v>
      </c>
      <c r="L36" s="33" t="e">
        <f t="shared" si="48"/>
        <v>#DIV/0!</v>
      </c>
      <c r="M36" s="33" t="e">
        <f t="shared" si="48"/>
        <v>#DIV/0!</v>
      </c>
      <c r="N36" s="33" t="e">
        <f t="shared" si="48"/>
        <v>#DIV/0!</v>
      </c>
    </row>
    <row r="37" spans="2:14" ht="18">
      <c r="I37" s="34"/>
      <c r="J37" s="433"/>
      <c r="K37" s="34"/>
      <c r="L37" s="34"/>
      <c r="M37" s="34"/>
      <c r="N37" s="34"/>
    </row>
    <row r="38" spans="2:14" ht="25.5">
      <c r="B38" s="35" t="s">
        <v>293</v>
      </c>
      <c r="C38" s="36">
        <f>+C108+C109</f>
        <v>143094111000</v>
      </c>
      <c r="D38" s="36">
        <f t="shared" ref="D38:I38" si="49">+D108+D109</f>
        <v>127859790000</v>
      </c>
      <c r="E38" s="36">
        <f t="shared" si="49"/>
        <v>164292888000</v>
      </c>
      <c r="F38" s="36">
        <f t="shared" si="49"/>
        <v>138014725000</v>
      </c>
      <c r="G38" s="36">
        <f t="shared" si="49"/>
        <v>149364042000</v>
      </c>
      <c r="H38" s="36">
        <f t="shared" si="49"/>
        <v>158687056000</v>
      </c>
      <c r="I38" s="36">
        <f t="shared" si="49"/>
        <v>181439193000</v>
      </c>
      <c r="J38" s="434">
        <f t="shared" ref="J38:N38" si="50">+J108+J109</f>
        <v>192047230000</v>
      </c>
      <c r="K38" s="398">
        <f t="shared" si="50"/>
        <v>227068045000</v>
      </c>
      <c r="L38" s="36">
        <f t="shared" si="50"/>
        <v>0</v>
      </c>
      <c r="M38" s="36">
        <f t="shared" si="50"/>
        <v>0</v>
      </c>
      <c r="N38" s="36">
        <f t="shared" si="50"/>
        <v>0</v>
      </c>
    </row>
    <row r="39" spans="2:14" ht="25.5">
      <c r="B39" s="39" t="s">
        <v>181</v>
      </c>
      <c r="C39" s="40">
        <f>+C108+C109+C110+C113</f>
        <v>92549134000</v>
      </c>
      <c r="D39" s="40">
        <f t="shared" ref="D39:I39" si="51">+D108+D109+D110+D113</f>
        <v>72822978000</v>
      </c>
      <c r="E39" s="40">
        <f t="shared" si="51"/>
        <v>106748297000</v>
      </c>
      <c r="F39" s="40">
        <f t="shared" si="51"/>
        <v>76021365000</v>
      </c>
      <c r="G39" s="40">
        <f t="shared" si="51"/>
        <v>83956863000</v>
      </c>
      <c r="H39" s="40">
        <f t="shared" si="51"/>
        <v>87196443000</v>
      </c>
      <c r="I39" s="40">
        <f t="shared" si="51"/>
        <v>106944601000</v>
      </c>
      <c r="J39" s="435">
        <f t="shared" ref="J39:N39" si="52">+J108+J109+J110+J113</f>
        <v>116143299000</v>
      </c>
      <c r="K39" s="399">
        <f t="shared" si="52"/>
        <v>151133399000</v>
      </c>
      <c r="L39" s="40">
        <f t="shared" si="52"/>
        <v>0</v>
      </c>
      <c r="M39" s="40">
        <f t="shared" si="52"/>
        <v>0</v>
      </c>
      <c r="N39" s="40">
        <f t="shared" si="52"/>
        <v>0</v>
      </c>
    </row>
    <row r="40" spans="2:14" ht="25.5">
      <c r="B40" s="35" t="s">
        <v>294</v>
      </c>
      <c r="C40" s="41">
        <f>C39/C38</f>
        <v>0.64677108899331293</v>
      </c>
      <c r="D40" s="41">
        <f t="shared" ref="D40:I40" si="53">D39/D38</f>
        <v>0.56955339907878777</v>
      </c>
      <c r="E40" s="41">
        <f t="shared" si="53"/>
        <v>0.64974387083633223</v>
      </c>
      <c r="F40" s="41">
        <f t="shared" si="53"/>
        <v>0.5508206823583498</v>
      </c>
      <c r="G40" s="41">
        <f t="shared" si="53"/>
        <v>0.56209554773564574</v>
      </c>
      <c r="H40" s="41">
        <f t="shared" si="53"/>
        <v>0.54948680250265658</v>
      </c>
      <c r="I40" s="41">
        <f t="shared" si="53"/>
        <v>0.58942392341879524</v>
      </c>
      <c r="J40" s="436">
        <f t="shared" ref="J40:N40" si="54">J39/J38</f>
        <v>0.60476424991914746</v>
      </c>
      <c r="K40" s="400">
        <f t="shared" si="54"/>
        <v>0.66558638402862891</v>
      </c>
      <c r="L40" s="41" t="e">
        <f t="shared" si="54"/>
        <v>#DIV/0!</v>
      </c>
      <c r="M40" s="41" t="e">
        <f t="shared" si="54"/>
        <v>#DIV/0!</v>
      </c>
      <c r="N40" s="41" t="e">
        <f t="shared" si="54"/>
        <v>#DIV/0!</v>
      </c>
    </row>
    <row r="41" spans="2:14" ht="25.5">
      <c r="B41" s="43" t="s">
        <v>295</v>
      </c>
      <c r="C41" s="44">
        <f>+C124</f>
        <v>61041260000</v>
      </c>
      <c r="D41" s="44">
        <f t="shared" ref="D41:I41" si="55">+D124</f>
        <v>46339227000</v>
      </c>
      <c r="E41" s="44">
        <f t="shared" si="55"/>
        <v>70292242000</v>
      </c>
      <c r="F41" s="44">
        <f t="shared" si="55"/>
        <v>45556172000</v>
      </c>
      <c r="G41" s="44">
        <f t="shared" si="55"/>
        <v>54567495000</v>
      </c>
      <c r="H41" s="44">
        <f t="shared" si="55"/>
        <v>67172226000</v>
      </c>
      <c r="I41" s="44">
        <f t="shared" si="55"/>
        <v>73863271000</v>
      </c>
      <c r="J41" s="437">
        <f t="shared" ref="J41:N41" si="56">+J124</f>
        <v>79040624000</v>
      </c>
      <c r="K41" s="401">
        <f t="shared" si="56"/>
        <v>104713775000</v>
      </c>
      <c r="L41" s="44">
        <f t="shared" si="56"/>
        <v>0</v>
      </c>
      <c r="M41" s="44">
        <f t="shared" si="56"/>
        <v>0</v>
      </c>
      <c r="N41" s="44">
        <f t="shared" si="56"/>
        <v>0</v>
      </c>
    </row>
    <row r="42" spans="2:14" ht="25.5">
      <c r="B42" s="30" t="s">
        <v>296</v>
      </c>
      <c r="C42" s="45">
        <f>C41/C38</f>
        <v>0.42658121688879286</v>
      </c>
      <c r="D42" s="45">
        <f t="shared" ref="D42:I42" si="57">D41/D38</f>
        <v>0.3624222048229549</v>
      </c>
      <c r="E42" s="45">
        <f t="shared" si="57"/>
        <v>0.42784713845921318</v>
      </c>
      <c r="F42" s="45">
        <f t="shared" si="57"/>
        <v>0.33008196770308385</v>
      </c>
      <c r="G42" s="45">
        <f t="shared" si="57"/>
        <v>0.36533220626153112</v>
      </c>
      <c r="H42" s="45">
        <f t="shared" si="57"/>
        <v>0.42329996972153799</v>
      </c>
      <c r="I42" s="45">
        <f t="shared" si="57"/>
        <v>0.40709655823921131</v>
      </c>
      <c r="J42" s="438">
        <f t="shared" ref="J42:N42" si="58">J41/J38</f>
        <v>0.41156867505977568</v>
      </c>
      <c r="K42" s="402">
        <f t="shared" si="58"/>
        <v>0.46115592795102456</v>
      </c>
      <c r="L42" s="45" t="e">
        <f t="shared" si="58"/>
        <v>#DIV/0!</v>
      </c>
      <c r="M42" s="45" t="e">
        <f t="shared" si="58"/>
        <v>#DIV/0!</v>
      </c>
      <c r="N42" s="45" t="e">
        <f t="shared" si="58"/>
        <v>#DIV/0!</v>
      </c>
    </row>
    <row r="43" spans="2:14" ht="25.5">
      <c r="B43" s="46" t="s">
        <v>159</v>
      </c>
      <c r="C43" s="121">
        <f>+C125</f>
        <v>4.75</v>
      </c>
      <c r="D43" s="121">
        <f t="shared" ref="D43:I43" si="59">+D125</f>
        <v>3.63</v>
      </c>
      <c r="E43" s="121">
        <f t="shared" si="59"/>
        <v>5.5</v>
      </c>
      <c r="F43" s="121">
        <f t="shared" si="59"/>
        <v>3.57</v>
      </c>
      <c r="G43" s="121">
        <f t="shared" si="59"/>
        <v>4.2699999999999996</v>
      </c>
      <c r="H43" s="121">
        <f t="shared" si="59"/>
        <v>5.26</v>
      </c>
      <c r="I43" s="121">
        <f t="shared" si="59"/>
        <v>5.78</v>
      </c>
      <c r="J43" s="481">
        <f t="shared" ref="J43:N43" si="60">+J125</f>
        <v>6.19</v>
      </c>
      <c r="K43" s="480">
        <f t="shared" si="60"/>
        <v>8.1999999999999993</v>
      </c>
      <c r="L43" s="121">
        <f t="shared" si="60"/>
        <v>0</v>
      </c>
      <c r="M43" s="121">
        <f t="shared" si="60"/>
        <v>0</v>
      </c>
      <c r="N43" s="121">
        <f t="shared" si="60"/>
        <v>0</v>
      </c>
    </row>
    <row r="44" spans="2:14" ht="25.5">
      <c r="B44" s="48" t="s">
        <v>160</v>
      </c>
      <c r="C44" s="49">
        <f t="shared" ref="C44:H44" si="61">C41/C16</f>
        <v>8.1877947645034616E-2</v>
      </c>
      <c r="D44" s="49">
        <f t="shared" si="61"/>
        <v>6.3840918529030941E-2</v>
      </c>
      <c r="E44" s="49">
        <f t="shared" si="61"/>
        <v>9.805255438962758E-2</v>
      </c>
      <c r="F44" s="49">
        <f t="shared" si="61"/>
        <v>6.7547439887260904E-2</v>
      </c>
      <c r="G44" s="49">
        <f t="shared" si="61"/>
        <v>8.2665657948859522E-2</v>
      </c>
      <c r="H44" s="49">
        <f t="shared" si="61"/>
        <v>0.11083340977318201</v>
      </c>
      <c r="I44" s="49">
        <f>I41/I16</f>
        <v>0.11847098158640693</v>
      </c>
      <c r="J44" s="49">
        <f>J41/J16</f>
        <v>0.12595831284780601</v>
      </c>
      <c r="K44" s="49">
        <f>K41/K16</f>
        <v>0.16055086811758451</v>
      </c>
      <c r="L44" s="49"/>
      <c r="M44" s="49"/>
      <c r="N44" s="49"/>
    </row>
    <row r="45" spans="2:14" ht="25.5">
      <c r="B45" s="48" t="s">
        <v>302</v>
      </c>
      <c r="C45" s="49">
        <f>AVERAGE(I44:K44)</f>
        <v>0.13499338751726583</v>
      </c>
      <c r="D45" s="49"/>
      <c r="E45" s="49"/>
      <c r="F45" s="49"/>
      <c r="G45" s="49"/>
      <c r="H45" s="49"/>
      <c r="I45" s="49"/>
      <c r="J45" s="440"/>
      <c r="K45" s="404"/>
      <c r="L45" s="49"/>
      <c r="M45" s="49"/>
      <c r="N45" s="49"/>
    </row>
    <row r="46" spans="2:14" ht="25.5">
      <c r="B46" s="48" t="s">
        <v>298</v>
      </c>
      <c r="C46" s="50">
        <f>+C137</f>
        <v>73313745000</v>
      </c>
      <c r="D46" s="50">
        <f t="shared" ref="D46:I46" si="62">+D137</f>
        <v>67592583000</v>
      </c>
      <c r="E46" s="50">
        <f t="shared" si="62"/>
        <v>70736783000</v>
      </c>
      <c r="F46" s="50">
        <f t="shared" si="62"/>
        <v>107965223000</v>
      </c>
      <c r="G46" s="50">
        <f t="shared" si="62"/>
        <v>35209899000</v>
      </c>
      <c r="H46" s="50">
        <f t="shared" si="62"/>
        <v>81740875000</v>
      </c>
      <c r="I46" s="50">
        <f t="shared" si="62"/>
        <v>83195047000</v>
      </c>
      <c r="J46" s="441">
        <f t="shared" ref="J46:N46" si="63">+J137</f>
        <v>89036018000</v>
      </c>
      <c r="K46" s="405">
        <f t="shared" si="63"/>
        <v>98721084000</v>
      </c>
      <c r="L46" s="50">
        <f t="shared" si="63"/>
        <v>0</v>
      </c>
      <c r="M46" s="50">
        <f t="shared" si="63"/>
        <v>0</v>
      </c>
      <c r="N46" s="50">
        <f t="shared" si="63"/>
        <v>0</v>
      </c>
    </row>
    <row r="47" spans="2:14" ht="25.5">
      <c r="B47" s="51" t="s">
        <v>111</v>
      </c>
      <c r="C47" s="51">
        <f>SUM(C49:C52)</f>
        <v>5.9190000000000005</v>
      </c>
      <c r="D47" s="51">
        <f t="shared" ref="D47:N47" si="64">SUM(D49:D52)</f>
        <v>5.1689999999999996</v>
      </c>
      <c r="E47" s="51">
        <f t="shared" si="64"/>
        <v>6.1859999999999999</v>
      </c>
      <c r="F47" s="51">
        <f t="shared" si="64"/>
        <v>5.4809999999999999</v>
      </c>
      <c r="G47" s="51">
        <f t="shared" si="64"/>
        <v>6.8130000000000006</v>
      </c>
      <c r="H47" s="51">
        <f t="shared" si="64"/>
        <v>1.9419999999999999</v>
      </c>
      <c r="I47" s="51">
        <f t="shared" si="64"/>
        <v>6.5</v>
      </c>
      <c r="J47" s="51">
        <f t="shared" si="64"/>
        <v>5.8730000000000002</v>
      </c>
      <c r="K47" s="51">
        <f t="shared" si="64"/>
        <v>6.2645599999999995</v>
      </c>
      <c r="L47" s="51">
        <f t="shared" si="64"/>
        <v>0</v>
      </c>
      <c r="M47" s="51">
        <f t="shared" si="64"/>
        <v>0</v>
      </c>
      <c r="N47" s="51">
        <f t="shared" si="64"/>
        <v>0</v>
      </c>
    </row>
    <row r="48" spans="2:14" ht="25.5">
      <c r="B48" s="51" t="s">
        <v>112</v>
      </c>
      <c r="C48" s="51">
        <f>+C49+C50+C51</f>
        <v>5.5600000000000005</v>
      </c>
      <c r="D48" s="51">
        <f t="shared" ref="D48:N48" si="65">+D49+D50+D51</f>
        <v>5.1689999999999996</v>
      </c>
      <c r="E48" s="51">
        <f t="shared" si="65"/>
        <v>6.1859999999999999</v>
      </c>
      <c r="F48" s="51">
        <f t="shared" si="65"/>
        <v>0</v>
      </c>
      <c r="G48" s="51">
        <f t="shared" si="65"/>
        <v>6.8130000000000006</v>
      </c>
      <c r="H48" s="51">
        <f t="shared" si="65"/>
        <v>1.9419999999999999</v>
      </c>
      <c r="I48" s="51">
        <f t="shared" si="65"/>
        <v>6.5</v>
      </c>
      <c r="J48" s="51">
        <f t="shared" si="65"/>
        <v>5.8730000000000002</v>
      </c>
      <c r="K48" s="51">
        <f t="shared" si="65"/>
        <v>6.2645599999999995</v>
      </c>
      <c r="L48" s="51">
        <f t="shared" si="65"/>
        <v>0</v>
      </c>
      <c r="M48" s="51">
        <f t="shared" si="65"/>
        <v>0</v>
      </c>
      <c r="N48" s="51">
        <f t="shared" si="65"/>
        <v>0</v>
      </c>
    </row>
    <row r="49" spans="2:14" ht="18">
      <c r="B49" s="135" t="s">
        <v>114</v>
      </c>
      <c r="C49" s="94"/>
      <c r="D49" s="94"/>
      <c r="E49" s="94"/>
      <c r="F49" s="94"/>
      <c r="G49" s="94">
        <v>4.0720000000000001</v>
      </c>
      <c r="H49" s="94">
        <v>1.532</v>
      </c>
      <c r="I49" s="94">
        <v>2.0790000000000002</v>
      </c>
      <c r="J49" s="443">
        <v>2.1930000000000001</v>
      </c>
      <c r="K49" s="407">
        <v>2.3492099999999998</v>
      </c>
      <c r="L49" s="94"/>
      <c r="M49" s="94"/>
      <c r="N49" s="94"/>
    </row>
    <row r="50" spans="2:14" ht="18">
      <c r="B50" s="135" t="s">
        <v>115</v>
      </c>
      <c r="C50" s="94">
        <v>3.1320000000000001</v>
      </c>
      <c r="D50" s="94">
        <v>2.4279999999999999</v>
      </c>
      <c r="E50" s="94">
        <v>2.7410000000000001</v>
      </c>
      <c r="F50" s="94"/>
      <c r="G50" s="94">
        <v>2.7410000000000001</v>
      </c>
      <c r="H50" s="94"/>
      <c r="I50" s="517">
        <v>3.524</v>
      </c>
      <c r="J50" s="443">
        <v>3.68</v>
      </c>
      <c r="K50" s="407">
        <v>3.9153500000000001</v>
      </c>
      <c r="L50" s="94"/>
      <c r="M50" s="94"/>
      <c r="N50" s="94"/>
    </row>
    <row r="51" spans="2:14" ht="18">
      <c r="B51" s="135" t="s">
        <v>116</v>
      </c>
      <c r="C51" s="94">
        <v>2.4279999999999999</v>
      </c>
      <c r="D51" s="94">
        <f>1.648+1.093</f>
        <v>2.7409999999999997</v>
      </c>
      <c r="E51" s="94">
        <f>2.244+1.201</f>
        <v>3.4450000000000003</v>
      </c>
      <c r="F51" s="94"/>
      <c r="G51" s="94"/>
      <c r="H51" s="94">
        <v>0.41</v>
      </c>
      <c r="I51" s="94">
        <v>0.89700000000000002</v>
      </c>
      <c r="J51" s="443"/>
      <c r="K51" s="407"/>
      <c r="L51" s="94"/>
      <c r="M51" s="94"/>
      <c r="N51" s="94"/>
    </row>
    <row r="52" spans="2:14" ht="18">
      <c r="B52" s="135" t="s">
        <v>117</v>
      </c>
      <c r="C52" s="94">
        <v>0.35899999999999999</v>
      </c>
      <c r="D52" s="94"/>
      <c r="E52" s="94"/>
      <c r="F52" s="94">
        <v>5.4809999999999999</v>
      </c>
      <c r="G52" s="94"/>
      <c r="H52" s="94"/>
      <c r="I52" s="94"/>
      <c r="J52" s="443"/>
      <c r="K52" s="407"/>
      <c r="L52" s="94"/>
      <c r="M52" s="94"/>
      <c r="N52" s="94"/>
    </row>
    <row r="53" spans="2:14" ht="25.5">
      <c r="B53" s="51" t="s">
        <v>119</v>
      </c>
      <c r="C53" s="51">
        <f>SUM(C55:C58)</f>
        <v>4.78</v>
      </c>
      <c r="D53" s="51">
        <f t="shared" ref="D53:N53" si="66">SUM(D55:D58)</f>
        <v>5.7650000000000006</v>
      </c>
      <c r="E53" s="51">
        <f t="shared" si="66"/>
        <v>3.9420000000000002</v>
      </c>
      <c r="F53" s="51">
        <f t="shared" si="66"/>
        <v>9.5530000000000008</v>
      </c>
      <c r="G53" s="51">
        <f t="shared" si="66"/>
        <v>4.6829999999999998</v>
      </c>
      <c r="H53" s="51">
        <f t="shared" si="66"/>
        <v>2.976</v>
      </c>
      <c r="I53" s="51">
        <f t="shared" si="66"/>
        <v>5.7170000000000005</v>
      </c>
      <c r="J53" s="51">
        <f t="shared" si="66"/>
        <v>6.02921</v>
      </c>
      <c r="K53" s="51">
        <f t="shared" si="66"/>
        <v>3.9153500000000001</v>
      </c>
      <c r="L53" s="51">
        <f t="shared" si="66"/>
        <v>0</v>
      </c>
      <c r="M53" s="51">
        <f t="shared" si="66"/>
        <v>0</v>
      </c>
      <c r="N53" s="51">
        <f t="shared" si="66"/>
        <v>0</v>
      </c>
    </row>
    <row r="54" spans="2:14" ht="25.5">
      <c r="B54" s="51" t="s">
        <v>120</v>
      </c>
      <c r="C54" s="51">
        <f>+C55+C56+C57</f>
        <v>4.78</v>
      </c>
      <c r="D54" s="51">
        <f t="shared" ref="D54:N54" si="67">+D55+D56+D57</f>
        <v>5.7650000000000006</v>
      </c>
      <c r="E54" s="51">
        <f t="shared" si="67"/>
        <v>3.9420000000000002</v>
      </c>
      <c r="F54" s="51">
        <f t="shared" si="67"/>
        <v>4.0720000000000001</v>
      </c>
      <c r="G54" s="51">
        <f t="shared" si="67"/>
        <v>4.6829999999999998</v>
      </c>
      <c r="H54" s="51">
        <f t="shared" si="67"/>
        <v>2.976</v>
      </c>
      <c r="I54" s="51">
        <f t="shared" si="67"/>
        <v>5.7170000000000005</v>
      </c>
      <c r="J54" s="51">
        <f t="shared" si="67"/>
        <v>6.02921</v>
      </c>
      <c r="K54" s="51">
        <f t="shared" si="67"/>
        <v>3.9153500000000001</v>
      </c>
      <c r="L54" s="51">
        <f t="shared" si="67"/>
        <v>0</v>
      </c>
      <c r="M54" s="51">
        <f t="shared" si="67"/>
        <v>0</v>
      </c>
      <c r="N54" s="51">
        <f t="shared" si="67"/>
        <v>0</v>
      </c>
    </row>
    <row r="55" spans="2:14" ht="18">
      <c r="B55" s="135" t="s">
        <v>121</v>
      </c>
      <c r="C55" s="94"/>
      <c r="D55" s="94"/>
      <c r="E55" s="94"/>
      <c r="F55" s="94">
        <v>4.0720000000000001</v>
      </c>
      <c r="G55" s="94">
        <v>1.532</v>
      </c>
      <c r="H55" s="789">
        <v>2.0790000000000002</v>
      </c>
      <c r="I55" s="94">
        <v>2.1930000000000001</v>
      </c>
      <c r="J55" s="443">
        <v>2.3492099999999998</v>
      </c>
      <c r="K55" s="407"/>
      <c r="L55" s="94"/>
      <c r="M55" s="94"/>
      <c r="N55" s="94"/>
    </row>
    <row r="56" spans="2:14" ht="18">
      <c r="B56" s="135" t="s">
        <v>122</v>
      </c>
      <c r="C56" s="94">
        <v>3.1320000000000001</v>
      </c>
      <c r="D56" s="94">
        <v>2.4279999999999999</v>
      </c>
      <c r="E56" s="94">
        <v>2.7410000000000001</v>
      </c>
      <c r="F56" s="789"/>
      <c r="G56" s="94">
        <v>2.7410000000000001</v>
      </c>
      <c r="H56" s="94"/>
      <c r="I56" s="94">
        <v>3.524</v>
      </c>
      <c r="J56" s="443">
        <v>3.68</v>
      </c>
      <c r="K56" s="407">
        <v>3.9153500000000001</v>
      </c>
      <c r="L56" s="94"/>
      <c r="M56" s="94"/>
      <c r="N56" s="94"/>
    </row>
    <row r="57" spans="2:14" ht="18">
      <c r="B57" s="135" t="s">
        <v>123</v>
      </c>
      <c r="C57" s="94">
        <v>1.6479999999999999</v>
      </c>
      <c r="D57" s="94">
        <f>1.093+2.244</f>
        <v>3.3370000000000002</v>
      </c>
      <c r="E57" s="94">
        <v>1.2010000000000001</v>
      </c>
      <c r="F57" s="94"/>
      <c r="G57" s="94">
        <v>0.41</v>
      </c>
      <c r="H57" s="94">
        <v>0.89700000000000002</v>
      </c>
      <c r="I57" s="94"/>
      <c r="J57" s="443"/>
      <c r="K57" s="407"/>
      <c r="L57" s="94"/>
      <c r="M57" s="94"/>
      <c r="N57" s="94"/>
    </row>
    <row r="58" spans="2:14" ht="18">
      <c r="B58" s="135" t="s">
        <v>124</v>
      </c>
      <c r="C58" s="94"/>
      <c r="D58" s="94"/>
      <c r="E58" s="94"/>
      <c r="F58" s="94">
        <v>5.4809999999999999</v>
      </c>
      <c r="G58" s="94"/>
      <c r="H58" s="94"/>
      <c r="I58" s="94"/>
      <c r="J58" s="443"/>
      <c r="K58" s="407"/>
      <c r="L58" s="94"/>
      <c r="M58" s="94"/>
      <c r="N58" s="94"/>
    </row>
    <row r="59" spans="2:14" ht="28.5">
      <c r="B59" s="541" t="s">
        <v>167</v>
      </c>
      <c r="C59" s="539">
        <f>(C55+C56+C57)/C43</f>
        <v>1.0063157894736843</v>
      </c>
      <c r="D59" s="539">
        <f>(D55+D56+D57)/D43</f>
        <v>1.588154269972452</v>
      </c>
      <c r="E59" s="539">
        <f t="shared" ref="E59:N59" si="68">(E55+E56+E57)/E43</f>
        <v>0.71672727272727277</v>
      </c>
      <c r="F59" s="539">
        <f t="shared" si="68"/>
        <v>1.1406162464985996</v>
      </c>
      <c r="G59" s="539">
        <f t="shared" si="68"/>
        <v>1.09672131147541</v>
      </c>
      <c r="H59" s="539">
        <f>(H55+H56+H57)/H43</f>
        <v>0.56577946768060838</v>
      </c>
      <c r="I59" s="539">
        <f t="shared" si="68"/>
        <v>0.98910034602076125</v>
      </c>
      <c r="J59" s="539">
        <f t="shared" si="68"/>
        <v>0.97402423263327942</v>
      </c>
      <c r="K59" s="539">
        <f t="shared" si="68"/>
        <v>0.47748170731707323</v>
      </c>
      <c r="L59" s="539" t="e">
        <f t="shared" si="68"/>
        <v>#DIV/0!</v>
      </c>
      <c r="M59" s="539" t="e">
        <f t="shared" si="68"/>
        <v>#DIV/0!</v>
      </c>
      <c r="N59" s="539" t="e">
        <f t="shared" si="68"/>
        <v>#DIV/0!</v>
      </c>
    </row>
    <row r="60" spans="2:14" ht="28.5">
      <c r="B60" s="540" t="s">
        <v>303</v>
      </c>
      <c r="C60" s="54">
        <f>AVERAGE(I59:K59)</f>
        <v>0.8135354286570381</v>
      </c>
      <c r="D60" s="54"/>
      <c r="E60" s="54"/>
      <c r="F60" s="54"/>
      <c r="G60" s="54"/>
      <c r="H60" s="54"/>
      <c r="I60" s="54"/>
      <c r="J60" s="533"/>
      <c r="K60" s="533"/>
      <c r="L60" s="533"/>
      <c r="M60" s="533"/>
      <c r="N60" s="533"/>
    </row>
    <row r="61" spans="2:14" ht="25.5">
      <c r="B61" s="541" t="s">
        <v>304</v>
      </c>
      <c r="C61" s="45" t="e">
        <f>+C47/B23</f>
        <v>#VALUE!</v>
      </c>
      <c r="D61" s="45">
        <f>+D47/D22</f>
        <v>0.26121722468489839</v>
      </c>
      <c r="E61" s="45">
        <f t="shared" ref="E61:J61" si="69">+E47/E22</f>
        <v>0.27460105996385381</v>
      </c>
      <c r="F61" s="45">
        <f t="shared" si="69"/>
        <v>0.23964981083276263</v>
      </c>
      <c r="G61" s="45">
        <f t="shared" si="69"/>
        <v>0.30825126770125971</v>
      </c>
      <c r="H61" s="45">
        <f t="shared" si="69"/>
        <v>8.7374393676329903E-2</v>
      </c>
      <c r="I61" s="45">
        <f t="shared" si="69"/>
        <v>0.27464969492615099</v>
      </c>
      <c r="J61" s="45">
        <f t="shared" si="69"/>
        <v>0.22977458973692996</v>
      </c>
      <c r="K61" s="832">
        <f t="shared" ref="K61:N61" si="70">+K47/K23</f>
        <v>3.6421860465116279E-2</v>
      </c>
      <c r="L61" s="832" t="e">
        <f t="shared" si="70"/>
        <v>#DIV/0!</v>
      </c>
      <c r="M61" s="832" t="e">
        <f t="shared" si="70"/>
        <v>#DIV/0!</v>
      </c>
      <c r="N61" s="832" t="e">
        <f t="shared" si="70"/>
        <v>#DIV/0!</v>
      </c>
    </row>
    <row r="62" spans="2:14" ht="25.5">
      <c r="B62" s="542" t="s">
        <v>305</v>
      </c>
      <c r="C62" s="534">
        <f>AVERAGE(I61:K61)</f>
        <v>0.18028204837606576</v>
      </c>
      <c r="D62" s="534"/>
      <c r="E62" s="534"/>
      <c r="F62" s="534"/>
      <c r="G62" s="534"/>
      <c r="H62" s="534"/>
      <c r="I62" s="534"/>
      <c r="J62" s="534"/>
      <c r="K62" s="534"/>
      <c r="L62" s="534"/>
      <c r="M62" s="534"/>
      <c r="N62" s="534"/>
    </row>
    <row r="63" spans="2:14" ht="25.5">
      <c r="B63" s="543" t="s">
        <v>176</v>
      </c>
      <c r="C63" s="355">
        <f>+C44*(100%-C59)</f>
        <v>-5.1712387986338178E-4</v>
      </c>
      <c r="D63" s="355">
        <f t="shared" ref="D63:J63" si="71">+D44*(100%-D59)</f>
        <v>-3.7548308831812975E-2</v>
      </c>
      <c r="E63" s="355">
        <f t="shared" si="71"/>
        <v>2.7775614498007226E-2</v>
      </c>
      <c r="F63" s="355">
        <f t="shared" si="71"/>
        <v>-9.4982674575364179E-3</v>
      </c>
      <c r="G63" s="355">
        <f t="shared" si="71"/>
        <v>-7.9955308507913408E-3</v>
      </c>
      <c r="H63" s="355">
        <f t="shared" si="71"/>
        <v>4.8126142190484354E-2</v>
      </c>
      <c r="I63" s="355">
        <f>+I44*(100%-I59)</f>
        <v>1.2912927058726016E-3</v>
      </c>
      <c r="J63" s="444">
        <f t="shared" si="71"/>
        <v>3.2718638324392211E-3</v>
      </c>
      <c r="K63" s="355">
        <f>+K44*(100%-K59)</f>
        <v>8.3890765497562012E-2</v>
      </c>
      <c r="L63" s="355" t="e">
        <f>+L44*(100%-L59)</f>
        <v>#DIV/0!</v>
      </c>
      <c r="M63" s="355" t="e">
        <f>+M44*(100%-M59)</f>
        <v>#DIV/0!</v>
      </c>
      <c r="N63" s="355" t="e">
        <f>+N44*(100%-N59)</f>
        <v>#DIV/0!</v>
      </c>
    </row>
    <row r="64" spans="2:14" ht="25.5">
      <c r="B64" s="542" t="s">
        <v>306</v>
      </c>
      <c r="C64" s="534">
        <f>AVERAGE(I63:K63)</f>
        <v>2.9484640678624611E-2</v>
      </c>
      <c r="D64" s="534"/>
      <c r="E64" s="534"/>
      <c r="F64" s="534"/>
      <c r="G64" s="534"/>
      <c r="H64" s="534"/>
      <c r="I64" s="534"/>
      <c r="J64" s="535"/>
      <c r="K64" s="534"/>
      <c r="L64" s="534"/>
      <c r="M64" s="534"/>
      <c r="N64" s="534"/>
    </row>
    <row r="65" spans="2:14" ht="25.5">
      <c r="B65" s="543" t="s">
        <v>300</v>
      </c>
      <c r="C65" s="785">
        <f ca="1">B3</f>
        <v>136.87</v>
      </c>
      <c r="I65" s="122"/>
      <c r="J65" s="482"/>
      <c r="K65" s="122"/>
      <c r="L65" s="122"/>
      <c r="M65" s="122"/>
      <c r="N65" s="122"/>
    </row>
    <row r="67" spans="2:14">
      <c r="B67" s="75" t="s">
        <v>307</v>
      </c>
    </row>
    <row r="68" spans="2:14" ht="14.65" thickBot="1"/>
    <row r="69" spans="2:14" ht="14.65" thickBot="1">
      <c r="B69" s="82" t="s">
        <v>308</v>
      </c>
      <c r="C69" s="88">
        <v>2017</v>
      </c>
      <c r="D69" s="88">
        <v>2018</v>
      </c>
      <c r="E69" s="88">
        <v>2019</v>
      </c>
      <c r="F69" s="88">
        <v>2020</v>
      </c>
      <c r="G69" s="88">
        <v>2021</v>
      </c>
      <c r="H69" s="88">
        <v>2022</v>
      </c>
      <c r="I69" s="88">
        <v>2023</v>
      </c>
      <c r="J69" s="89">
        <v>2024</v>
      </c>
      <c r="K69" s="103">
        <v>2025</v>
      </c>
      <c r="L69" s="88">
        <v>2026</v>
      </c>
      <c r="M69" s="88">
        <v>2027</v>
      </c>
      <c r="N69" s="88">
        <v>2028</v>
      </c>
    </row>
    <row r="70" spans="2:14">
      <c r="B70" s="57" t="s">
        <v>309</v>
      </c>
      <c r="C70" s="62"/>
      <c r="D70" s="62"/>
      <c r="E70" s="62"/>
      <c r="F70" s="62"/>
      <c r="G70" s="62"/>
      <c r="H70" s="62"/>
      <c r="I70" s="62"/>
      <c r="J70" s="63"/>
      <c r="K70" s="104"/>
      <c r="L70" s="62"/>
      <c r="M70" s="62"/>
      <c r="N70" s="62"/>
    </row>
    <row r="71" spans="2:14">
      <c r="B71" s="58" t="s">
        <v>310</v>
      </c>
      <c r="C71" s="64">
        <v>37715744000</v>
      </c>
      <c r="D71" s="64">
        <v>42188106000</v>
      </c>
      <c r="E71" s="64">
        <v>37814346000</v>
      </c>
      <c r="F71" s="64">
        <v>86975275000</v>
      </c>
      <c r="G71" s="64">
        <v>52264410000</v>
      </c>
      <c r="H71" s="64">
        <v>49145372000</v>
      </c>
      <c r="I71" s="64">
        <v>82861143000</v>
      </c>
      <c r="J71" s="65">
        <v>121041860000</v>
      </c>
      <c r="K71" s="196">
        <v>154459118000</v>
      </c>
      <c r="L71" s="64"/>
      <c r="M71" s="64"/>
      <c r="N71" s="64"/>
    </row>
    <row r="72" spans="2:14">
      <c r="B72" s="59" t="s">
        <v>311</v>
      </c>
      <c r="C72" s="66">
        <v>34746175000</v>
      </c>
      <c r="D72" s="66">
        <v>36333336000</v>
      </c>
      <c r="E72" s="66">
        <v>33931861000</v>
      </c>
      <c r="F72" s="66">
        <v>77898994000</v>
      </c>
      <c r="G72" s="66">
        <v>47998055000</v>
      </c>
      <c r="H72" s="66">
        <v>42173534000</v>
      </c>
      <c r="I72" s="66">
        <v>51424885000</v>
      </c>
      <c r="J72" s="67">
        <v>71093657000</v>
      </c>
      <c r="K72" s="105">
        <v>93478953000</v>
      </c>
      <c r="L72" s="66"/>
      <c r="M72" s="66"/>
      <c r="N72" s="66"/>
    </row>
    <row r="73" spans="2:14">
      <c r="B73" s="59" t="s">
        <v>312</v>
      </c>
      <c r="C73" s="139"/>
      <c r="D73" s="66"/>
      <c r="E73" s="66"/>
      <c r="F73" s="66"/>
      <c r="G73" s="66"/>
      <c r="H73" s="66">
        <v>0</v>
      </c>
      <c r="I73" s="66">
        <v>22044108000</v>
      </c>
      <c r="J73" s="67">
        <v>38639344000</v>
      </c>
      <c r="K73" s="105">
        <v>54456128000</v>
      </c>
      <c r="L73" s="66"/>
      <c r="M73" s="66"/>
      <c r="N73" s="66"/>
    </row>
    <row r="74" spans="2:14">
      <c r="B74" s="59" t="s">
        <v>313</v>
      </c>
      <c r="C74" s="68">
        <v>440735000</v>
      </c>
      <c r="D74" s="66">
        <v>436015000</v>
      </c>
      <c r="E74" s="66">
        <v>585600000</v>
      </c>
      <c r="F74" s="66">
        <v>7513411000</v>
      </c>
      <c r="G74" s="66">
        <v>1812856000</v>
      </c>
      <c r="H74" s="66">
        <v>4296398000</v>
      </c>
      <c r="I74" s="66">
        <v>4912208000</v>
      </c>
      <c r="J74" s="67">
        <v>5599850000</v>
      </c>
      <c r="K74" s="105">
        <v>5169890000</v>
      </c>
      <c r="L74" s="66"/>
      <c r="M74" s="66"/>
      <c r="N74" s="66"/>
    </row>
    <row r="75" spans="2:14">
      <c r="B75" s="59" t="s">
        <v>314</v>
      </c>
      <c r="C75" s="66">
        <v>496313000</v>
      </c>
      <c r="D75" s="66">
        <v>615546000</v>
      </c>
      <c r="E75" s="66">
        <v>500160000</v>
      </c>
      <c r="F75" s="66">
        <v>617480000</v>
      </c>
      <c r="G75" s="66">
        <v>632447000</v>
      </c>
      <c r="H75" s="66">
        <v>682741000</v>
      </c>
      <c r="I75" s="66">
        <v>2416704000</v>
      </c>
      <c r="J75" s="67">
        <v>972994000</v>
      </c>
      <c r="K75" s="105">
        <v>952077000</v>
      </c>
      <c r="L75" s="66"/>
      <c r="M75" s="66"/>
      <c r="N75" s="66"/>
    </row>
    <row r="76" spans="2:14">
      <c r="B76" s="59" t="s">
        <v>318</v>
      </c>
      <c r="C76" s="66">
        <f t="shared" ref="C76:G76" si="72">+C71-C72-C74-C75</f>
        <v>2032521000</v>
      </c>
      <c r="D76" s="66">
        <f t="shared" si="72"/>
        <v>4803209000</v>
      </c>
      <c r="E76" s="66">
        <f t="shared" si="72"/>
        <v>2796725000</v>
      </c>
      <c r="F76" s="66">
        <f t="shared" si="72"/>
        <v>945390000</v>
      </c>
      <c r="G76" s="66">
        <f t="shared" si="72"/>
        <v>1821052000</v>
      </c>
      <c r="H76" s="66">
        <f>+H71-H72-H74-H75-H73</f>
        <v>1992699000</v>
      </c>
      <c r="I76" s="66">
        <f>+I71-I72-I74-I75-I73</f>
        <v>2063238000</v>
      </c>
      <c r="J76" s="67">
        <v>4736015000</v>
      </c>
      <c r="K76" s="105">
        <f t="shared" ref="K76:N76" si="73">+K71-K72-K74-K75-K73</f>
        <v>402070000</v>
      </c>
      <c r="L76" s="66">
        <f t="shared" si="73"/>
        <v>0</v>
      </c>
      <c r="M76" s="66">
        <f t="shared" si="73"/>
        <v>0</v>
      </c>
      <c r="N76" s="66">
        <f t="shared" si="73"/>
        <v>0</v>
      </c>
    </row>
    <row r="77" spans="2:14">
      <c r="B77" s="58" t="s">
        <v>319</v>
      </c>
      <c r="C77" s="64">
        <v>783467660000</v>
      </c>
      <c r="D77" s="64">
        <v>769333695000</v>
      </c>
      <c r="E77" s="64">
        <v>792705021000</v>
      </c>
      <c r="F77" s="64">
        <v>779308961000</v>
      </c>
      <c r="G77" s="69">
        <v>750932325000</v>
      </c>
      <c r="H77" s="69">
        <v>735583165000</v>
      </c>
      <c r="I77" s="69">
        <v>735358593000</v>
      </c>
      <c r="J77" s="446">
        <v>745309209000</v>
      </c>
      <c r="K77" s="69">
        <v>778465296000</v>
      </c>
      <c r="L77" s="69"/>
      <c r="M77" s="69"/>
      <c r="N77" s="69"/>
    </row>
    <row r="78" spans="2:14">
      <c r="B78" s="59" t="s">
        <v>320</v>
      </c>
      <c r="C78" s="66">
        <v>250655323000</v>
      </c>
      <c r="D78" s="66">
        <v>252699529000</v>
      </c>
      <c r="E78" s="66">
        <v>287678508000</v>
      </c>
      <c r="F78" s="66">
        <v>292066955000</v>
      </c>
      <c r="G78" s="66">
        <v>282249531000</v>
      </c>
      <c r="H78" s="66">
        <v>283834225000</v>
      </c>
      <c r="I78" s="66">
        <v>302227478000</v>
      </c>
      <c r="J78" s="67">
        <v>326405684000</v>
      </c>
      <c r="K78" s="105">
        <v>373947166000</v>
      </c>
      <c r="L78" s="66"/>
      <c r="M78" s="66"/>
      <c r="N78" s="66"/>
    </row>
    <row r="79" spans="2:14">
      <c r="B79" s="59" t="s">
        <v>321</v>
      </c>
      <c r="C79" s="66">
        <v>256373000</v>
      </c>
      <c r="D79" s="66">
        <v>256373000</v>
      </c>
      <c r="E79" s="66">
        <v>256373000</v>
      </c>
      <c r="F79" s="66">
        <v>0</v>
      </c>
      <c r="G79" s="67">
        <v>256373000</v>
      </c>
      <c r="H79" s="67">
        <v>256373000</v>
      </c>
      <c r="I79" s="67">
        <v>256373000</v>
      </c>
      <c r="J79" s="67">
        <v>256373000</v>
      </c>
      <c r="K79" s="456">
        <v>256373000</v>
      </c>
      <c r="L79" s="67"/>
      <c r="M79" s="67"/>
      <c r="N79" s="67"/>
    </row>
    <row r="80" spans="2:14">
      <c r="B80" s="59" t="s">
        <v>322</v>
      </c>
      <c r="C80" s="66">
        <v>11797813000</v>
      </c>
      <c r="D80" s="66">
        <v>11637365000</v>
      </c>
      <c r="E80" s="66">
        <v>11937043000</v>
      </c>
      <c r="F80" s="66">
        <v>9037699000</v>
      </c>
      <c r="G80" s="66">
        <v>9289024000</v>
      </c>
      <c r="H80" s="66">
        <v>11053677000</v>
      </c>
      <c r="I80" s="66">
        <v>9231815000</v>
      </c>
      <c r="J80" s="67">
        <v>9964205000</v>
      </c>
      <c r="K80" s="105">
        <v>10016686000</v>
      </c>
      <c r="L80" s="66"/>
      <c r="M80" s="66"/>
      <c r="N80" s="66"/>
    </row>
    <row r="81" spans="2:14">
      <c r="B81" s="59" t="s">
        <v>323</v>
      </c>
      <c r="C81" s="66">
        <v>512256762000</v>
      </c>
      <c r="D81" s="66">
        <v>497432898000</v>
      </c>
      <c r="E81" s="66">
        <v>482037801000</v>
      </c>
      <c r="F81" s="66">
        <v>465500750000</v>
      </c>
      <c r="G81" s="66">
        <v>448730825000</v>
      </c>
      <c r="H81" s="66">
        <v>431460558000</v>
      </c>
      <c r="I81" s="66">
        <v>417276702000</v>
      </c>
      <c r="J81" s="67">
        <v>403881255000</v>
      </c>
      <c r="K81" s="105">
        <v>390461939000</v>
      </c>
      <c r="L81" s="66"/>
      <c r="M81" s="66"/>
      <c r="N81" s="66"/>
    </row>
    <row r="82" spans="2:14">
      <c r="B82" s="59" t="s">
        <v>324</v>
      </c>
      <c r="C82" s="66">
        <v>7647302000</v>
      </c>
      <c r="D82" s="66">
        <v>6460080000</v>
      </c>
      <c r="E82" s="66">
        <v>10684284000</v>
      </c>
      <c r="F82" s="66">
        <v>12289166000</v>
      </c>
      <c r="G82" s="66">
        <v>10244541000</v>
      </c>
      <c r="H82" s="66">
        <v>8825413000</v>
      </c>
      <c r="I82" s="66">
        <v>6219154000</v>
      </c>
      <c r="J82" s="67">
        <v>4650648000</v>
      </c>
      <c r="K82" s="105">
        <v>3627025000</v>
      </c>
      <c r="L82" s="66"/>
      <c r="M82" s="66"/>
      <c r="N82" s="66"/>
    </row>
    <row r="83" spans="2:14">
      <c r="B83" s="59" t="s">
        <v>328</v>
      </c>
      <c r="C83" s="66">
        <f t="shared" ref="C83:F83" si="74">+C77-C80-C81-C82-C79-C78</f>
        <v>854087000</v>
      </c>
      <c r="D83" s="66">
        <f t="shared" si="74"/>
        <v>847450000</v>
      </c>
      <c r="E83" s="66">
        <f t="shared" si="74"/>
        <v>111012000</v>
      </c>
      <c r="F83" s="66">
        <f t="shared" si="74"/>
        <v>414391000</v>
      </c>
      <c r="G83" s="66">
        <f>+G77-G80-G81-G82-G79-G78</f>
        <v>162031000</v>
      </c>
      <c r="H83" s="66">
        <f t="shared" ref="H83" si="75">+H77-H80-H81-H82-H79-H78</f>
        <v>152919000</v>
      </c>
      <c r="I83" s="66">
        <v>147071000</v>
      </c>
      <c r="J83" s="67">
        <v>151044000</v>
      </c>
      <c r="K83" s="105">
        <v>156107000</v>
      </c>
      <c r="L83" s="66"/>
      <c r="M83" s="66"/>
      <c r="N83" s="66"/>
    </row>
    <row r="84" spans="2:14" ht="14.65" thickBot="1">
      <c r="B84" s="60" t="s">
        <v>329</v>
      </c>
      <c r="C84" s="70">
        <f t="shared" ref="C84:I84" si="76">+C77+C71</f>
        <v>821183404000</v>
      </c>
      <c r="D84" s="70">
        <f t="shared" si="76"/>
        <v>811521801000</v>
      </c>
      <c r="E84" s="70">
        <f t="shared" si="76"/>
        <v>830519367000</v>
      </c>
      <c r="F84" s="70">
        <f t="shared" si="76"/>
        <v>866284236000</v>
      </c>
      <c r="G84" s="70">
        <f t="shared" si="76"/>
        <v>803196735000</v>
      </c>
      <c r="H84" s="70">
        <f t="shared" si="76"/>
        <v>784728537000</v>
      </c>
      <c r="I84" s="70">
        <f t="shared" si="76"/>
        <v>818219736000</v>
      </c>
      <c r="J84" s="71">
        <v>866351069000</v>
      </c>
      <c r="K84" s="106">
        <v>932924414000</v>
      </c>
      <c r="L84" s="70"/>
      <c r="M84" s="70"/>
      <c r="N84" s="70"/>
    </row>
    <row r="85" spans="2:14" ht="14.65" thickBot="1">
      <c r="B85" s="61"/>
      <c r="C85" s="72"/>
      <c r="D85" s="72"/>
      <c r="E85" s="72"/>
      <c r="F85" s="72"/>
      <c r="G85" s="72"/>
      <c r="H85" s="72"/>
      <c r="I85" s="72"/>
      <c r="J85" s="73"/>
      <c r="K85" s="107"/>
      <c r="L85" s="72"/>
      <c r="M85" s="72"/>
      <c r="N85" s="72"/>
    </row>
    <row r="86" spans="2:14">
      <c r="B86" s="57" t="s">
        <v>330</v>
      </c>
      <c r="C86" s="62"/>
      <c r="D86" s="62"/>
      <c r="E86" s="62"/>
      <c r="F86" s="62"/>
      <c r="G86" s="62"/>
      <c r="H86" s="62"/>
      <c r="I86" s="62"/>
      <c r="J86" s="63"/>
      <c r="K86" s="104"/>
      <c r="L86" s="62"/>
      <c r="M86" s="62"/>
      <c r="N86" s="62"/>
    </row>
    <row r="87" spans="2:14">
      <c r="B87" s="58" t="s">
        <v>310</v>
      </c>
      <c r="C87" s="64">
        <v>13013149000</v>
      </c>
      <c r="D87" s="64">
        <v>13007035000</v>
      </c>
      <c r="E87" s="64">
        <v>15742689000</v>
      </c>
      <c r="F87" s="64">
        <v>80319950000</v>
      </c>
      <c r="G87" s="64">
        <v>22885541000</v>
      </c>
      <c r="H87" s="64">
        <v>50946720000</v>
      </c>
      <c r="I87" s="64">
        <v>47617190000</v>
      </c>
      <c r="J87" s="65">
        <v>68350500000</v>
      </c>
      <c r="K87" s="196">
        <v>101987318000</v>
      </c>
      <c r="L87" s="64"/>
      <c r="M87" s="64"/>
      <c r="N87" s="64"/>
    </row>
    <row r="88" spans="2:14">
      <c r="B88" s="59" t="s">
        <v>687</v>
      </c>
      <c r="C88" s="66">
        <f t="shared" ref="C88:F88" si="77">+C87-C89-C90-C91</f>
        <v>781364000</v>
      </c>
      <c r="D88" s="66">
        <f t="shared" si="77"/>
        <v>773940000</v>
      </c>
      <c r="E88" s="66">
        <f t="shared" si="77"/>
        <v>2253911000</v>
      </c>
      <c r="F88" s="66">
        <f t="shared" si="77"/>
        <v>2841710000</v>
      </c>
      <c r="G88" s="66">
        <f>+G87-G89-G90-G91</f>
        <v>3223819000</v>
      </c>
      <c r="H88" s="66">
        <f>+H87-H89-H90-H91</f>
        <v>3102536000</v>
      </c>
      <c r="I88" s="66">
        <f>+I87-I89-I90-I91</f>
        <v>3345903000</v>
      </c>
      <c r="J88" s="67">
        <v>3486980000</v>
      </c>
      <c r="K88" s="105">
        <f t="shared" ref="K88:N88" si="78">+K87-K89-K90-K91</f>
        <v>24452644000</v>
      </c>
      <c r="L88" s="66">
        <f t="shared" si="78"/>
        <v>0</v>
      </c>
      <c r="M88" s="66">
        <f t="shared" si="78"/>
        <v>0</v>
      </c>
      <c r="N88" s="66">
        <f t="shared" si="78"/>
        <v>0</v>
      </c>
    </row>
    <row r="89" spans="2:14">
      <c r="B89" s="59" t="s">
        <v>688</v>
      </c>
      <c r="C89" s="66">
        <v>5028351000</v>
      </c>
      <c r="D89" s="66">
        <v>4709786000</v>
      </c>
      <c r="E89" s="66">
        <v>5281134000</v>
      </c>
      <c r="F89" s="66">
        <v>50537142000</v>
      </c>
      <c r="G89" s="66">
        <v>7547904000</v>
      </c>
      <c r="H89" s="66">
        <v>7590241000</v>
      </c>
      <c r="I89" s="66">
        <v>29382249000</v>
      </c>
      <c r="J89" s="67">
        <v>47708061000</v>
      </c>
      <c r="K89" s="105">
        <v>62312733000</v>
      </c>
      <c r="L89" s="66"/>
      <c r="M89" s="66"/>
      <c r="N89" s="66"/>
    </row>
    <row r="90" spans="2:14">
      <c r="B90" s="59" t="s">
        <v>689</v>
      </c>
      <c r="C90" s="66">
        <v>1091971000</v>
      </c>
      <c r="D90" s="66">
        <v>1733346000</v>
      </c>
      <c r="E90" s="66">
        <v>2311806000</v>
      </c>
      <c r="F90" s="66">
        <v>24583311000</v>
      </c>
      <c r="G90" s="66">
        <v>2275361000</v>
      </c>
      <c r="H90" s="66">
        <v>2501718000</v>
      </c>
      <c r="I90" s="66">
        <v>2631779000</v>
      </c>
      <c r="J90" s="67">
        <v>3333973000</v>
      </c>
      <c r="K90" s="105">
        <v>2466875000</v>
      </c>
      <c r="L90" s="66"/>
      <c r="M90" s="66"/>
      <c r="N90" s="66"/>
    </row>
    <row r="91" spans="2:14">
      <c r="B91" s="59" t="s">
        <v>334</v>
      </c>
      <c r="C91" s="66">
        <v>6111463000</v>
      </c>
      <c r="D91" s="66">
        <v>5789963000</v>
      </c>
      <c r="E91" s="66">
        <v>5895838000</v>
      </c>
      <c r="F91" s="66">
        <v>2357787000</v>
      </c>
      <c r="G91" s="66">
        <v>9838457000</v>
      </c>
      <c r="H91" s="66">
        <v>37752225000</v>
      </c>
      <c r="I91" s="66">
        <v>12257259000</v>
      </c>
      <c r="J91" s="67">
        <v>13821486000</v>
      </c>
      <c r="K91" s="105">
        <v>12755066000</v>
      </c>
      <c r="L91" s="66"/>
      <c r="M91" s="66"/>
      <c r="N91" s="66"/>
    </row>
    <row r="92" spans="2:14">
      <c r="B92" s="58" t="s">
        <v>319</v>
      </c>
      <c r="C92" s="64">
        <v>62654612000</v>
      </c>
      <c r="D92" s="64">
        <v>72660002000</v>
      </c>
      <c r="E92" s="64">
        <v>97893220000</v>
      </c>
      <c r="F92" s="64">
        <v>111534908000</v>
      </c>
      <c r="G92" s="64">
        <v>120212348000</v>
      </c>
      <c r="H92" s="64">
        <v>127716902000</v>
      </c>
      <c r="I92" s="64">
        <v>147130978000</v>
      </c>
      <c r="J92" s="65">
        <v>170486258000</v>
      </c>
      <c r="K92" s="196">
        <v>178721532000</v>
      </c>
      <c r="L92" s="64"/>
      <c r="M92" s="64"/>
      <c r="N92" s="64"/>
    </row>
    <row r="93" spans="2:14">
      <c r="B93" s="59" t="s">
        <v>331</v>
      </c>
      <c r="C93" s="66">
        <v>256606000</v>
      </c>
      <c r="D93" s="66">
        <v>238102000</v>
      </c>
      <c r="E93" s="66">
        <v>0</v>
      </c>
      <c r="F93" s="66">
        <v>0</v>
      </c>
      <c r="G93" s="66">
        <v>0</v>
      </c>
      <c r="H93" s="66"/>
      <c r="I93" s="66"/>
      <c r="J93" s="67"/>
      <c r="K93" s="105"/>
      <c r="L93" s="66"/>
      <c r="M93" s="66"/>
      <c r="N93" s="66"/>
    </row>
    <row r="94" spans="2:14">
      <c r="B94" s="59" t="s">
        <v>339</v>
      </c>
      <c r="C94" s="66">
        <v>62383873000</v>
      </c>
      <c r="D94" s="66">
        <v>72407361000</v>
      </c>
      <c r="E94" s="66">
        <v>93324401000</v>
      </c>
      <c r="F94" s="66">
        <v>104021508000</v>
      </c>
      <c r="G94" s="66">
        <v>114148179000</v>
      </c>
      <c r="H94" s="66">
        <v>122313913000</v>
      </c>
      <c r="I94" s="66">
        <v>143408690000</v>
      </c>
      <c r="J94" s="67">
        <v>168497300000</v>
      </c>
      <c r="K94" s="105">
        <v>177776743000</v>
      </c>
      <c r="L94" s="66"/>
      <c r="M94" s="66"/>
      <c r="N94" s="66"/>
    </row>
    <row r="95" spans="2:14">
      <c r="B95" s="59" t="s">
        <v>690</v>
      </c>
      <c r="C95" s="66"/>
      <c r="D95" s="66"/>
      <c r="E95" s="66"/>
      <c r="F95" s="66">
        <v>0</v>
      </c>
      <c r="G95" s="66">
        <v>0</v>
      </c>
      <c r="H95" s="66"/>
      <c r="I95" s="66"/>
      <c r="J95" s="67"/>
      <c r="K95" s="105"/>
      <c r="L95" s="66"/>
      <c r="M95" s="66"/>
      <c r="N95" s="66"/>
    </row>
    <row r="96" spans="2:14">
      <c r="B96" s="59" t="s">
        <v>691</v>
      </c>
      <c r="C96" s="66"/>
      <c r="D96" s="66"/>
      <c r="E96" s="66"/>
      <c r="F96" s="66">
        <v>0</v>
      </c>
      <c r="G96" s="66">
        <v>0</v>
      </c>
      <c r="H96" s="66"/>
      <c r="I96" s="66"/>
      <c r="J96" s="67"/>
      <c r="K96" s="105"/>
      <c r="L96" s="66"/>
      <c r="M96" s="66"/>
      <c r="N96" s="66"/>
    </row>
    <row r="97" spans="2:14">
      <c r="B97" s="59" t="s">
        <v>341</v>
      </c>
      <c r="C97" s="66">
        <f t="shared" ref="C97:F97" si="79">+C92-C93-C94-C95-C96</f>
        <v>14133000</v>
      </c>
      <c r="D97" s="66">
        <f t="shared" si="79"/>
        <v>14539000</v>
      </c>
      <c r="E97" s="66">
        <f t="shared" si="79"/>
        <v>4568819000</v>
      </c>
      <c r="F97" s="66">
        <f t="shared" si="79"/>
        <v>7513400000</v>
      </c>
      <c r="G97" s="66">
        <f>+G92-G93-G94-G95-G96</f>
        <v>6064169000</v>
      </c>
      <c r="H97" s="66">
        <v>5402989000</v>
      </c>
      <c r="I97" s="66">
        <v>372228800</v>
      </c>
      <c r="J97" s="67">
        <v>1988958000</v>
      </c>
      <c r="K97" s="105">
        <v>944789000</v>
      </c>
      <c r="L97" s="66"/>
      <c r="M97" s="66"/>
      <c r="N97" s="66"/>
    </row>
    <row r="98" spans="2:14" ht="14.65" thickBot="1">
      <c r="B98" s="60" t="s">
        <v>342</v>
      </c>
      <c r="C98" s="70">
        <f t="shared" ref="C98:F98" si="80">+C92+C87</f>
        <v>75667761000</v>
      </c>
      <c r="D98" s="70">
        <f t="shared" si="80"/>
        <v>85667037000</v>
      </c>
      <c r="E98" s="70">
        <f t="shared" si="80"/>
        <v>113635909000</v>
      </c>
      <c r="F98" s="70">
        <f t="shared" si="80"/>
        <v>191854858000</v>
      </c>
      <c r="G98" s="70">
        <f>+G92+G87</f>
        <v>143097889000</v>
      </c>
      <c r="H98" s="70">
        <f>+H92+H87</f>
        <v>178663622000</v>
      </c>
      <c r="I98" s="70">
        <f>+I92+I87</f>
        <v>194748168000</v>
      </c>
      <c r="J98" s="71">
        <v>238836758000</v>
      </c>
      <c r="K98" s="106">
        <f>+K87+K92</f>
        <v>280708850000</v>
      </c>
      <c r="L98" s="70"/>
      <c r="M98" s="70"/>
      <c r="N98" s="70"/>
    </row>
    <row r="99" spans="2:14" ht="14.65" thickBot="1"/>
    <row r="100" spans="2:14">
      <c r="B100" s="57" t="s">
        <v>343</v>
      </c>
      <c r="C100" s="62"/>
      <c r="D100" s="62"/>
      <c r="E100" s="62"/>
      <c r="F100" s="62"/>
      <c r="G100" s="62"/>
      <c r="H100" s="62"/>
      <c r="I100" s="62"/>
      <c r="J100" s="63"/>
      <c r="K100" s="104"/>
      <c r="L100" s="62"/>
      <c r="M100" s="62"/>
      <c r="N100" s="62"/>
    </row>
    <row r="101" spans="2:14">
      <c r="B101" s="59" t="s">
        <v>344</v>
      </c>
      <c r="C101" s="66">
        <v>635487499000</v>
      </c>
      <c r="D101" s="66">
        <v>635487499000</v>
      </c>
      <c r="E101" s="66">
        <v>635487499000</v>
      </c>
      <c r="F101" s="66">
        <v>635487499000</v>
      </c>
      <c r="G101" s="66">
        <v>635487499000</v>
      </c>
      <c r="H101" s="66">
        <v>565583879000</v>
      </c>
      <c r="I101" s="66">
        <v>565583879000</v>
      </c>
      <c r="J101" s="67">
        <v>565583879000</v>
      </c>
      <c r="K101" s="105">
        <v>565583879000</v>
      </c>
      <c r="L101" s="66"/>
      <c r="M101" s="66"/>
      <c r="N101" s="66"/>
    </row>
    <row r="102" spans="2:14">
      <c r="B102" s="59" t="s">
        <v>345</v>
      </c>
      <c r="C102" s="66">
        <v>-62572000</v>
      </c>
      <c r="D102" s="66">
        <v>-62359000</v>
      </c>
      <c r="E102" s="66">
        <v>-325764000</v>
      </c>
      <c r="F102" s="66">
        <v>-160836000</v>
      </c>
      <c r="G102" s="66">
        <v>-233794000</v>
      </c>
      <c r="H102" s="66">
        <v>-187710000</v>
      </c>
      <c r="I102" s="66">
        <v>-192678000</v>
      </c>
      <c r="J102" s="67">
        <v>-190445000</v>
      </c>
      <c r="K102" s="105">
        <v>-202913000</v>
      </c>
      <c r="L102" s="66"/>
      <c r="M102" s="66"/>
      <c r="N102" s="66"/>
    </row>
    <row r="103" spans="2:14">
      <c r="B103" s="59" t="s">
        <v>346</v>
      </c>
      <c r="C103" s="66">
        <v>110090340000</v>
      </c>
      <c r="D103" s="66">
        <v>90429501000</v>
      </c>
      <c r="E103" s="66">
        <v>81721598000</v>
      </c>
      <c r="F103" s="66">
        <v>39105589000</v>
      </c>
      <c r="G103" s="66">
        <v>24845015000</v>
      </c>
      <c r="H103" s="66">
        <v>40668610000</v>
      </c>
      <c r="I103" s="66">
        <v>58080218000</v>
      </c>
      <c r="J103" s="67">
        <v>62120719000</v>
      </c>
      <c r="K103" s="105">
        <v>86834433000</v>
      </c>
      <c r="L103" s="66"/>
      <c r="M103" s="66"/>
      <c r="N103" s="66"/>
    </row>
    <row r="104" spans="2:14" ht="14.65" thickBot="1">
      <c r="B104" s="60" t="s">
        <v>347</v>
      </c>
      <c r="C104" s="70">
        <f t="shared" ref="C104:I104" si="81">+C101+C103+C102</f>
        <v>745515267000</v>
      </c>
      <c r="D104" s="70">
        <f t="shared" si="81"/>
        <v>725854641000</v>
      </c>
      <c r="E104" s="70">
        <f t="shared" si="81"/>
        <v>716883333000</v>
      </c>
      <c r="F104" s="70">
        <f t="shared" si="81"/>
        <v>674432252000</v>
      </c>
      <c r="G104" s="70">
        <f t="shared" si="81"/>
        <v>660098720000</v>
      </c>
      <c r="H104" s="70">
        <f t="shared" si="81"/>
        <v>606064779000</v>
      </c>
      <c r="I104" s="70">
        <f t="shared" si="81"/>
        <v>623471419000</v>
      </c>
      <c r="J104" s="71">
        <v>627514153000</v>
      </c>
      <c r="K104" s="106">
        <v>652215564000</v>
      </c>
      <c r="L104" s="70"/>
      <c r="M104" s="70"/>
      <c r="N104" s="70"/>
    </row>
    <row r="106" spans="2:14" ht="14.65" thickBot="1">
      <c r="B106" s="75" t="s">
        <v>348</v>
      </c>
    </row>
    <row r="107" spans="2:14" ht="14.65" thickBot="1">
      <c r="B107" s="82" t="s">
        <v>308</v>
      </c>
      <c r="C107" s="88">
        <v>2017</v>
      </c>
      <c r="D107" s="88">
        <v>2018</v>
      </c>
      <c r="E107" s="88">
        <v>2019</v>
      </c>
      <c r="F107" s="88">
        <v>2020</v>
      </c>
      <c r="G107" s="88">
        <v>2021</v>
      </c>
      <c r="H107" s="88">
        <v>2022</v>
      </c>
      <c r="I107" s="88">
        <v>2023</v>
      </c>
      <c r="J107" s="89">
        <v>2024</v>
      </c>
      <c r="K107" s="103">
        <v>2025</v>
      </c>
      <c r="L107" s="88">
        <v>2026</v>
      </c>
      <c r="M107" s="88">
        <v>2027</v>
      </c>
      <c r="N107" s="88">
        <v>2028</v>
      </c>
    </row>
    <row r="108" spans="2:14">
      <c r="B108" s="83" t="s">
        <v>349</v>
      </c>
      <c r="C108" s="90">
        <v>122898791000</v>
      </c>
      <c r="D108" s="90">
        <v>124514927000</v>
      </c>
      <c r="E108" s="90">
        <v>124256860000</v>
      </c>
      <c r="F108" s="90">
        <v>123656709000</v>
      </c>
      <c r="G108" s="90">
        <v>135096992000</v>
      </c>
      <c r="H108" s="90">
        <v>152991824000</v>
      </c>
      <c r="I108" s="90">
        <v>158524155000</v>
      </c>
      <c r="J108" s="109">
        <v>165121769000</v>
      </c>
      <c r="K108" s="410">
        <v>175360859000</v>
      </c>
      <c r="L108" s="90"/>
      <c r="M108" s="90"/>
      <c r="N108" s="90"/>
    </row>
    <row r="109" spans="2:14">
      <c r="B109" s="84" t="s">
        <v>350</v>
      </c>
      <c r="C109" s="64">
        <v>20195320000</v>
      </c>
      <c r="D109" s="64">
        <v>3344863000</v>
      </c>
      <c r="E109" s="64">
        <v>40036028000</v>
      </c>
      <c r="F109" s="64">
        <v>14358016000</v>
      </c>
      <c r="G109" s="64">
        <v>14267050000</v>
      </c>
      <c r="H109" s="64">
        <v>5695232000</v>
      </c>
      <c r="I109" s="64">
        <v>22915038000</v>
      </c>
      <c r="J109" s="65">
        <v>26925461000</v>
      </c>
      <c r="K109" s="196">
        <v>51707186000</v>
      </c>
      <c r="L109" s="64"/>
      <c r="M109" s="64"/>
      <c r="N109" s="64"/>
    </row>
    <row r="110" spans="2:14">
      <c r="B110" s="85" t="s">
        <v>692</v>
      </c>
      <c r="C110" s="66">
        <v>-30863784000</v>
      </c>
      <c r="D110" s="66">
        <v>-31392025000</v>
      </c>
      <c r="E110" s="66">
        <v>-31597094000</v>
      </c>
      <c r="F110" s="66">
        <v>-33170258000</v>
      </c>
      <c r="G110" s="66">
        <v>-36150384000</v>
      </c>
      <c r="H110" s="66">
        <v>-38740780000</v>
      </c>
      <c r="I110" s="66">
        <v>-44322229000</v>
      </c>
      <c r="J110" s="67">
        <v>-45368401000</v>
      </c>
      <c r="K110" s="105">
        <v>-45355862000</v>
      </c>
      <c r="L110" s="66"/>
      <c r="M110" s="66"/>
      <c r="N110" s="66"/>
    </row>
    <row r="111" spans="2:14">
      <c r="B111" s="86" t="s">
        <v>693</v>
      </c>
      <c r="C111" s="64">
        <f t="shared" ref="C111:F111" si="82">+C108+C110</f>
        <v>92035007000</v>
      </c>
      <c r="D111" s="64">
        <f t="shared" si="82"/>
        <v>93122902000</v>
      </c>
      <c r="E111" s="64">
        <f t="shared" si="82"/>
        <v>92659766000</v>
      </c>
      <c r="F111" s="64">
        <f t="shared" si="82"/>
        <v>90486451000</v>
      </c>
      <c r="G111" s="64">
        <f>+G108+G110</f>
        <v>98946608000</v>
      </c>
      <c r="H111" s="64">
        <f>+H108+H110</f>
        <v>114251044000</v>
      </c>
      <c r="I111" s="64">
        <f>+I108+I110</f>
        <v>114201926000</v>
      </c>
      <c r="J111" s="65">
        <v>119753368000</v>
      </c>
      <c r="K111" s="196">
        <f>+K108+K110</f>
        <v>130004997000</v>
      </c>
      <c r="L111" s="64"/>
      <c r="M111" s="64"/>
      <c r="N111" s="64"/>
    </row>
    <row r="112" spans="2:14">
      <c r="B112" s="85" t="s">
        <v>353</v>
      </c>
      <c r="C112" s="66">
        <v>-18690617000</v>
      </c>
      <c r="D112" s="66">
        <v>-19201788000</v>
      </c>
      <c r="E112" s="66">
        <v>-21081326000</v>
      </c>
      <c r="F112" s="66">
        <v>-21940751000</v>
      </c>
      <c r="G112" s="66">
        <v>-22418411000</v>
      </c>
      <c r="H112" s="66">
        <v>-22260873000</v>
      </c>
      <c r="I112" s="66">
        <f>-20594407000-997542000</f>
        <v>-21591949000</v>
      </c>
      <c r="J112" s="67">
        <v>-19515079000</v>
      </c>
      <c r="K112" s="105">
        <v>-19430597000</v>
      </c>
      <c r="L112" s="66"/>
      <c r="M112" s="66"/>
      <c r="N112" s="66"/>
    </row>
    <row r="113" spans="2:14">
      <c r="B113" s="85" t="s">
        <v>354</v>
      </c>
      <c r="C113" s="66">
        <v>-19681193000</v>
      </c>
      <c r="D113" s="66">
        <v>-23644787000</v>
      </c>
      <c r="E113" s="66">
        <v>-25947497000</v>
      </c>
      <c r="F113" s="66">
        <v>-28823102000</v>
      </c>
      <c r="G113" s="66">
        <v>-29256795000</v>
      </c>
      <c r="H113" s="66">
        <v>-32749833000</v>
      </c>
      <c r="I113" s="66">
        <v>-30172363000</v>
      </c>
      <c r="J113" s="67">
        <v>-30535530000</v>
      </c>
      <c r="K113" s="105">
        <v>-30578784000</v>
      </c>
      <c r="L113" s="66"/>
      <c r="M113" s="66"/>
      <c r="N113" s="66"/>
    </row>
    <row r="114" spans="2:14">
      <c r="B114" s="86" t="s">
        <v>355</v>
      </c>
      <c r="C114" s="64">
        <f t="shared" ref="C114:E114" si="83">+C111+C112+C113</f>
        <v>53663197000</v>
      </c>
      <c r="D114" s="64">
        <f t="shared" si="83"/>
        <v>50276327000</v>
      </c>
      <c r="E114" s="64">
        <f t="shared" si="83"/>
        <v>45630943000</v>
      </c>
      <c r="F114" s="64">
        <f>+F111+F112+F113</f>
        <v>39722598000</v>
      </c>
      <c r="G114" s="64">
        <f>+G111+G112+G113</f>
        <v>47271402000</v>
      </c>
      <c r="H114" s="64">
        <f>+H111+H112+H113</f>
        <v>59240338000</v>
      </c>
      <c r="I114" s="64">
        <f>+I111+I112+I113</f>
        <v>62437614000</v>
      </c>
      <c r="J114" s="65">
        <v>69702759000</v>
      </c>
      <c r="K114" s="196">
        <f>+K111+K112+K113</f>
        <v>79995616000</v>
      </c>
      <c r="L114" s="64"/>
      <c r="M114" s="64"/>
      <c r="N114" s="64"/>
    </row>
    <row r="115" spans="2:14">
      <c r="B115" s="85" t="s">
        <v>356</v>
      </c>
      <c r="C115" s="66">
        <v>-35600000</v>
      </c>
      <c r="D115" s="66">
        <v>-20179000</v>
      </c>
      <c r="E115" s="66">
        <v>-319999000</v>
      </c>
      <c r="F115" s="66">
        <v>-310920000</v>
      </c>
      <c r="G115" s="66">
        <v>-269000000</v>
      </c>
      <c r="H115" s="66">
        <v>-491181000</v>
      </c>
      <c r="I115" s="66">
        <v>-198302000</v>
      </c>
      <c r="J115" s="67">
        <v>1453000</v>
      </c>
      <c r="K115" s="105">
        <v>-130097000</v>
      </c>
      <c r="L115" s="66"/>
      <c r="M115" s="66"/>
      <c r="N115" s="66"/>
    </row>
    <row r="116" spans="2:14">
      <c r="B116" s="85" t="s">
        <v>357</v>
      </c>
      <c r="C116" s="66">
        <v>1489479000</v>
      </c>
      <c r="D116" s="66">
        <v>1143738000</v>
      </c>
      <c r="E116" s="66">
        <v>1111771000</v>
      </c>
      <c r="F116" s="66">
        <v>427256000</v>
      </c>
      <c r="G116" s="66">
        <v>489415000</v>
      </c>
      <c r="H116" s="66">
        <v>5838816000</v>
      </c>
      <c r="I116" s="66">
        <v>6091612000</v>
      </c>
      <c r="J116" s="67">
        <v>4656833000</v>
      </c>
      <c r="K116" s="105">
        <v>4883004000</v>
      </c>
      <c r="L116" s="66"/>
      <c r="M116" s="66"/>
      <c r="N116" s="66"/>
    </row>
    <row r="117" spans="2:14" ht="30.75">
      <c r="B117" s="87" t="s">
        <v>358</v>
      </c>
      <c r="C117" s="66">
        <v>2034338000</v>
      </c>
      <c r="D117" s="66">
        <v>2186966000</v>
      </c>
      <c r="E117" s="66">
        <v>2634466000</v>
      </c>
      <c r="F117" s="66">
        <v>1400792000</v>
      </c>
      <c r="G117" s="66">
        <v>2939608000</v>
      </c>
      <c r="H117" s="66">
        <v>3766441000</v>
      </c>
      <c r="I117" s="66">
        <v>3456415000</v>
      </c>
      <c r="J117" s="67">
        <v>2796446000</v>
      </c>
      <c r="K117" s="105">
        <v>3332961000</v>
      </c>
      <c r="L117" s="66"/>
      <c r="M117" s="66"/>
      <c r="N117" s="66"/>
    </row>
    <row r="118" spans="2:14">
      <c r="B118" s="85" t="s">
        <v>359</v>
      </c>
      <c r="C118" s="66">
        <v>-9030000</v>
      </c>
      <c r="D118" s="66">
        <v>43526000</v>
      </c>
      <c r="E118" s="66">
        <v>-90971000</v>
      </c>
      <c r="F118" s="66">
        <v>304568000</v>
      </c>
      <c r="G118" s="66">
        <v>-202483000</v>
      </c>
      <c r="H118" s="66">
        <v>153045000</v>
      </c>
      <c r="I118" s="66">
        <v>-270562000</v>
      </c>
      <c r="J118" s="67">
        <v>36982000</v>
      </c>
      <c r="K118" s="105">
        <v>-4118000</v>
      </c>
      <c r="L118" s="66"/>
      <c r="M118" s="66"/>
      <c r="N118" s="66"/>
    </row>
    <row r="119" spans="2:14">
      <c r="B119" s="85" t="s">
        <v>360</v>
      </c>
      <c r="C119" s="66">
        <v>165010000</v>
      </c>
      <c r="D119" s="66">
        <v>140767000</v>
      </c>
      <c r="E119" s="66">
        <v>1345578000</v>
      </c>
      <c r="F119" s="66">
        <v>3417504000</v>
      </c>
      <c r="G119" s="66">
        <v>155139000</v>
      </c>
      <c r="H119" s="66">
        <v>-35050000</v>
      </c>
      <c r="I119" s="66">
        <v>107466000</v>
      </c>
      <c r="J119" s="67">
        <v>84917000</v>
      </c>
      <c r="K119" s="105">
        <v>278744000</v>
      </c>
      <c r="L119" s="66"/>
      <c r="M119" s="66"/>
      <c r="N119" s="66"/>
    </row>
    <row r="120" spans="2:14">
      <c r="B120" s="85" t="s">
        <v>361</v>
      </c>
      <c r="C120" s="66">
        <v>-6467000</v>
      </c>
      <c r="D120" s="66">
        <v>-1378000</v>
      </c>
      <c r="E120" s="66">
        <v>-11372000</v>
      </c>
      <c r="F120" s="66">
        <v>1207000</v>
      </c>
      <c r="G120" s="66">
        <v>-14738000</v>
      </c>
      <c r="H120" s="66">
        <v>57102000</v>
      </c>
      <c r="I120" s="66">
        <v>10857000</v>
      </c>
      <c r="J120" s="67">
        <v>962000</v>
      </c>
      <c r="K120" s="105">
        <v>48000</v>
      </c>
      <c r="L120" s="66"/>
      <c r="M120" s="66"/>
      <c r="N120" s="66"/>
    </row>
    <row r="121" spans="2:14">
      <c r="B121" s="86" t="s">
        <v>362</v>
      </c>
      <c r="C121" s="64">
        <v>77523277000</v>
      </c>
      <c r="D121" s="64">
        <v>57143115000</v>
      </c>
      <c r="E121" s="64">
        <v>90379874000</v>
      </c>
      <c r="F121" s="64">
        <v>56478211000</v>
      </c>
      <c r="G121" s="64">
        <v>64326327000</v>
      </c>
      <c r="H121" s="64">
        <v>74225996000</v>
      </c>
      <c r="I121" s="64">
        <v>94565909000</v>
      </c>
      <c r="J121" s="65">
        <v>104206116000</v>
      </c>
      <c r="K121" s="196">
        <v>140063344000</v>
      </c>
      <c r="L121" s="64"/>
      <c r="M121" s="64"/>
      <c r="N121" s="64"/>
    </row>
    <row r="122" spans="2:14">
      <c r="B122" s="85" t="s">
        <v>363</v>
      </c>
      <c r="C122" s="66">
        <v>-16482017000</v>
      </c>
      <c r="D122" s="66">
        <v>-10803888000</v>
      </c>
      <c r="E122" s="66">
        <v>-20087632000</v>
      </c>
      <c r="F122" s="66">
        <v>-10922039000</v>
      </c>
      <c r="G122" s="91">
        <v>-9758832000</v>
      </c>
      <c r="H122" s="91">
        <v>-7053770000</v>
      </c>
      <c r="I122" s="91">
        <v>-20702638000</v>
      </c>
      <c r="J122" s="447">
        <v>-25165492000</v>
      </c>
      <c r="K122" s="411">
        <v>-35349569000</v>
      </c>
      <c r="L122" s="91"/>
      <c r="M122" s="91"/>
      <c r="N122" s="91"/>
    </row>
    <row r="123" spans="2:14" ht="28.5">
      <c r="B123" s="87" t="s">
        <v>364</v>
      </c>
      <c r="C123" s="66">
        <v>61041260000</v>
      </c>
      <c r="D123" s="66">
        <v>46339227000</v>
      </c>
      <c r="E123" s="66">
        <v>70292242000</v>
      </c>
      <c r="F123" s="66">
        <v>45556172000</v>
      </c>
      <c r="G123" s="91">
        <v>54567495000</v>
      </c>
      <c r="H123" s="91">
        <v>67172226000</v>
      </c>
      <c r="I123" s="91">
        <v>73863271000</v>
      </c>
      <c r="J123" s="447">
        <v>79040624000</v>
      </c>
      <c r="K123" s="411">
        <v>104713775000</v>
      </c>
      <c r="L123" s="91"/>
      <c r="M123" s="91"/>
      <c r="N123" s="91"/>
    </row>
    <row r="124" spans="2:14">
      <c r="B124" s="84" t="s">
        <v>365</v>
      </c>
      <c r="C124" s="66">
        <v>61041260000</v>
      </c>
      <c r="D124" s="66">
        <v>46339227000</v>
      </c>
      <c r="E124" s="66">
        <v>70292242000</v>
      </c>
      <c r="F124" s="66">
        <v>45556172000</v>
      </c>
      <c r="G124" s="91">
        <v>54567495000</v>
      </c>
      <c r="H124" s="91">
        <v>67172226000</v>
      </c>
      <c r="I124" s="91">
        <v>73863271000</v>
      </c>
      <c r="J124" s="447">
        <v>79040624000</v>
      </c>
      <c r="K124" s="411">
        <v>104713775000</v>
      </c>
      <c r="L124" s="91"/>
      <c r="M124" s="91"/>
      <c r="N124" s="91"/>
    </row>
    <row r="125" spans="2:14">
      <c r="B125" s="84" t="s">
        <v>366</v>
      </c>
      <c r="C125" s="123">
        <v>4.75</v>
      </c>
      <c r="D125" s="123">
        <v>3.63</v>
      </c>
      <c r="E125" s="123">
        <v>5.5</v>
      </c>
      <c r="F125" s="123">
        <v>3.57</v>
      </c>
      <c r="G125" s="123">
        <v>4.2699999999999996</v>
      </c>
      <c r="H125" s="123">
        <v>5.26</v>
      </c>
      <c r="I125" s="123">
        <v>5.78</v>
      </c>
      <c r="J125" s="483">
        <v>6.19</v>
      </c>
      <c r="K125" s="201">
        <v>8.1999999999999993</v>
      </c>
      <c r="L125" s="123"/>
      <c r="M125" s="123"/>
      <c r="N125" s="123"/>
    </row>
    <row r="127" spans="2:14" ht="14.65" thickBot="1">
      <c r="B127" s="75" t="s">
        <v>367</v>
      </c>
    </row>
    <row r="128" spans="2:14" ht="14.65" thickBot="1">
      <c r="B128" s="82" t="s">
        <v>308</v>
      </c>
      <c r="C128" s="88">
        <v>2017</v>
      </c>
      <c r="D128" s="88">
        <v>2018</v>
      </c>
      <c r="E128" s="88">
        <v>2019</v>
      </c>
      <c r="F128" s="88">
        <v>2020</v>
      </c>
      <c r="G128" s="88">
        <v>2021</v>
      </c>
      <c r="H128" s="88">
        <v>2022</v>
      </c>
      <c r="I128" s="88">
        <v>2023</v>
      </c>
      <c r="J128" s="89">
        <v>2024</v>
      </c>
      <c r="K128" s="103">
        <v>2025</v>
      </c>
      <c r="L128" s="88">
        <v>2026</v>
      </c>
      <c r="M128" s="88">
        <v>2027</v>
      </c>
      <c r="N128" s="88">
        <v>2028</v>
      </c>
    </row>
    <row r="129" spans="2:14">
      <c r="B129" s="83" t="s">
        <v>368</v>
      </c>
      <c r="C129" s="92">
        <v>74422752000</v>
      </c>
      <c r="D129" s="92">
        <v>68025650000</v>
      </c>
      <c r="E129" s="92">
        <v>71401501000</v>
      </c>
      <c r="F129" s="92">
        <v>111488933000</v>
      </c>
      <c r="G129" s="92">
        <v>37727601000</v>
      </c>
      <c r="H129" s="92">
        <v>83997195000</v>
      </c>
      <c r="I129" s="92">
        <v>86529944000</v>
      </c>
      <c r="J129" s="484">
        <v>93051552000</v>
      </c>
      <c r="K129" s="110">
        <v>98863508000</v>
      </c>
      <c r="L129" s="92"/>
      <c r="M129" s="92"/>
      <c r="N129" s="92"/>
    </row>
    <row r="130" spans="2:14">
      <c r="B130" s="86" t="s">
        <v>369</v>
      </c>
      <c r="C130" s="117">
        <v>4051878000</v>
      </c>
      <c r="D130" s="93">
        <v>-1546371000</v>
      </c>
      <c r="E130" s="117">
        <v>4168524000</v>
      </c>
      <c r="F130" s="66">
        <v>4304536000</v>
      </c>
      <c r="G130" s="66">
        <v>21566772000</v>
      </c>
      <c r="H130" s="66">
        <v>7693002000</v>
      </c>
      <c r="I130" s="66">
        <v>7975064000</v>
      </c>
      <c r="J130" s="67">
        <v>3688554000</v>
      </c>
      <c r="K130" s="105">
        <v>5257551000</v>
      </c>
      <c r="L130" s="66"/>
      <c r="M130" s="66"/>
      <c r="N130" s="66"/>
    </row>
    <row r="131" spans="2:14">
      <c r="B131" s="85" t="s">
        <v>370</v>
      </c>
      <c r="C131" s="93">
        <v>-1109007000</v>
      </c>
      <c r="D131" s="93">
        <v>-433067000</v>
      </c>
      <c r="E131" s="93">
        <v>-664718000</v>
      </c>
      <c r="F131" s="93">
        <v>-3523710000</v>
      </c>
      <c r="G131" s="93">
        <v>-984998000</v>
      </c>
      <c r="H131" s="93">
        <v>-674230000</v>
      </c>
      <c r="I131" s="93">
        <v>-505664000</v>
      </c>
      <c r="J131" s="449">
        <v>-667558000</v>
      </c>
      <c r="K131" s="413">
        <v>-142424000</v>
      </c>
      <c r="L131" s="93"/>
      <c r="M131" s="93"/>
      <c r="N131" s="93"/>
    </row>
    <row r="132" spans="2:14">
      <c r="B132" s="85" t="s">
        <v>694</v>
      </c>
      <c r="C132" s="93"/>
      <c r="D132" s="93"/>
      <c r="E132" s="93"/>
      <c r="F132" s="93"/>
      <c r="G132" s="93">
        <v>-1532704000</v>
      </c>
      <c r="H132" s="93">
        <v>-1582090000</v>
      </c>
      <c r="I132" s="93">
        <v>-2829233000</v>
      </c>
      <c r="J132" s="449">
        <v>-3347976000</v>
      </c>
      <c r="K132" s="413">
        <v>-3648731000</v>
      </c>
      <c r="L132" s="93"/>
      <c r="M132" s="93"/>
      <c r="N132" s="93"/>
    </row>
    <row r="133" spans="2:14">
      <c r="B133" s="86" t="s">
        <v>372</v>
      </c>
      <c r="C133" s="93">
        <v>-74124494000</v>
      </c>
      <c r="D133" s="93">
        <v>-64892118000</v>
      </c>
      <c r="E133" s="66">
        <v>-77971500000</v>
      </c>
      <c r="F133" s="93">
        <v>-71826336000</v>
      </c>
      <c r="G133" s="93">
        <v>-89195312000</v>
      </c>
      <c r="H133" s="93">
        <v>-91675934000</v>
      </c>
      <c r="I133" s="93">
        <v>-85253657000</v>
      </c>
      <c r="J133" s="449">
        <v>-77071334000</v>
      </c>
      <c r="K133" s="413">
        <v>-81735763000</v>
      </c>
      <c r="L133" s="93"/>
      <c r="M133" s="93"/>
      <c r="N133" s="93"/>
    </row>
    <row r="134" spans="2:14">
      <c r="B134" s="85" t="s">
        <v>373</v>
      </c>
      <c r="C134" s="93">
        <v>-75578272000</v>
      </c>
      <c r="D134" s="93">
        <v>-64657635000</v>
      </c>
      <c r="E134" s="93">
        <v>-77393301000</v>
      </c>
      <c r="F134" s="93">
        <v>-68576265000</v>
      </c>
      <c r="G134" s="93">
        <v>-85230638000</v>
      </c>
      <c r="H134" s="93">
        <v>-24295671000</v>
      </c>
      <c r="I134" s="93">
        <v>-81311970000</v>
      </c>
      <c r="J134" s="449">
        <v>-73474632000</v>
      </c>
      <c r="K134" s="413">
        <v>-78372874000</v>
      </c>
      <c r="L134" s="93"/>
      <c r="M134" s="93"/>
      <c r="N134" s="93"/>
    </row>
    <row r="135" spans="2:14">
      <c r="B135" s="86" t="s">
        <v>375</v>
      </c>
      <c r="C135" s="66">
        <v>4350136000</v>
      </c>
      <c r="D135" s="66">
        <v>1587161000</v>
      </c>
      <c r="E135" s="93">
        <v>-2401475000</v>
      </c>
      <c r="F135" s="66">
        <v>43967133000</v>
      </c>
      <c r="G135" s="66">
        <v>47998055000</v>
      </c>
      <c r="H135" s="66">
        <v>42173534000</v>
      </c>
      <c r="I135" s="66">
        <v>51424885000</v>
      </c>
      <c r="J135" s="67">
        <v>71093657000</v>
      </c>
      <c r="K135" s="105">
        <v>93478953000</v>
      </c>
      <c r="L135" s="66"/>
      <c r="M135" s="66"/>
      <c r="N135" s="66"/>
    </row>
    <row r="136" spans="2:14">
      <c r="B136" s="85"/>
      <c r="C136" s="66"/>
      <c r="D136" s="66"/>
      <c r="E136" s="66"/>
      <c r="F136" s="66"/>
      <c r="G136" s="66"/>
      <c r="H136" s="66"/>
      <c r="I136" s="66"/>
      <c r="J136" s="67"/>
      <c r="K136" s="105"/>
      <c r="L136" s="66"/>
      <c r="M136" s="66"/>
      <c r="N136" s="66"/>
    </row>
    <row r="137" spans="2:14">
      <c r="B137" s="84" t="s">
        <v>376</v>
      </c>
      <c r="C137" s="66">
        <f t="shared" ref="C137:G137" si="84">+C129+C131+C132</f>
        <v>73313745000</v>
      </c>
      <c r="D137" s="66">
        <f t="shared" si="84"/>
        <v>67592583000</v>
      </c>
      <c r="E137" s="66">
        <f t="shared" si="84"/>
        <v>70736783000</v>
      </c>
      <c r="F137" s="66">
        <f t="shared" si="84"/>
        <v>107965223000</v>
      </c>
      <c r="G137" s="66">
        <f t="shared" si="84"/>
        <v>35209899000</v>
      </c>
      <c r="H137" s="66">
        <f>+H129+H131+H132</f>
        <v>81740875000</v>
      </c>
      <c r="I137" s="66">
        <f>+I129+I131+I132</f>
        <v>83195047000</v>
      </c>
      <c r="J137" s="67">
        <v>89036018000</v>
      </c>
      <c r="K137" s="105">
        <f>+K129+K131</f>
        <v>98721084000</v>
      </c>
      <c r="L137" s="66"/>
      <c r="M137" s="66"/>
      <c r="N137" s="66"/>
    </row>
  </sheetData>
  <conditionalFormatting sqref="C70:I73 D74:I74 C75:I76 C77:F77">
    <cfRule type="cellIs" dxfId="189" priority="11" operator="lessThan">
      <formula>0</formula>
    </cfRule>
  </conditionalFormatting>
  <conditionalFormatting sqref="C108:N125">
    <cfRule type="cellIs" dxfId="188" priority="1" operator="lessThan">
      <formula>0</formula>
    </cfRule>
  </conditionalFormatting>
  <conditionalFormatting sqref="J70:N76 C78:N98 C100:N104">
    <cfRule type="cellIs" dxfId="187" priority="2" operator="lessThan">
      <formula>0</formula>
    </cfRule>
  </conditionalFormatting>
  <pageMargins left="0.7" right="0.7" top="0.75" bottom="0.75" header="0.3" footer="0.3"/>
  <pageSetup paperSize="9" orientation="portrait"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18538-C791-45DD-89D0-A99431588DAE}">
  <sheetPr>
    <outlinePr summaryBelow="0" summaryRight="0"/>
  </sheetPr>
  <dimension ref="B1:Q1017"/>
  <sheetViews>
    <sheetView zoomScale="90" zoomScaleNormal="90" workbookViewId="0">
      <pane xSplit="2" ySplit="6" topLeftCell="D7" activePane="bottomRight" state="frozen"/>
      <selection pane="bottomRight" activeCell="J46" sqref="J46"/>
      <selection pane="bottomLeft" activeCell="A7" sqref="A7"/>
      <selection pane="topRight" activeCell="C1" sqref="C1"/>
    </sheetView>
  </sheetViews>
  <sheetFormatPr defaultColWidth="14.42578125" defaultRowHeight="15" customHeight="1"/>
  <cols>
    <col min="1" max="1" width="5.42578125" style="1135" customWidth="1"/>
    <col min="2" max="2" width="56.42578125" style="1135" bestFit="1" customWidth="1"/>
    <col min="3" max="3" width="15" style="1135" bestFit="1" customWidth="1"/>
    <col min="4" max="4" width="24.5703125" style="1135" bestFit="1" customWidth="1"/>
    <col min="5" max="5" width="23.28515625" style="1135" bestFit="1" customWidth="1"/>
    <col min="6" max="7" width="15" style="1135" bestFit="1" customWidth="1"/>
    <col min="8" max="8" width="19.140625" style="1135" customWidth="1"/>
    <col min="9" max="9" width="15" style="1135" bestFit="1" customWidth="1"/>
    <col min="10" max="10" width="16.85546875" style="1135" bestFit="1" customWidth="1"/>
    <col min="11" max="11" width="9" style="1135" bestFit="1" customWidth="1"/>
    <col min="12" max="14" width="8.28515625" style="1135" bestFit="1" customWidth="1"/>
    <col min="15" max="26" width="11.42578125" style="1135" customWidth="1"/>
    <col min="27" max="16384" width="14.42578125" style="1135"/>
  </cols>
  <sheetData>
    <row r="1" spans="2:14" s="1000" customFormat="1" ht="13.15"/>
    <row r="2" spans="2:14" s="1000" customFormat="1" ht="13.15">
      <c r="B2" s="997">
        <f ca="1">TODAY()-1</f>
        <v>46105</v>
      </c>
      <c r="C2" s="998"/>
      <c r="D2" s="999" t="s">
        <v>518</v>
      </c>
      <c r="E2" s="999" t="s">
        <v>266</v>
      </c>
    </row>
    <row r="3" spans="2:14" s="1000" customFormat="1" ht="13.15">
      <c r="B3" s="1001" cm="1">
        <f t="array" aca="1" ref="B3" ca="1">_FV(B6,"Precio")</f>
        <v>6221</v>
      </c>
      <c r="C3" s="1002"/>
      <c r="D3" s="1133">
        <f>AVERAGE(G43:I43)</f>
        <v>171.66666666666666</v>
      </c>
      <c r="E3" s="1133">
        <f>AVERAGE(G42:I42)</f>
        <v>401</v>
      </c>
    </row>
    <row r="4" spans="2:14" s="1000" customFormat="1" ht="13.15">
      <c r="B4" s="1004"/>
      <c r="C4" s="1005"/>
      <c r="D4" s="1006"/>
      <c r="E4" s="1006"/>
    </row>
    <row r="6" spans="2:14" ht="13.15">
      <c r="B6" s="1134" t="e" vm="24">
        <v>#VALUE!</v>
      </c>
      <c r="C6" s="1134">
        <v>2017</v>
      </c>
      <c r="D6" s="1134">
        <v>2018</v>
      </c>
      <c r="E6" s="1134">
        <v>2019</v>
      </c>
      <c r="F6" s="1134">
        <v>2020</v>
      </c>
      <c r="G6" s="1134">
        <v>2021</v>
      </c>
      <c r="H6" s="1134">
        <v>2022</v>
      </c>
      <c r="I6" s="1134">
        <v>2023</v>
      </c>
      <c r="J6" s="1134">
        <v>2024</v>
      </c>
      <c r="K6" s="1134">
        <v>2025</v>
      </c>
      <c r="L6" s="1134">
        <v>2026</v>
      </c>
      <c r="M6" s="1134">
        <v>2027</v>
      </c>
      <c r="N6" s="1134">
        <v>2028</v>
      </c>
    </row>
    <row r="7" spans="2:14" ht="13.15">
      <c r="B7" s="988" t="s">
        <v>267</v>
      </c>
      <c r="C7" s="1136">
        <f t="shared" ref="C7:I7" si="0">+C66</f>
        <v>10904663000</v>
      </c>
      <c r="D7" s="1136">
        <f t="shared" si="0"/>
        <v>13155835000</v>
      </c>
      <c r="E7" s="1136">
        <f t="shared" si="0"/>
        <v>16007031000</v>
      </c>
      <c r="F7" s="1136">
        <f t="shared" si="0"/>
        <v>15051581000</v>
      </c>
      <c r="G7" s="1136">
        <f t="shared" si="0"/>
        <v>14910893000</v>
      </c>
      <c r="H7" s="1136">
        <f t="shared" si="0"/>
        <v>12974141000</v>
      </c>
      <c r="I7" s="1136">
        <f t="shared" si="0"/>
        <v>20867186000</v>
      </c>
      <c r="J7" s="1136">
        <f t="shared" ref="J7:N7" si="1">+J66</f>
        <v>18985046000</v>
      </c>
      <c r="K7" s="1136">
        <f t="shared" si="1"/>
        <v>0</v>
      </c>
      <c r="L7" s="1136">
        <f t="shared" si="1"/>
        <v>0</v>
      </c>
      <c r="M7" s="1136">
        <f t="shared" si="1"/>
        <v>0</v>
      </c>
      <c r="N7" s="1136">
        <f t="shared" si="1"/>
        <v>0</v>
      </c>
    </row>
    <row r="8" spans="2:14" ht="13.15">
      <c r="B8" s="989" t="s">
        <v>378</v>
      </c>
      <c r="C8" s="1137">
        <f t="shared" ref="C8:I8" si="2">+C71</f>
        <v>911363000</v>
      </c>
      <c r="D8" s="1137">
        <f t="shared" si="2"/>
        <v>435603000</v>
      </c>
      <c r="E8" s="1137">
        <f t="shared" si="2"/>
        <v>705551000</v>
      </c>
      <c r="F8" s="1137">
        <f t="shared" si="2"/>
        <v>2228156000</v>
      </c>
      <c r="G8" s="1137">
        <f t="shared" si="2"/>
        <v>2598652000</v>
      </c>
      <c r="H8" s="1137">
        <f t="shared" si="2"/>
        <v>3357705000</v>
      </c>
      <c r="I8" s="1137">
        <f t="shared" si="2"/>
        <v>3686287000</v>
      </c>
      <c r="J8" s="1137">
        <f t="shared" ref="J8:N8" si="3">+J71</f>
        <v>4311061000</v>
      </c>
      <c r="K8" s="1137">
        <f t="shared" si="3"/>
        <v>0</v>
      </c>
      <c r="L8" s="1137">
        <f t="shared" si="3"/>
        <v>0</v>
      </c>
      <c r="M8" s="1137">
        <f t="shared" si="3"/>
        <v>0</v>
      </c>
      <c r="N8" s="1137">
        <f t="shared" si="3"/>
        <v>0</v>
      </c>
    </row>
    <row r="9" spans="2:14" ht="13.15">
      <c r="B9" s="990" t="s">
        <v>695</v>
      </c>
      <c r="C9" s="1136">
        <f t="shared" ref="C9:I9" si="4">+C73</f>
        <v>69394409000</v>
      </c>
      <c r="D9" s="1136">
        <f t="shared" si="4"/>
        <v>67179380000</v>
      </c>
      <c r="E9" s="1136">
        <f t="shared" si="4"/>
        <v>64088413000</v>
      </c>
      <c r="F9" s="1136">
        <f t="shared" si="4"/>
        <v>44910058000</v>
      </c>
      <c r="G9" s="1136">
        <f t="shared" si="4"/>
        <v>51511856000</v>
      </c>
      <c r="H9" s="1136">
        <f t="shared" si="4"/>
        <v>64416553000</v>
      </c>
      <c r="I9" s="1136">
        <f t="shared" si="4"/>
        <v>74827394000</v>
      </c>
      <c r="J9" s="1136">
        <f t="shared" ref="J9:N9" si="5">+J73</f>
        <v>89801525000</v>
      </c>
      <c r="K9" s="1136">
        <f t="shared" si="5"/>
        <v>0</v>
      </c>
      <c r="L9" s="1136">
        <f t="shared" si="5"/>
        <v>0</v>
      </c>
      <c r="M9" s="1136">
        <f t="shared" si="5"/>
        <v>0</v>
      </c>
      <c r="N9" s="1136">
        <f t="shared" si="5"/>
        <v>0</v>
      </c>
    </row>
    <row r="10" spans="2:14" ht="13.15">
      <c r="B10" s="991" t="s">
        <v>272</v>
      </c>
      <c r="C10" s="1138">
        <f t="shared" ref="C10:I10" si="6">+C7+C9</f>
        <v>80299072000</v>
      </c>
      <c r="D10" s="1138">
        <f t="shared" si="6"/>
        <v>80335215000</v>
      </c>
      <c r="E10" s="1138">
        <f t="shared" si="6"/>
        <v>80095444000</v>
      </c>
      <c r="F10" s="1138">
        <f t="shared" si="6"/>
        <v>59961639000</v>
      </c>
      <c r="G10" s="1138">
        <f t="shared" si="6"/>
        <v>66422749000</v>
      </c>
      <c r="H10" s="1138">
        <f t="shared" si="6"/>
        <v>77390694000</v>
      </c>
      <c r="I10" s="1138">
        <f t="shared" si="6"/>
        <v>95694580000</v>
      </c>
      <c r="J10" s="1138">
        <f t="shared" ref="J10:N10" si="7">+J7+J9</f>
        <v>108786571000</v>
      </c>
      <c r="K10" s="1138">
        <f t="shared" si="7"/>
        <v>0</v>
      </c>
      <c r="L10" s="1138">
        <f t="shared" si="7"/>
        <v>0</v>
      </c>
      <c r="M10" s="1138">
        <f t="shared" si="7"/>
        <v>0</v>
      </c>
      <c r="N10" s="1138">
        <f t="shared" si="7"/>
        <v>0</v>
      </c>
    </row>
    <row r="11" spans="2:14" ht="13.15">
      <c r="B11" s="992" t="s">
        <v>273</v>
      </c>
      <c r="C11" s="1139">
        <f t="shared" ref="C11:I11" si="8">+C83</f>
        <v>7057321000</v>
      </c>
      <c r="D11" s="1139">
        <f t="shared" si="8"/>
        <v>6961981000</v>
      </c>
      <c r="E11" s="1139">
        <f t="shared" si="8"/>
        <v>10151508000</v>
      </c>
      <c r="F11" s="1139">
        <f t="shared" si="8"/>
        <v>11193847000</v>
      </c>
      <c r="G11" s="1139">
        <f t="shared" si="8"/>
        <v>13678224000</v>
      </c>
      <c r="H11" s="1139">
        <f t="shared" si="8"/>
        <v>13068167000</v>
      </c>
      <c r="I11" s="1139">
        <f t="shared" si="8"/>
        <v>42476661000</v>
      </c>
      <c r="J11" s="1139">
        <f t="shared" ref="J11:N11" si="9">+J83</f>
        <v>47004459000</v>
      </c>
      <c r="K11" s="1139">
        <f t="shared" si="9"/>
        <v>0</v>
      </c>
      <c r="L11" s="1139">
        <f t="shared" si="9"/>
        <v>0</v>
      </c>
      <c r="M11" s="1139">
        <f t="shared" si="9"/>
        <v>0</v>
      </c>
      <c r="N11" s="1139">
        <f t="shared" si="9"/>
        <v>0</v>
      </c>
    </row>
    <row r="12" spans="2:14" ht="13.15">
      <c r="B12" s="992" t="s">
        <v>274</v>
      </c>
      <c r="C12" s="1139">
        <f t="shared" ref="C12:I12" si="10">+C88</f>
        <v>23506408000</v>
      </c>
      <c r="D12" s="1139">
        <f t="shared" si="10"/>
        <v>23258239000</v>
      </c>
      <c r="E12" s="1139">
        <f t="shared" si="10"/>
        <v>18325363000</v>
      </c>
      <c r="F12" s="1139">
        <f t="shared" si="10"/>
        <v>21103939000</v>
      </c>
      <c r="G12" s="1139">
        <f t="shared" si="10"/>
        <v>14249624000</v>
      </c>
      <c r="H12" s="1139">
        <f t="shared" si="10"/>
        <v>25984205000</v>
      </c>
      <c r="I12" s="1139">
        <f t="shared" si="10"/>
        <v>13355559000</v>
      </c>
      <c r="J12" s="1139">
        <f t="shared" ref="J12:N12" si="11">+J88</f>
        <v>20479718000</v>
      </c>
      <c r="K12" s="1139">
        <f t="shared" si="11"/>
        <v>0</v>
      </c>
      <c r="L12" s="1139">
        <f t="shared" si="11"/>
        <v>0</v>
      </c>
      <c r="M12" s="1139">
        <f t="shared" si="11"/>
        <v>0</v>
      </c>
      <c r="N12" s="1139">
        <f t="shared" si="11"/>
        <v>0</v>
      </c>
    </row>
    <row r="13" spans="2:14" ht="13.15">
      <c r="B13" s="993" t="s">
        <v>275</v>
      </c>
      <c r="C13" s="1140">
        <f t="shared" ref="C13:I13" si="12">SUM(C11:C12)</f>
        <v>30563729000</v>
      </c>
      <c r="D13" s="1140">
        <f t="shared" si="12"/>
        <v>30220220000</v>
      </c>
      <c r="E13" s="1140">
        <f t="shared" si="12"/>
        <v>28476871000</v>
      </c>
      <c r="F13" s="1140">
        <f t="shared" si="12"/>
        <v>32297786000</v>
      </c>
      <c r="G13" s="1140">
        <f t="shared" si="12"/>
        <v>27927848000</v>
      </c>
      <c r="H13" s="1140">
        <f t="shared" si="12"/>
        <v>39052372000</v>
      </c>
      <c r="I13" s="1140">
        <f t="shared" si="12"/>
        <v>55832220000</v>
      </c>
      <c r="J13" s="1140">
        <f t="shared" ref="J13:N13" si="13">SUM(J11:J12)</f>
        <v>67484177000</v>
      </c>
      <c r="K13" s="1140">
        <f t="shared" si="13"/>
        <v>0</v>
      </c>
      <c r="L13" s="1140">
        <f t="shared" si="13"/>
        <v>0</v>
      </c>
      <c r="M13" s="1140">
        <f t="shared" si="13"/>
        <v>0</v>
      </c>
      <c r="N13" s="1140">
        <f t="shared" si="13"/>
        <v>0</v>
      </c>
    </row>
    <row r="14" spans="2:14" ht="13.15">
      <c r="B14" s="994" t="s">
        <v>276</v>
      </c>
      <c r="C14" s="1141">
        <f t="shared" ref="C14:I14" si="14">+C100</f>
        <v>49439426000</v>
      </c>
      <c r="D14" s="1141">
        <f t="shared" si="14"/>
        <v>49837122000</v>
      </c>
      <c r="E14" s="1141">
        <f t="shared" si="14"/>
        <v>51372782000</v>
      </c>
      <c r="F14" s="1141">
        <f t="shared" si="14"/>
        <v>56279440000</v>
      </c>
      <c r="G14" s="1141">
        <f t="shared" si="14"/>
        <v>38437147000</v>
      </c>
      <c r="H14" s="1141">
        <f t="shared" si="14"/>
        <v>38284903000</v>
      </c>
      <c r="I14" s="1141">
        <f t="shared" si="14"/>
        <v>39862360000</v>
      </c>
      <c r="J14" s="1141">
        <f t="shared" ref="J14:N14" si="15">+J100</f>
        <v>41302394000</v>
      </c>
      <c r="K14" s="1141">
        <f t="shared" si="15"/>
        <v>0</v>
      </c>
      <c r="L14" s="1141">
        <f t="shared" si="15"/>
        <v>0</v>
      </c>
      <c r="M14" s="1141">
        <f t="shared" si="15"/>
        <v>0</v>
      </c>
      <c r="N14" s="1141">
        <f t="shared" si="15"/>
        <v>0</v>
      </c>
    </row>
    <row r="15" spans="2:14" ht="13.15">
      <c r="B15" s="995" t="s">
        <v>278</v>
      </c>
      <c r="C15" s="1142">
        <v>13081284</v>
      </c>
      <c r="D15" s="1143">
        <v>13081284</v>
      </c>
      <c r="E15" s="1143">
        <v>13081284</v>
      </c>
      <c r="F15" s="1143">
        <v>13081284</v>
      </c>
      <c r="G15" s="1143">
        <v>13081284</v>
      </c>
      <c r="H15" s="1143">
        <v>13081284</v>
      </c>
      <c r="I15" s="1143">
        <v>13081284</v>
      </c>
      <c r="J15" s="1143">
        <v>13081284</v>
      </c>
      <c r="K15" s="1143"/>
      <c r="L15" s="1143"/>
      <c r="M15" s="1143"/>
      <c r="N15" s="1143"/>
    </row>
    <row r="16" spans="2:14" ht="13.15"/>
    <row r="17" spans="2:14" ht="13.15">
      <c r="B17" s="1144" t="s">
        <v>279</v>
      </c>
      <c r="C17" s="1145">
        <f t="shared" ref="C17:F17" si="16">(C14/C15)</f>
        <v>3779.4016244888498</v>
      </c>
      <c r="D17" s="1145">
        <f t="shared" si="16"/>
        <v>3809.8035330476732</v>
      </c>
      <c r="E17" s="1145">
        <f t="shared" si="16"/>
        <v>3927.1972078581889</v>
      </c>
      <c r="F17" s="1145">
        <f t="shared" si="16"/>
        <v>4302.2871455126269</v>
      </c>
      <c r="G17" s="1145">
        <f>(G14/G15)</f>
        <v>2938.3313595209765</v>
      </c>
      <c r="H17" s="1145">
        <f>(H14/H15)</f>
        <v>2926.6930524557069</v>
      </c>
      <c r="I17" s="1145">
        <f>(I14/I15)</f>
        <v>3047.2819029080019</v>
      </c>
      <c r="J17" s="1145">
        <f>(J14/J15)</f>
        <v>3157.3654390501729</v>
      </c>
      <c r="K17" s="1145" t="e">
        <f t="shared" ref="K17:N17" si="17">(K14/K15)</f>
        <v>#DIV/0!</v>
      </c>
      <c r="L17" s="1145" t="e">
        <f t="shared" si="17"/>
        <v>#DIV/0!</v>
      </c>
      <c r="M17" s="1145" t="e">
        <f t="shared" si="17"/>
        <v>#DIV/0!</v>
      </c>
      <c r="N17" s="1145" t="e">
        <f t="shared" si="17"/>
        <v>#DIV/0!</v>
      </c>
    </row>
    <row r="18" spans="2:14" ht="13.15">
      <c r="B18" s="1146" t="s">
        <v>282</v>
      </c>
      <c r="C18" s="1147">
        <v>5718</v>
      </c>
      <c r="D18" s="1147">
        <v>5015</v>
      </c>
      <c r="E18" s="1147">
        <v>5631</v>
      </c>
      <c r="F18" s="1147">
        <v>5922</v>
      </c>
      <c r="G18" s="1147">
        <v>5797</v>
      </c>
      <c r="H18" s="1147">
        <v>5045</v>
      </c>
      <c r="I18" s="1147">
        <v>5765</v>
      </c>
      <c r="J18" s="1147">
        <v>5100</v>
      </c>
      <c r="K18" s="1147"/>
      <c r="L18" s="1147"/>
      <c r="M18" s="1147"/>
      <c r="N18" s="1147"/>
    </row>
    <row r="19" spans="2:14" ht="13.15">
      <c r="B19" s="1144" t="s">
        <v>283</v>
      </c>
      <c r="C19" s="1148">
        <f t="shared" ref="C19:I19" si="18">+C18/C38</f>
        <v>16.26788813337506</v>
      </c>
      <c r="D19" s="1148">
        <f t="shared" si="18"/>
        <v>17.332549941245595</v>
      </c>
      <c r="E19" s="1148">
        <f t="shared" si="18"/>
        <v>11.286152366063375</v>
      </c>
      <c r="F19" s="1148">
        <f t="shared" si="18"/>
        <v>12.177733975917857</v>
      </c>
      <c r="G19" s="1148">
        <f t="shared" si="18"/>
        <v>10.122594681887717</v>
      </c>
      <c r="H19" s="1148">
        <f>+H18/H38</f>
        <v>9.3035882640859775</v>
      </c>
      <c r="I19" s="1148">
        <f t="shared" si="18"/>
        <v>14.480421788143941</v>
      </c>
      <c r="J19" s="1148">
        <f t="shared" ref="J19:N19" si="19">+J18/J38</f>
        <v>8.2706094283478215</v>
      </c>
      <c r="K19" s="1148" t="e">
        <f t="shared" si="19"/>
        <v>#DIV/0!</v>
      </c>
      <c r="L19" s="1148" t="e">
        <f t="shared" si="19"/>
        <v>#DIV/0!</v>
      </c>
      <c r="M19" s="1148" t="e">
        <f t="shared" si="19"/>
        <v>#DIV/0!</v>
      </c>
      <c r="N19" s="1148" t="e">
        <f t="shared" si="19"/>
        <v>#DIV/0!</v>
      </c>
    </row>
    <row r="20" spans="2:14" ht="13.15">
      <c r="B20" s="1144" t="s">
        <v>301</v>
      </c>
      <c r="C20" s="1148">
        <f t="shared" ref="C20:E20" si="20">+C18/C17</f>
        <v>1.5129379113746184</v>
      </c>
      <c r="D20" s="1148">
        <f t="shared" si="20"/>
        <v>1.3163408444813487</v>
      </c>
      <c r="E20" s="1148">
        <f t="shared" si="20"/>
        <v>1.4338470165777668</v>
      </c>
      <c r="F20" s="1148">
        <f>+F18/F17</f>
        <v>1.3764771619618106</v>
      </c>
      <c r="G20" s="1148">
        <f>+G18/G17</f>
        <v>1.9728884494991266</v>
      </c>
      <c r="H20" s="1148">
        <f>+H18/H17</f>
        <v>1.7237885591612965</v>
      </c>
      <c r="I20" s="1148">
        <f>I18/I17</f>
        <v>1.8918499120473551</v>
      </c>
      <c r="J20" s="1148">
        <f>J18/J17</f>
        <v>1.6152707370909298</v>
      </c>
      <c r="K20" s="1148"/>
      <c r="L20" s="1148"/>
      <c r="M20" s="1148"/>
      <c r="N20" s="1148"/>
    </row>
    <row r="21" spans="2:14" ht="13.15">
      <c r="B21" s="1144" t="s">
        <v>285</v>
      </c>
      <c r="C21" s="1148">
        <f t="shared" ref="C21:I21" si="21">+C19*C20</f>
        <v>24.612304694984402</v>
      </c>
      <c r="D21" s="1148">
        <f t="shared" si="21"/>
        <v>22.815543426674378</v>
      </c>
      <c r="E21" s="1148">
        <f t="shared" si="21"/>
        <v>16.182615898722073</v>
      </c>
      <c r="F21" s="1148">
        <f t="shared" si="21"/>
        <v>16.762372702297327</v>
      </c>
      <c r="G21" s="1148"/>
      <c r="H21" s="1148">
        <f t="shared" si="21"/>
        <v>16.037419008778716</v>
      </c>
      <c r="I21" s="1148">
        <f t="shared" si="21"/>
        <v>27.394784686308718</v>
      </c>
      <c r="J21" s="1148">
        <f t="shared" ref="J21:N21" si="22">+J19*J20</f>
        <v>13.359273387518579</v>
      </c>
      <c r="K21" s="1148" t="e">
        <f t="shared" si="22"/>
        <v>#DIV/0!</v>
      </c>
      <c r="L21" s="1148" t="e">
        <f t="shared" si="22"/>
        <v>#DIV/0!</v>
      </c>
      <c r="M21" s="1148" t="e">
        <f t="shared" si="22"/>
        <v>#DIV/0!</v>
      </c>
      <c r="N21" s="1148" t="e">
        <f t="shared" si="22"/>
        <v>#DIV/0!</v>
      </c>
    </row>
    <row r="22" spans="2:14" ht="13.15">
      <c r="B22" s="1149" t="s">
        <v>286</v>
      </c>
      <c r="C22" s="1150">
        <v>2</v>
      </c>
      <c r="D22" s="1150">
        <v>2</v>
      </c>
      <c r="E22" s="1150">
        <v>2</v>
      </c>
      <c r="F22" s="1150">
        <v>1</v>
      </c>
      <c r="G22" s="1150">
        <v>2</v>
      </c>
      <c r="H22" s="1150">
        <v>2</v>
      </c>
      <c r="I22" s="1150">
        <v>2</v>
      </c>
      <c r="J22" s="1150">
        <v>2</v>
      </c>
      <c r="K22" s="1150">
        <v>2</v>
      </c>
      <c r="L22" s="1150">
        <v>2</v>
      </c>
      <c r="M22" s="1150">
        <v>2</v>
      </c>
      <c r="N22" s="1150">
        <v>2</v>
      </c>
    </row>
    <row r="23" spans="2:14" ht="13.15">
      <c r="B23" s="1149" t="s">
        <v>287</v>
      </c>
      <c r="C23" s="1150">
        <v>2.5</v>
      </c>
      <c r="D23" s="1150">
        <v>2.5</v>
      </c>
      <c r="E23" s="1150">
        <v>2.5</v>
      </c>
      <c r="F23" s="1150">
        <v>2.5</v>
      </c>
      <c r="G23" s="1150">
        <v>2.5</v>
      </c>
      <c r="H23" s="1150">
        <v>2.5</v>
      </c>
      <c r="I23" s="1150">
        <v>2.5</v>
      </c>
      <c r="J23" s="1150">
        <v>2.5</v>
      </c>
      <c r="K23" s="1150">
        <v>2.5</v>
      </c>
      <c r="L23" s="1150">
        <v>2.5</v>
      </c>
      <c r="M23" s="1150">
        <v>2.5</v>
      </c>
      <c r="N23" s="1150">
        <v>2.5</v>
      </c>
    </row>
    <row r="24" spans="2:14" ht="13.15">
      <c r="B24" s="1151" t="s">
        <v>288</v>
      </c>
      <c r="C24" s="1152">
        <f t="shared" ref="C24:H24" si="23">+C22*C17</f>
        <v>7558.8032489776997</v>
      </c>
      <c r="D24" s="1152">
        <f t="shared" si="23"/>
        <v>7619.6070660953465</v>
      </c>
      <c r="E24" s="1152">
        <f t="shared" si="23"/>
        <v>7854.3944157163778</v>
      </c>
      <c r="F24" s="1152">
        <f t="shared" si="23"/>
        <v>4302.2871455126269</v>
      </c>
      <c r="G24" s="1152">
        <f t="shared" si="23"/>
        <v>5876.6627190419531</v>
      </c>
      <c r="H24" s="1152">
        <f t="shared" si="23"/>
        <v>5853.3861049114139</v>
      </c>
      <c r="I24" s="1152">
        <f t="shared" ref="I24:J24" si="24">+I22*I17</f>
        <v>6094.5638058160039</v>
      </c>
      <c r="J24" s="1152">
        <f t="shared" si="24"/>
        <v>6314.7308781003458</v>
      </c>
      <c r="K24" s="1152" t="e">
        <f t="shared" ref="K24:N24" si="25">+K22*K17</f>
        <v>#DIV/0!</v>
      </c>
      <c r="L24" s="1152" t="e">
        <f t="shared" si="25"/>
        <v>#DIV/0!</v>
      </c>
      <c r="M24" s="1152" t="e">
        <f t="shared" si="25"/>
        <v>#DIV/0!</v>
      </c>
      <c r="N24" s="1152" t="e">
        <f t="shared" si="25"/>
        <v>#DIV/0!</v>
      </c>
    </row>
    <row r="25" spans="2:14" ht="13.15">
      <c r="B25" s="1151" t="s">
        <v>289</v>
      </c>
      <c r="C25" s="1152">
        <f t="shared" ref="C25:H25" si="26">AVERAGE(C24,C26)</f>
        <v>8503.6536550999117</v>
      </c>
      <c r="D25" s="1152">
        <f t="shared" si="26"/>
        <v>8572.0579493572659</v>
      </c>
      <c r="E25" s="1152">
        <f t="shared" si="26"/>
        <v>8836.1937176809242</v>
      </c>
      <c r="F25" s="1152">
        <f t="shared" si="26"/>
        <v>7529.0025046470964</v>
      </c>
      <c r="G25" s="1152">
        <f t="shared" si="26"/>
        <v>6611.2455589221972</v>
      </c>
      <c r="H25" s="1152">
        <f t="shared" si="26"/>
        <v>6585.0593680253405</v>
      </c>
      <c r="I25" s="1152">
        <f t="shared" ref="I25:J25" si="27">AVERAGE(I24,I26)</f>
        <v>6856.3842815430044</v>
      </c>
      <c r="J25" s="1152">
        <f t="shared" si="27"/>
        <v>7104.0722378628889</v>
      </c>
      <c r="K25" s="1152" t="e">
        <f t="shared" ref="K25:N25" si="28">AVERAGE(K24,K26)</f>
        <v>#DIV/0!</v>
      </c>
      <c r="L25" s="1152" t="e">
        <f t="shared" si="28"/>
        <v>#DIV/0!</v>
      </c>
      <c r="M25" s="1152" t="e">
        <f t="shared" si="28"/>
        <v>#DIV/0!</v>
      </c>
      <c r="N25" s="1152" t="e">
        <f t="shared" si="28"/>
        <v>#DIV/0!</v>
      </c>
    </row>
    <row r="26" spans="2:14" ht="13.15">
      <c r="B26" s="1151" t="s">
        <v>290</v>
      </c>
      <c r="C26" s="1152">
        <f t="shared" ref="C26:H26" si="29">+C17*C23</f>
        <v>9448.5040612221237</v>
      </c>
      <c r="D26" s="1152">
        <f t="shared" si="29"/>
        <v>9524.5088326191835</v>
      </c>
      <c r="E26" s="1152">
        <f t="shared" si="29"/>
        <v>9817.9930196454716</v>
      </c>
      <c r="F26" s="1152">
        <f t="shared" si="29"/>
        <v>10755.717863781567</v>
      </c>
      <c r="G26" s="1152">
        <f t="shared" si="29"/>
        <v>7345.8283988024414</v>
      </c>
      <c r="H26" s="1152">
        <f t="shared" si="29"/>
        <v>7316.7326311392671</v>
      </c>
      <c r="I26" s="1152">
        <f t="shared" ref="I26:J26" si="30">+I17*I23</f>
        <v>7618.2047572700048</v>
      </c>
      <c r="J26" s="1152">
        <f t="shared" si="30"/>
        <v>7893.413597625432</v>
      </c>
      <c r="K26" s="1152" t="e">
        <f t="shared" ref="K26:N26" si="31">+K17*K23</f>
        <v>#DIV/0!</v>
      </c>
      <c r="L26" s="1152" t="e">
        <f t="shared" si="31"/>
        <v>#DIV/0!</v>
      </c>
      <c r="M26" s="1152" t="e">
        <f t="shared" si="31"/>
        <v>#DIV/0!</v>
      </c>
      <c r="N26" s="1152" t="e">
        <f t="shared" si="31"/>
        <v>#DIV/0!</v>
      </c>
    </row>
    <row r="27" spans="2:14" ht="15.75" customHeight="1"/>
    <row r="28" spans="2:14" ht="13.15">
      <c r="B28" s="1153" t="s">
        <v>291</v>
      </c>
      <c r="C28" s="1154">
        <f t="shared" ref="C28:I28" si="32">C7-C11</f>
        <v>3847342000</v>
      </c>
      <c r="D28" s="1154">
        <f t="shared" si="32"/>
        <v>6193854000</v>
      </c>
      <c r="E28" s="1154">
        <f t="shared" si="32"/>
        <v>5855523000</v>
      </c>
      <c r="F28" s="1154">
        <f t="shared" si="32"/>
        <v>3857734000</v>
      </c>
      <c r="G28" s="1154">
        <f t="shared" si="32"/>
        <v>1232669000</v>
      </c>
      <c r="H28" s="1154">
        <f t="shared" si="32"/>
        <v>-94026000</v>
      </c>
      <c r="I28" s="1154">
        <f t="shared" si="32"/>
        <v>-21609475000</v>
      </c>
      <c r="J28" s="1154">
        <f>J7-J11</f>
        <v>-28019413000</v>
      </c>
      <c r="K28" s="1154">
        <f t="shared" ref="K28:N28" si="33">K7-K11</f>
        <v>0</v>
      </c>
      <c r="L28" s="1154">
        <f t="shared" si="33"/>
        <v>0</v>
      </c>
      <c r="M28" s="1154">
        <f t="shared" si="33"/>
        <v>0</v>
      </c>
      <c r="N28" s="1154">
        <f t="shared" si="33"/>
        <v>0</v>
      </c>
    </row>
    <row r="29" spans="2:14" ht="13.15">
      <c r="B29" s="1027" t="s">
        <v>149</v>
      </c>
      <c r="C29" s="1155">
        <f t="shared" ref="C29:I29" si="34">C7/C11</f>
        <v>1.5451561576978006</v>
      </c>
      <c r="D29" s="1155">
        <f t="shared" si="34"/>
        <v>1.8896683285978517</v>
      </c>
      <c r="E29" s="1155">
        <f t="shared" si="34"/>
        <v>1.576813119784765</v>
      </c>
      <c r="F29" s="1155">
        <f t="shared" si="34"/>
        <v>1.34462986674733</v>
      </c>
      <c r="G29" s="1155">
        <f t="shared" si="34"/>
        <v>1.0901190827113227</v>
      </c>
      <c r="H29" s="1156">
        <f t="shared" si="34"/>
        <v>0.9928049587979707</v>
      </c>
      <c r="I29" s="1156">
        <f t="shared" si="34"/>
        <v>0.49126238995103688</v>
      </c>
      <c r="J29" s="1156">
        <f t="shared" ref="J29:N29" si="35">J7/J11</f>
        <v>0.40389883010886263</v>
      </c>
      <c r="K29" s="1156" t="e">
        <f t="shared" si="35"/>
        <v>#DIV/0!</v>
      </c>
      <c r="L29" s="1156" t="e">
        <f t="shared" si="35"/>
        <v>#DIV/0!</v>
      </c>
      <c r="M29" s="1156" t="e">
        <f t="shared" si="35"/>
        <v>#DIV/0!</v>
      </c>
      <c r="N29" s="1156" t="e">
        <f t="shared" si="35"/>
        <v>#DIV/0!</v>
      </c>
    </row>
    <row r="30" spans="2:14" ht="13.15">
      <c r="B30" s="1027" t="s">
        <v>292</v>
      </c>
      <c r="C30" s="1155">
        <f t="shared" ref="C30:H30" si="36">+(C7-C8)/C11</f>
        <v>1.4160189114254544</v>
      </c>
      <c r="D30" s="1155">
        <f t="shared" si="36"/>
        <v>1.8270994994097227</v>
      </c>
      <c r="E30" s="1155">
        <f t="shared" si="36"/>
        <v>1.50731103201613</v>
      </c>
      <c r="F30" s="1155">
        <f t="shared" si="36"/>
        <v>1.145578012634977</v>
      </c>
      <c r="G30" s="1155">
        <f t="shared" si="36"/>
        <v>0.90013447652268308</v>
      </c>
      <c r="H30" s="1155">
        <f t="shared" si="36"/>
        <v>0.73586724136598503</v>
      </c>
      <c r="I30" s="1155">
        <f>+(I7-I8)/I11</f>
        <v>0.40447856765389351</v>
      </c>
      <c r="J30" s="1155">
        <f>+(J7-J8)/J11</f>
        <v>0.31218282929285496</v>
      </c>
      <c r="K30" s="1155" t="e">
        <f t="shared" ref="K30:N30" si="37">+(K7-K8)/K11</f>
        <v>#DIV/0!</v>
      </c>
      <c r="L30" s="1155" t="e">
        <f t="shared" si="37"/>
        <v>#DIV/0!</v>
      </c>
      <c r="M30" s="1155" t="e">
        <f t="shared" si="37"/>
        <v>#DIV/0!</v>
      </c>
      <c r="N30" s="1155" t="e">
        <f t="shared" si="37"/>
        <v>#DIV/0!</v>
      </c>
    </row>
    <row r="31" spans="2:14" ht="13.15">
      <c r="B31" s="1029" t="s">
        <v>153</v>
      </c>
      <c r="C31" s="1157">
        <f t="shared" ref="C31:N31" si="38">C13/C10</f>
        <v>0.38062368890141096</v>
      </c>
      <c r="D31" s="1157">
        <f t="shared" si="38"/>
        <v>0.37617649993219038</v>
      </c>
      <c r="E31" s="1157">
        <f t="shared" si="38"/>
        <v>0.35553671442285784</v>
      </c>
      <c r="F31" s="1157">
        <f t="shared" si="38"/>
        <v>0.5386408133373406</v>
      </c>
      <c r="G31" s="1157">
        <f t="shared" si="38"/>
        <v>0.42045606995278079</v>
      </c>
      <c r="H31" s="1157">
        <f t="shared" si="38"/>
        <v>0.50461328076473899</v>
      </c>
      <c r="I31" s="1157">
        <f t="shared" si="38"/>
        <v>0.58344182084293594</v>
      </c>
      <c r="J31" s="1157">
        <f>J13/J10</f>
        <v>0.62033554674684988</v>
      </c>
      <c r="K31" s="1157" t="e">
        <f t="shared" si="38"/>
        <v>#DIV/0!</v>
      </c>
      <c r="L31" s="1157" t="e">
        <f t="shared" si="38"/>
        <v>#DIV/0!</v>
      </c>
      <c r="M31" s="1157" t="e">
        <f t="shared" si="38"/>
        <v>#DIV/0!</v>
      </c>
      <c r="N31" s="1157" t="e">
        <f t="shared" si="38"/>
        <v>#DIV/0!</v>
      </c>
    </row>
    <row r="32" spans="2:14" ht="15.75" customHeight="1"/>
    <row r="33" spans="2:17" ht="13.15">
      <c r="B33" s="1158" t="s">
        <v>293</v>
      </c>
      <c r="C33" s="1159">
        <f t="shared" ref="C33:I33" si="39">+C104</f>
        <v>36270151000</v>
      </c>
      <c r="D33" s="1159">
        <f t="shared" si="39"/>
        <v>37139658000</v>
      </c>
      <c r="E33" s="1159">
        <f t="shared" si="39"/>
        <v>41638817000</v>
      </c>
      <c r="F33" s="1159">
        <f t="shared" si="39"/>
        <v>42813818000</v>
      </c>
      <c r="G33" s="1159">
        <f t="shared" si="39"/>
        <v>40886867000</v>
      </c>
      <c r="H33" s="1159">
        <f t="shared" si="39"/>
        <v>46307878000</v>
      </c>
      <c r="I33" s="1159">
        <f t="shared" si="39"/>
        <v>55309387000</v>
      </c>
      <c r="J33" s="1159">
        <f t="shared" ref="J33:N33" si="40">+J104</f>
        <v>54436753000</v>
      </c>
      <c r="K33" s="1159">
        <f t="shared" si="40"/>
        <v>0</v>
      </c>
      <c r="L33" s="1159">
        <f t="shared" si="40"/>
        <v>0</v>
      </c>
      <c r="M33" s="1159">
        <f t="shared" si="40"/>
        <v>0</v>
      </c>
      <c r="N33" s="1159">
        <f t="shared" si="40"/>
        <v>0</v>
      </c>
    </row>
    <row r="34" spans="2:17" ht="13.15">
      <c r="B34" s="1160" t="s">
        <v>181</v>
      </c>
      <c r="C34" s="1161">
        <f t="shared" ref="C34:I34" si="41">+C104+C105+C106+C108</f>
        <v>6889630000</v>
      </c>
      <c r="D34" s="1161">
        <f t="shared" si="41"/>
        <v>6279420000</v>
      </c>
      <c r="E34" s="1161">
        <f t="shared" si="41"/>
        <v>9473934000</v>
      </c>
      <c r="F34" s="1161">
        <f t="shared" si="41"/>
        <v>9886007000</v>
      </c>
      <c r="G34" s="1161">
        <f t="shared" si="41"/>
        <v>8030851000</v>
      </c>
      <c r="H34" s="1161">
        <f t="shared" si="41"/>
        <v>10247937000</v>
      </c>
      <c r="I34" s="1161">
        <f t="shared" si="41"/>
        <v>15207227000</v>
      </c>
      <c r="J34" s="1161">
        <f>+J104+J105+J106+J108</f>
        <v>11687252000</v>
      </c>
      <c r="K34" s="1161">
        <f t="shared" ref="K34:N34" si="42">+K104+K105+K106+K108</f>
        <v>0</v>
      </c>
      <c r="L34" s="1161">
        <f t="shared" si="42"/>
        <v>0</v>
      </c>
      <c r="M34" s="1161">
        <f t="shared" si="42"/>
        <v>0</v>
      </c>
      <c r="N34" s="1161">
        <f t="shared" si="42"/>
        <v>0</v>
      </c>
    </row>
    <row r="35" spans="2:17" ht="13.15">
      <c r="B35" s="1158" t="s">
        <v>294</v>
      </c>
      <c r="C35" s="1162">
        <f t="shared" ref="C35:I35" si="43">C34/C33</f>
        <v>0.18995316562095371</v>
      </c>
      <c r="D35" s="1162">
        <f t="shared" si="43"/>
        <v>0.16907587032707733</v>
      </c>
      <c r="E35" s="1162">
        <f t="shared" si="43"/>
        <v>0.22752649288763416</v>
      </c>
      <c r="F35" s="1162">
        <f t="shared" si="43"/>
        <v>0.23090692355444684</v>
      </c>
      <c r="G35" s="1162">
        <f t="shared" si="43"/>
        <v>0.19641639453568305</v>
      </c>
      <c r="H35" s="1162">
        <f t="shared" si="43"/>
        <v>0.22130007771031962</v>
      </c>
      <c r="I35" s="1162">
        <f t="shared" si="43"/>
        <v>0.27494839167174279</v>
      </c>
      <c r="J35" s="1162">
        <f t="shared" ref="J35:N35" si="44">J34/J33</f>
        <v>0.21469414239309975</v>
      </c>
      <c r="K35" s="1162" t="e">
        <f t="shared" si="44"/>
        <v>#DIV/0!</v>
      </c>
      <c r="L35" s="1162" t="e">
        <f t="shared" si="44"/>
        <v>#DIV/0!</v>
      </c>
      <c r="M35" s="1162" t="e">
        <f t="shared" si="44"/>
        <v>#DIV/0!</v>
      </c>
      <c r="N35" s="1162" t="e">
        <f t="shared" si="44"/>
        <v>#DIV/0!</v>
      </c>
    </row>
    <row r="36" spans="2:17" ht="13.15">
      <c r="B36" s="1163" t="s">
        <v>295</v>
      </c>
      <c r="C36" s="1164">
        <f t="shared" ref="C36:I36" si="45">+C123</f>
        <v>4597998000</v>
      </c>
      <c r="D36" s="1164">
        <f t="shared" si="45"/>
        <v>3784876000</v>
      </c>
      <c r="E36" s="1164">
        <f t="shared" si="45"/>
        <v>6526618000</v>
      </c>
      <c r="F36" s="1164">
        <f t="shared" si="45"/>
        <v>6361394000</v>
      </c>
      <c r="G36" s="1164">
        <f t="shared" si="45"/>
        <v>7491380000</v>
      </c>
      <c r="H36" s="1164">
        <f t="shared" si="45"/>
        <v>7093508000</v>
      </c>
      <c r="I36" s="1164">
        <f t="shared" si="45"/>
        <v>5207970000</v>
      </c>
      <c r="J36" s="1164">
        <f t="shared" ref="J36:N36" si="46">+J123</f>
        <v>8066461000</v>
      </c>
      <c r="K36" s="1164" t="str">
        <f t="shared" si="46"/>
        <v>ok</v>
      </c>
      <c r="L36" s="1164">
        <f t="shared" si="46"/>
        <v>0</v>
      </c>
      <c r="M36" s="1164">
        <f t="shared" si="46"/>
        <v>0</v>
      </c>
      <c r="N36" s="1164">
        <f t="shared" si="46"/>
        <v>0</v>
      </c>
    </row>
    <row r="37" spans="2:17" ht="13.15">
      <c r="B37" s="1165" t="s">
        <v>296</v>
      </c>
      <c r="C37" s="1166">
        <f t="shared" ref="C37:H37" si="47">C36/C33</f>
        <v>0.12677085353187528</v>
      </c>
      <c r="D37" s="1166">
        <f t="shared" si="47"/>
        <v>0.10190928521743522</v>
      </c>
      <c r="E37" s="1166">
        <f t="shared" si="47"/>
        <v>0.15674359816706609</v>
      </c>
      <c r="F37" s="1166">
        <f t="shared" si="47"/>
        <v>0.14858273093046737</v>
      </c>
      <c r="G37" s="1166">
        <f t="shared" si="47"/>
        <v>0.18322215786306151</v>
      </c>
      <c r="H37" s="1166">
        <f t="shared" si="47"/>
        <v>0.1531814521926485</v>
      </c>
      <c r="I37" s="1166">
        <f>I36/I33</f>
        <v>9.4160689215376764E-2</v>
      </c>
      <c r="J37" s="1166">
        <f>J36/J33</f>
        <v>0.14818042141492163</v>
      </c>
      <c r="K37" s="1166" t="e">
        <f t="shared" ref="K37:N37" si="48">K36/K33</f>
        <v>#VALUE!</v>
      </c>
      <c r="L37" s="1166" t="e">
        <f t="shared" si="48"/>
        <v>#DIV/0!</v>
      </c>
      <c r="M37" s="1166" t="e">
        <f t="shared" si="48"/>
        <v>#DIV/0!</v>
      </c>
      <c r="N37" s="1166" t="e">
        <f t="shared" si="48"/>
        <v>#DIV/0!</v>
      </c>
    </row>
    <row r="38" spans="2:17" ht="13.15">
      <c r="B38" s="1167" t="s">
        <v>159</v>
      </c>
      <c r="C38" s="1168">
        <f t="shared" ref="C38:H38" si="49">+C124</f>
        <v>351.49</v>
      </c>
      <c r="D38" s="1168">
        <f t="shared" si="49"/>
        <v>289.33999999999997</v>
      </c>
      <c r="E38" s="1168">
        <f t="shared" si="49"/>
        <v>498.93</v>
      </c>
      <c r="F38" s="1168">
        <f t="shared" si="49"/>
        <v>486.29736958543214</v>
      </c>
      <c r="G38" s="1168">
        <f t="shared" si="49"/>
        <v>572.67925686805665</v>
      </c>
      <c r="H38" s="1168">
        <f t="shared" si="49"/>
        <v>542.26389397248772</v>
      </c>
      <c r="I38" s="1168">
        <f>+I124</f>
        <v>398.12376216279688</v>
      </c>
      <c r="J38" s="1168">
        <f>+J124</f>
        <v>616.64137862919267</v>
      </c>
      <c r="K38" s="1168">
        <f t="shared" ref="K38:N38" si="50">+K124</f>
        <v>0</v>
      </c>
      <c r="L38" s="1168">
        <f t="shared" si="50"/>
        <v>0</v>
      </c>
      <c r="M38" s="1168">
        <f t="shared" si="50"/>
        <v>0</v>
      </c>
      <c r="N38" s="1168">
        <f t="shared" si="50"/>
        <v>0</v>
      </c>
    </row>
    <row r="39" spans="2:17" ht="13.15">
      <c r="B39" s="1169" t="s">
        <v>160</v>
      </c>
      <c r="C39" s="1170">
        <f t="shared" ref="C39:G39" si="51">C36/C14</f>
        <v>9.3002657433765512E-2</v>
      </c>
      <c r="D39" s="1170">
        <f t="shared" si="51"/>
        <v>7.5944915117690789E-2</v>
      </c>
      <c r="E39" s="1170">
        <f t="shared" si="51"/>
        <v>0.12704427803812532</v>
      </c>
      <c r="F39" s="1170">
        <f t="shared" si="51"/>
        <v>0.11303229029997455</v>
      </c>
      <c r="G39" s="1170">
        <f t="shared" si="51"/>
        <v>0.19489948096303819</v>
      </c>
      <c r="H39" s="1170">
        <f>H36/H14</f>
        <v>0.18528212021328616</v>
      </c>
      <c r="I39" s="1170">
        <f>I36/I14</f>
        <v>0.13064881256403282</v>
      </c>
      <c r="J39" s="1170">
        <f>J36/J14</f>
        <v>0.19530250474100846</v>
      </c>
      <c r="K39" s="1170"/>
      <c r="L39" s="1170"/>
      <c r="M39" s="1170"/>
      <c r="N39" s="1170"/>
    </row>
    <row r="40" spans="2:17" s="1000" customFormat="1" ht="13.15">
      <c r="B40" s="1041" t="s">
        <v>382</v>
      </c>
      <c r="C40" s="1042">
        <f>AVERAGE(G39:I39)</f>
        <v>0.17027680458011907</v>
      </c>
      <c r="D40" s="1042"/>
      <c r="E40" s="1042"/>
      <c r="F40" s="1042"/>
      <c r="G40" s="1042"/>
      <c r="H40" s="1042"/>
      <c r="I40" s="1042"/>
      <c r="J40" s="1042"/>
      <c r="K40" s="1042"/>
      <c r="L40" s="1042"/>
      <c r="M40" s="1042"/>
      <c r="N40" s="1042"/>
    </row>
    <row r="41" spans="2:17" ht="13.15">
      <c r="B41" s="1169" t="s">
        <v>298</v>
      </c>
      <c r="C41" s="1295">
        <f t="shared" ref="C41:I41" si="52">+C136</f>
        <v>5948766000</v>
      </c>
      <c r="D41" s="1295">
        <f t="shared" si="52"/>
        <v>3802697000</v>
      </c>
      <c r="E41" s="1295">
        <f t="shared" si="52"/>
        <v>8493871000</v>
      </c>
      <c r="F41" s="1295">
        <f t="shared" si="52"/>
        <v>394011000</v>
      </c>
      <c r="G41" s="1295">
        <f t="shared" si="52"/>
        <v>-841611000</v>
      </c>
      <c r="H41" s="1295">
        <f t="shared" si="52"/>
        <v>-3205258000</v>
      </c>
      <c r="I41" s="1295">
        <f t="shared" si="52"/>
        <v>-3722742000</v>
      </c>
      <c r="J41" s="1295">
        <f>+J136</f>
        <v>2411105000</v>
      </c>
      <c r="K41" s="1295" t="e">
        <f t="shared" ref="K41:N41" si="53">+K136</f>
        <v>#VALUE!</v>
      </c>
      <c r="L41" s="1295">
        <f t="shared" si="53"/>
        <v>0</v>
      </c>
      <c r="M41" s="1295">
        <f t="shared" si="53"/>
        <v>0</v>
      </c>
      <c r="N41" s="1295">
        <f t="shared" si="53"/>
        <v>0</v>
      </c>
    </row>
    <row r="42" spans="2:17" ht="25.5">
      <c r="B42" s="1293" t="s">
        <v>111</v>
      </c>
      <c r="C42" s="1171">
        <f>SUM(C44:C46)</f>
        <v>319</v>
      </c>
      <c r="D42" s="1171">
        <f>SUM(D44:D46)</f>
        <v>272</v>
      </c>
      <c r="E42" s="1171">
        <f t="shared" ref="E42:F42" si="54">SUM(E44:E46)</f>
        <v>390</v>
      </c>
      <c r="F42" s="1171">
        <f t="shared" si="54"/>
        <v>492</v>
      </c>
      <c r="G42" s="1171">
        <f>SUM(G44:G46)</f>
        <v>361</v>
      </c>
      <c r="H42" s="1171">
        <f>SUM(H44:H46)</f>
        <v>544</v>
      </c>
      <c r="I42" s="1171">
        <f>SUM(I44:I46)</f>
        <v>298</v>
      </c>
      <c r="J42" s="1171">
        <f>SUM(J44:J46)</f>
        <v>432</v>
      </c>
      <c r="K42" s="1171">
        <f>SUM(K44:K44)</f>
        <v>0</v>
      </c>
      <c r="L42" s="1171">
        <f>SUM(L44:L44)</f>
        <v>0</v>
      </c>
      <c r="M42" s="1171">
        <f>SUM(M44:M44)</f>
        <v>0</v>
      </c>
      <c r="N42" s="1171">
        <f>SUM(N44:N44)</f>
        <v>0</v>
      </c>
    </row>
    <row r="43" spans="2:17" ht="25.5">
      <c r="B43" s="1293" t="s">
        <v>112</v>
      </c>
      <c r="C43" s="1171">
        <f t="shared" ref="C43:N43" si="55">SUM(C44:C44)</f>
        <v>74</v>
      </c>
      <c r="D43" s="1171">
        <f t="shared" si="55"/>
        <v>36</v>
      </c>
      <c r="E43" s="1171">
        <f t="shared" si="55"/>
        <v>95</v>
      </c>
      <c r="F43" s="1171">
        <f t="shared" si="55"/>
        <v>0</v>
      </c>
      <c r="G43" s="1171">
        <f t="shared" si="55"/>
        <v>125</v>
      </c>
      <c r="H43" s="1171">
        <f t="shared" si="55"/>
        <v>223</v>
      </c>
      <c r="I43" s="1171">
        <f t="shared" si="55"/>
        <v>167</v>
      </c>
      <c r="J43" s="1171">
        <f t="shared" si="55"/>
        <v>89</v>
      </c>
      <c r="K43" s="1171">
        <f t="shared" si="55"/>
        <v>0</v>
      </c>
      <c r="L43" s="1171">
        <f t="shared" si="55"/>
        <v>0</v>
      </c>
      <c r="M43" s="1171">
        <f t="shared" si="55"/>
        <v>0</v>
      </c>
      <c r="N43" s="1171">
        <f t="shared" si="55"/>
        <v>0</v>
      </c>
    </row>
    <row r="44" spans="2:17" ht="15.75" customHeight="1">
      <c r="B44" s="1294" t="s">
        <v>114</v>
      </c>
      <c r="C44" s="1172">
        <v>74</v>
      </c>
      <c r="D44" s="1172">
        <v>36</v>
      </c>
      <c r="E44" s="1172">
        <v>95</v>
      </c>
      <c r="F44" s="1172"/>
      <c r="G44" s="1172">
        <v>125</v>
      </c>
      <c r="H44" s="1172">
        <v>223</v>
      </c>
      <c r="I44" s="1172">
        <f>117+50</f>
        <v>167</v>
      </c>
      <c r="J44" s="1172">
        <v>89</v>
      </c>
      <c r="K44" s="1172"/>
      <c r="L44" s="1172"/>
      <c r="M44" s="1172"/>
      <c r="N44" s="1172"/>
    </row>
    <row r="45" spans="2:17" ht="15.75" customHeight="1">
      <c r="B45" s="1294" t="s">
        <v>115</v>
      </c>
      <c r="C45" s="1172">
        <v>245</v>
      </c>
      <c r="D45" s="1172">
        <v>236</v>
      </c>
      <c r="E45" s="1172">
        <v>295</v>
      </c>
      <c r="F45" s="1172">
        <v>313</v>
      </c>
      <c r="G45" s="1172">
        <v>236</v>
      </c>
      <c r="H45" s="1172">
        <v>321</v>
      </c>
      <c r="I45" s="1172">
        <v>131</v>
      </c>
      <c r="J45" s="1172">
        <f>132+66+145</f>
        <v>343</v>
      </c>
      <c r="K45" s="1172">
        <v>0</v>
      </c>
      <c r="L45" s="1172">
        <v>0</v>
      </c>
      <c r="M45" s="1172">
        <v>0</v>
      </c>
      <c r="N45" s="1172">
        <v>0</v>
      </c>
    </row>
    <row r="46" spans="2:17" ht="15.75" customHeight="1">
      <c r="B46" s="1294" t="s">
        <v>116</v>
      </c>
      <c r="C46" s="1172"/>
      <c r="D46" s="1172"/>
      <c r="E46" s="1172"/>
      <c r="F46" s="1172">
        <v>179</v>
      </c>
      <c r="G46" s="1172"/>
      <c r="H46" s="1172"/>
      <c r="I46" s="1172"/>
      <c r="J46" s="1172"/>
      <c r="K46" s="1172"/>
      <c r="L46" s="1172"/>
      <c r="M46" s="1172"/>
      <c r="N46" s="1172"/>
      <c r="O46" s="1173"/>
      <c r="P46" s="1173"/>
      <c r="Q46" s="1173"/>
    </row>
    <row r="47" spans="2:17" ht="15.75" customHeight="1">
      <c r="B47" s="1294" t="s">
        <v>117</v>
      </c>
      <c r="C47" s="1172"/>
      <c r="D47" s="1172"/>
      <c r="E47" s="1172"/>
      <c r="F47" s="1172"/>
      <c r="G47" s="1172"/>
      <c r="H47" s="1172"/>
      <c r="I47" s="1172"/>
      <c r="J47" s="1172"/>
      <c r="K47" s="1172"/>
      <c r="L47" s="1172"/>
      <c r="M47" s="1172"/>
      <c r="N47" s="1172"/>
      <c r="O47" s="1173"/>
      <c r="P47" s="1173"/>
      <c r="Q47" s="1173"/>
    </row>
    <row r="48" spans="2:17" ht="15.75" customHeight="1">
      <c r="B48" s="1293" t="s">
        <v>119</v>
      </c>
      <c r="C48" s="1171"/>
      <c r="D48" s="1171"/>
      <c r="E48" s="1171"/>
      <c r="F48" s="1171"/>
      <c r="G48" s="1171"/>
      <c r="H48" s="1171"/>
      <c r="I48" s="1171"/>
      <c r="J48" s="1171"/>
      <c r="K48" s="1171"/>
      <c r="L48" s="1171"/>
      <c r="M48" s="1171"/>
      <c r="N48" s="1171"/>
      <c r="O48" s="1173"/>
      <c r="P48" s="1173"/>
      <c r="Q48" s="1173"/>
    </row>
    <row r="49" spans="2:17" ht="15.75" customHeight="1">
      <c r="B49" s="1293" t="s">
        <v>120</v>
      </c>
      <c r="C49" s="1171"/>
      <c r="D49" s="1171"/>
      <c r="E49" s="1171"/>
      <c r="F49" s="1171"/>
      <c r="G49" s="1171"/>
      <c r="H49" s="1171"/>
      <c r="I49" s="1171"/>
      <c r="J49" s="1171"/>
      <c r="K49" s="1171"/>
      <c r="L49" s="1171"/>
      <c r="M49" s="1171"/>
      <c r="N49" s="1171"/>
      <c r="O49" s="1173"/>
      <c r="P49" s="1173"/>
      <c r="Q49" s="1173"/>
    </row>
    <row r="50" spans="2:17" ht="15.75" customHeight="1">
      <c r="B50" s="1294" t="s">
        <v>121</v>
      </c>
      <c r="C50" s="1172"/>
      <c r="D50" s="1172"/>
      <c r="E50" s="1172"/>
      <c r="F50" s="1172"/>
      <c r="G50" s="1172"/>
      <c r="H50" s="1172"/>
      <c r="I50" s="1172"/>
      <c r="J50" s="1172"/>
      <c r="K50" s="1172"/>
      <c r="L50" s="1172"/>
      <c r="M50" s="1172"/>
      <c r="N50" s="1172"/>
      <c r="O50" s="1173"/>
      <c r="P50" s="1173"/>
      <c r="Q50" s="1173"/>
    </row>
    <row r="51" spans="2:17" ht="15.75" customHeight="1">
      <c r="B51" s="1294" t="s">
        <v>122</v>
      </c>
      <c r="C51" s="1172"/>
      <c r="D51" s="1172"/>
      <c r="E51" s="1172"/>
      <c r="F51" s="1172"/>
      <c r="G51" s="1172"/>
      <c r="H51" s="1172"/>
      <c r="I51" s="1172"/>
      <c r="J51" s="1172"/>
      <c r="K51" s="1172"/>
      <c r="L51" s="1172"/>
      <c r="M51" s="1172"/>
      <c r="N51" s="1172"/>
      <c r="O51" s="1173"/>
      <c r="P51" s="1173"/>
      <c r="Q51" s="1173"/>
    </row>
    <row r="52" spans="2:17" ht="15.75" customHeight="1">
      <c r="B52" s="1294" t="s">
        <v>123</v>
      </c>
      <c r="C52" s="1172"/>
      <c r="D52" s="1172"/>
      <c r="E52" s="1172"/>
      <c r="F52" s="1172"/>
      <c r="G52" s="1172"/>
      <c r="H52" s="1172"/>
      <c r="I52" s="1172"/>
      <c r="J52" s="1172"/>
      <c r="K52" s="1172"/>
      <c r="L52" s="1172"/>
      <c r="M52" s="1172"/>
      <c r="N52" s="1172"/>
      <c r="O52" s="1173"/>
      <c r="P52" s="1173"/>
      <c r="Q52" s="1173"/>
    </row>
    <row r="53" spans="2:17" ht="15.75" customHeight="1">
      <c r="B53" s="1294" t="s">
        <v>124</v>
      </c>
      <c r="C53" s="1172"/>
      <c r="D53" s="1172"/>
      <c r="E53" s="1172"/>
      <c r="F53" s="1172"/>
      <c r="G53" s="1172"/>
      <c r="H53" s="1172"/>
      <c r="I53" s="1172"/>
      <c r="J53" s="1172"/>
      <c r="K53" s="1172"/>
      <c r="L53" s="1172"/>
      <c r="M53" s="1172"/>
      <c r="N53" s="1172"/>
      <c r="O53" s="1173"/>
      <c r="P53" s="1173"/>
      <c r="Q53" s="1173"/>
    </row>
    <row r="54" spans="2:17" ht="13.15">
      <c r="B54" s="1046" t="s">
        <v>167</v>
      </c>
      <c r="C54" s="1047">
        <f>C49 /C38</f>
        <v>0</v>
      </c>
      <c r="D54" s="1047">
        <f t="shared" ref="D54:N54" si="56">D49 /D38</f>
        <v>0</v>
      </c>
      <c r="E54" s="1047">
        <f t="shared" si="56"/>
        <v>0</v>
      </c>
      <c r="F54" s="1047">
        <f t="shared" si="56"/>
        <v>0</v>
      </c>
      <c r="G54" s="1047">
        <f t="shared" si="56"/>
        <v>0</v>
      </c>
      <c r="H54" s="1047">
        <f t="shared" si="56"/>
        <v>0</v>
      </c>
      <c r="I54" s="1047">
        <f t="shared" si="56"/>
        <v>0</v>
      </c>
      <c r="J54" s="1047">
        <f t="shared" si="56"/>
        <v>0</v>
      </c>
      <c r="K54" s="1047" t="e">
        <f t="shared" si="56"/>
        <v>#DIV/0!</v>
      </c>
      <c r="L54" s="1047" t="e">
        <f t="shared" si="56"/>
        <v>#DIV/0!</v>
      </c>
      <c r="M54" s="1047" t="e">
        <f t="shared" si="56"/>
        <v>#DIV/0!</v>
      </c>
      <c r="N54" s="1047" t="e">
        <f t="shared" si="56"/>
        <v>#DIV/0!</v>
      </c>
      <c r="O54" s="1174"/>
      <c r="P54" s="1174"/>
      <c r="Q54" s="1174"/>
    </row>
    <row r="55" spans="2:17" s="1000" customFormat="1" ht="13.15">
      <c r="B55" s="1049" t="s">
        <v>303</v>
      </c>
      <c r="C55" s="1050">
        <f>AVERAGE(G54:I54)</f>
        <v>0</v>
      </c>
      <c r="D55" s="1050"/>
      <c r="E55" s="1050"/>
      <c r="F55" s="1050"/>
      <c r="G55" s="1050"/>
      <c r="H55" s="1050"/>
      <c r="I55" s="1050"/>
      <c r="J55" s="1050"/>
      <c r="K55" s="1050"/>
      <c r="L55" s="1050"/>
      <c r="M55" s="1050"/>
      <c r="N55" s="1050"/>
    </row>
    <row r="56" spans="2:17" ht="28.5" customHeight="1">
      <c r="B56" s="1046" t="s">
        <v>478</v>
      </c>
      <c r="C56" s="1047">
        <f t="shared" ref="C56:I56" si="57">+C42/C18</f>
        <v>5.5788737320741515E-2</v>
      </c>
      <c r="D56" s="1047">
        <f t="shared" si="57"/>
        <v>5.4237288135593219E-2</v>
      </c>
      <c r="E56" s="1047">
        <f t="shared" si="57"/>
        <v>6.9259456579648382E-2</v>
      </c>
      <c r="F56" s="1047">
        <f t="shared" si="57"/>
        <v>8.3080040526849044E-2</v>
      </c>
      <c r="G56" s="1047">
        <f t="shared" si="57"/>
        <v>6.2273589787821285E-2</v>
      </c>
      <c r="H56" s="1047">
        <f t="shared" si="57"/>
        <v>0.10782953419226958</v>
      </c>
      <c r="I56" s="1047">
        <f t="shared" si="57"/>
        <v>5.1691240242844751E-2</v>
      </c>
      <c r="J56" s="1047">
        <f t="shared" ref="J56:N56" si="58">+J42/J18</f>
        <v>8.4705882352941173E-2</v>
      </c>
      <c r="K56" s="1047" t="e">
        <f t="shared" si="58"/>
        <v>#DIV/0!</v>
      </c>
      <c r="L56" s="1047" t="e">
        <f t="shared" si="58"/>
        <v>#DIV/0!</v>
      </c>
      <c r="M56" s="1047" t="e">
        <f t="shared" si="58"/>
        <v>#DIV/0!</v>
      </c>
      <c r="N56" s="1047" t="e">
        <f t="shared" si="58"/>
        <v>#DIV/0!</v>
      </c>
      <c r="O56" s="1174"/>
    </row>
    <row r="57" spans="2:17" s="1000" customFormat="1" ht="13.15">
      <c r="B57" s="1051" t="s">
        <v>384</v>
      </c>
      <c r="C57" s="1052">
        <f>AVERAGE(G56:I56)</f>
        <v>7.3931454740978536E-2</v>
      </c>
      <c r="D57" s="1052"/>
      <c r="E57" s="1052"/>
      <c r="F57" s="1052"/>
      <c r="G57" s="1052"/>
      <c r="H57" s="1052"/>
      <c r="I57" s="1052"/>
      <c r="J57" s="1052"/>
      <c r="K57" s="1052"/>
      <c r="L57" s="1052"/>
      <c r="M57" s="1052"/>
      <c r="N57" s="1052"/>
      <c r="O57" s="1052"/>
      <c r="P57" s="1052"/>
    </row>
    <row r="58" spans="2:17" s="1000" customFormat="1" ht="13.15">
      <c r="B58" s="1053" t="s">
        <v>176</v>
      </c>
      <c r="C58" s="1054">
        <f t="shared" ref="C58:N58" si="59">+C39*(100%-C54)</f>
        <v>9.3002657433765512E-2</v>
      </c>
      <c r="D58" s="1054">
        <f t="shared" si="59"/>
        <v>7.5944915117690789E-2</v>
      </c>
      <c r="E58" s="1054">
        <f t="shared" si="59"/>
        <v>0.12704427803812532</v>
      </c>
      <c r="F58" s="1055">
        <f t="shared" si="59"/>
        <v>0.11303229029997455</v>
      </c>
      <c r="G58" s="1054">
        <f t="shared" si="59"/>
        <v>0.19489948096303819</v>
      </c>
      <c r="H58" s="1054">
        <f t="shared" si="59"/>
        <v>0.18528212021328616</v>
      </c>
      <c r="I58" s="1054">
        <f t="shared" si="59"/>
        <v>0.13064881256403282</v>
      </c>
      <c r="J58" s="1054">
        <f t="shared" si="59"/>
        <v>0.19530250474100846</v>
      </c>
      <c r="K58" s="1054" t="e">
        <f t="shared" si="59"/>
        <v>#DIV/0!</v>
      </c>
      <c r="L58" s="1054" t="e">
        <f t="shared" si="59"/>
        <v>#DIV/0!</v>
      </c>
      <c r="M58" s="1054" t="e">
        <f t="shared" si="59"/>
        <v>#DIV/0!</v>
      </c>
      <c r="N58" s="1054" t="e">
        <f t="shared" si="59"/>
        <v>#DIV/0!</v>
      </c>
    </row>
    <row r="59" spans="2:17" s="1000" customFormat="1" ht="13.15">
      <c r="B59" s="1051" t="s">
        <v>306</v>
      </c>
      <c r="C59" s="1052">
        <f>AVERAGE(G58:I58)</f>
        <v>0.17027680458011907</v>
      </c>
      <c r="D59" s="1052"/>
      <c r="E59" s="1052"/>
      <c r="F59" s="1052"/>
      <c r="G59" s="1052"/>
      <c r="H59" s="1052"/>
      <c r="I59" s="1052"/>
      <c r="J59" s="1052"/>
      <c r="K59" s="1052"/>
      <c r="L59" s="1052"/>
      <c r="M59" s="1052"/>
      <c r="N59" s="1052"/>
      <c r="O59" s="1052"/>
    </row>
    <row r="60" spans="2:17" s="1000" customFormat="1" ht="13.15">
      <c r="B60" s="1053" t="s">
        <v>300</v>
      </c>
      <c r="C60" s="1296">
        <f ca="1">B3</f>
        <v>6221</v>
      </c>
      <c r="D60" s="1052"/>
      <c r="E60" s="1052"/>
      <c r="F60" s="1052"/>
      <c r="G60" s="1052"/>
      <c r="H60" s="1052"/>
      <c r="I60" s="1052"/>
      <c r="J60" s="1052"/>
      <c r="K60" s="1052"/>
      <c r="L60" s="1052"/>
      <c r="M60" s="1052"/>
      <c r="N60" s="1052"/>
      <c r="O60" s="1052"/>
      <c r="P60" s="1052"/>
    </row>
    <row r="61" spans="2:17" ht="15.75" customHeight="1">
      <c r="O61" s="1174"/>
    </row>
    <row r="62" spans="2:17" ht="15.75" customHeight="1">
      <c r="B62" s="1175" t="s">
        <v>307</v>
      </c>
      <c r="O62" s="1174"/>
    </row>
    <row r="63" spans="2:17" ht="15.75" customHeight="1">
      <c r="O63" s="1174"/>
    </row>
    <row r="64" spans="2:17" ht="15.75" customHeight="1">
      <c r="B64" s="1176" t="s">
        <v>696</v>
      </c>
      <c r="C64" s="1177">
        <v>2017</v>
      </c>
      <c r="D64" s="1177">
        <v>2018</v>
      </c>
      <c r="E64" s="1177">
        <v>2019</v>
      </c>
      <c r="F64" s="1177">
        <v>2020</v>
      </c>
      <c r="G64" s="1177">
        <v>2021</v>
      </c>
      <c r="H64" s="1177">
        <v>2022</v>
      </c>
      <c r="I64" s="1177">
        <v>2023</v>
      </c>
      <c r="J64" s="1177">
        <v>2024</v>
      </c>
      <c r="K64" s="1177">
        <v>2025</v>
      </c>
      <c r="L64" s="1177">
        <v>2026</v>
      </c>
      <c r="M64" s="1177">
        <v>2027</v>
      </c>
      <c r="N64" s="1177">
        <v>2028</v>
      </c>
      <c r="O64" s="1174"/>
    </row>
    <row r="65" spans="2:15" ht="15.75" customHeight="1">
      <c r="B65" s="1178" t="s">
        <v>309</v>
      </c>
      <c r="C65" s="1179"/>
      <c r="D65" s="1179"/>
      <c r="E65" s="1179"/>
      <c r="F65" s="1179"/>
      <c r="G65" s="1179"/>
      <c r="H65" s="1179"/>
      <c r="I65" s="1179"/>
      <c r="J65" s="1179"/>
      <c r="K65" s="1179"/>
      <c r="L65" s="1179"/>
      <c r="M65" s="1179"/>
      <c r="N65" s="1179"/>
      <c r="O65" s="1174"/>
    </row>
    <row r="66" spans="2:15" ht="15.75" customHeight="1">
      <c r="B66" s="1180" t="s">
        <v>310</v>
      </c>
      <c r="C66" s="1181">
        <v>10904663000</v>
      </c>
      <c r="D66" s="1181">
        <v>13155835000</v>
      </c>
      <c r="E66" s="1181">
        <v>16007031000</v>
      </c>
      <c r="F66" s="1182">
        <v>15051581000</v>
      </c>
      <c r="G66" s="1183">
        <v>14910893000</v>
      </c>
      <c r="H66" s="1183">
        <v>12974141000</v>
      </c>
      <c r="I66" s="1183">
        <v>20867186000</v>
      </c>
      <c r="J66" s="1302">
        <v>18985046000</v>
      </c>
      <c r="K66" s="1183"/>
      <c r="L66" s="1183"/>
      <c r="M66" s="1183"/>
      <c r="N66" s="1183"/>
      <c r="O66" s="1174"/>
    </row>
    <row r="67" spans="2:15" ht="15.75" customHeight="1">
      <c r="B67" s="1184" t="s">
        <v>311</v>
      </c>
      <c r="C67" s="1185">
        <v>1149948000</v>
      </c>
      <c r="D67" s="1185">
        <v>389483000</v>
      </c>
      <c r="E67" s="1185">
        <v>1572500000</v>
      </c>
      <c r="F67" s="1185">
        <v>5376950000</v>
      </c>
      <c r="G67" s="1185">
        <v>1772954000</v>
      </c>
      <c r="H67" s="1185">
        <v>1103404000</v>
      </c>
      <c r="I67" s="1185">
        <v>972299000</v>
      </c>
      <c r="J67" s="1185">
        <v>664872000</v>
      </c>
      <c r="K67" s="1185"/>
      <c r="L67" s="1185"/>
      <c r="M67" s="1185"/>
      <c r="N67" s="1185"/>
    </row>
    <row r="68" spans="2:15" ht="15.75" customHeight="1">
      <c r="B68" s="1184" t="s">
        <v>604</v>
      </c>
      <c r="C68" s="1186">
        <v>68601000</v>
      </c>
      <c r="D68" s="1185">
        <v>0</v>
      </c>
      <c r="E68" s="1185">
        <v>8396000</v>
      </c>
      <c r="F68" s="1185">
        <v>4112000</v>
      </c>
      <c r="G68" s="1187">
        <v>640546000</v>
      </c>
      <c r="H68" s="1187">
        <v>288551000</v>
      </c>
      <c r="I68" s="1187">
        <v>483580000</v>
      </c>
      <c r="J68" s="1187">
        <v>230344000</v>
      </c>
      <c r="K68" s="1187"/>
      <c r="L68" s="1187"/>
      <c r="M68" s="1187"/>
      <c r="N68" s="1187"/>
    </row>
    <row r="69" spans="2:15" ht="15.75" customHeight="1">
      <c r="B69" s="1184" t="s">
        <v>313</v>
      </c>
      <c r="C69" s="1188">
        <v>5741151000</v>
      </c>
      <c r="D69" s="1185">
        <v>6393284000</v>
      </c>
      <c r="E69" s="1185">
        <v>6445905000</v>
      </c>
      <c r="F69" s="1185">
        <v>7421724000</v>
      </c>
      <c r="G69" s="1189">
        <v>7722257000</v>
      </c>
      <c r="H69" s="1189">
        <v>7323449000</v>
      </c>
      <c r="I69" s="1189">
        <v>13733011000</v>
      </c>
      <c r="J69" s="1189">
        <v>13531898000</v>
      </c>
      <c r="K69" s="1189"/>
      <c r="L69" s="1189"/>
      <c r="M69" s="1189"/>
      <c r="N69" s="1189"/>
    </row>
    <row r="70" spans="2:15" ht="15.75" customHeight="1">
      <c r="B70" s="1184" t="s">
        <v>697</v>
      </c>
      <c r="C70" s="1188">
        <v>2748753000</v>
      </c>
      <c r="D70" s="1185">
        <v>4421171000</v>
      </c>
      <c r="E70" s="1185">
        <v>6955618000</v>
      </c>
      <c r="F70" s="1185">
        <v>20639000</v>
      </c>
      <c r="G70" s="1189">
        <v>107230000</v>
      </c>
      <c r="H70" s="1189">
        <v>46627000</v>
      </c>
      <c r="I70" s="1189">
        <v>95882000</v>
      </c>
      <c r="J70" s="1189">
        <v>53670000</v>
      </c>
      <c r="K70" s="1189"/>
      <c r="L70" s="1189"/>
      <c r="M70" s="1189"/>
      <c r="N70" s="1189"/>
    </row>
    <row r="71" spans="2:15" ht="15.75" customHeight="1">
      <c r="B71" s="1184" t="s">
        <v>698</v>
      </c>
      <c r="C71" s="1185">
        <v>911363000</v>
      </c>
      <c r="D71" s="1185">
        <v>435603000</v>
      </c>
      <c r="E71" s="1185">
        <v>705551000</v>
      </c>
      <c r="F71" s="1185">
        <v>2228156000</v>
      </c>
      <c r="G71" s="1189">
        <v>2598652000</v>
      </c>
      <c r="H71" s="1189">
        <v>3357705000</v>
      </c>
      <c r="I71" s="1189">
        <v>3686287000</v>
      </c>
      <c r="J71" s="1189">
        <v>4311061000</v>
      </c>
      <c r="K71" s="1189"/>
      <c r="L71" s="1189"/>
      <c r="M71" s="1189"/>
      <c r="N71" s="1189"/>
    </row>
    <row r="72" spans="2:15" ht="15.75" customHeight="1">
      <c r="B72" s="1184" t="s">
        <v>318</v>
      </c>
      <c r="C72" s="1189">
        <f t="shared" ref="C72:E72" si="60">+C66-C67-C69-C71-C68-C70</f>
        <v>284847000</v>
      </c>
      <c r="D72" s="1189">
        <f t="shared" si="60"/>
        <v>1516294000</v>
      </c>
      <c r="E72" s="1189">
        <f t="shared" si="60"/>
        <v>319061000</v>
      </c>
      <c r="F72" s="1189">
        <v>0</v>
      </c>
      <c r="G72" s="1189">
        <f t="shared" ref="G72:I72" si="61">+G66-G67-G69-G71-G68-G70</f>
        <v>2069254000</v>
      </c>
      <c r="H72" s="1189">
        <f t="shared" si="61"/>
        <v>854405000</v>
      </c>
      <c r="I72" s="1189">
        <f t="shared" si="61"/>
        <v>1896127000</v>
      </c>
      <c r="J72" s="1189">
        <f t="shared" ref="J72:N72" si="62">+J66-J67-J69-J71-J68-J70</f>
        <v>193201000</v>
      </c>
      <c r="K72" s="1189">
        <f t="shared" si="62"/>
        <v>0</v>
      </c>
      <c r="L72" s="1189">
        <f t="shared" si="62"/>
        <v>0</v>
      </c>
      <c r="M72" s="1189">
        <f t="shared" si="62"/>
        <v>0</v>
      </c>
      <c r="N72" s="1189">
        <f t="shared" si="62"/>
        <v>0</v>
      </c>
    </row>
    <row r="73" spans="2:15" ht="15.75" customHeight="1">
      <c r="B73" s="1180" t="s">
        <v>319</v>
      </c>
      <c r="C73" s="1181">
        <v>69394409000</v>
      </c>
      <c r="D73" s="1181">
        <v>67179380000</v>
      </c>
      <c r="E73" s="1181">
        <v>64088413000</v>
      </c>
      <c r="F73" s="1182">
        <v>44910058000</v>
      </c>
      <c r="G73" s="1183">
        <v>51511856000</v>
      </c>
      <c r="H73" s="1183">
        <v>64416553000</v>
      </c>
      <c r="I73" s="1183">
        <v>74827394000</v>
      </c>
      <c r="J73" s="1183">
        <v>89801525000</v>
      </c>
      <c r="K73" s="1183"/>
      <c r="L73" s="1183"/>
      <c r="M73" s="1183"/>
      <c r="N73" s="1183"/>
    </row>
    <row r="74" spans="2:15" ht="15.75" customHeight="1">
      <c r="B74" s="1184" t="s">
        <v>377</v>
      </c>
      <c r="C74" s="1185">
        <v>113749000</v>
      </c>
      <c r="D74" s="1185">
        <v>113749000</v>
      </c>
      <c r="E74" s="1185">
        <v>1597569000</v>
      </c>
      <c r="F74" s="1185">
        <v>4341654000</v>
      </c>
      <c r="G74" s="1189">
        <v>7071635000</v>
      </c>
      <c r="H74" s="1189">
        <v>15739027000</v>
      </c>
      <c r="I74" s="1189">
        <v>20181963000</v>
      </c>
      <c r="J74" s="1189">
        <v>30332335000</v>
      </c>
      <c r="K74" s="1189"/>
      <c r="L74" s="1189"/>
      <c r="M74" s="1189"/>
      <c r="N74" s="1189"/>
    </row>
    <row r="75" spans="2:15" ht="15.75" customHeight="1">
      <c r="B75" s="1184" t="s">
        <v>699</v>
      </c>
      <c r="C75" s="1185"/>
      <c r="D75" s="1185"/>
      <c r="E75" s="1185"/>
      <c r="F75" s="1185"/>
      <c r="G75" s="1189">
        <v>0</v>
      </c>
      <c r="H75" s="1189">
        <v>411197000</v>
      </c>
      <c r="I75" s="1189">
        <v>312510000</v>
      </c>
      <c r="J75" s="1298">
        <v>912338000</v>
      </c>
      <c r="K75" s="1189"/>
      <c r="L75" s="1189"/>
      <c r="M75" s="1189"/>
      <c r="N75" s="1189"/>
    </row>
    <row r="76" spans="2:15" ht="15.75" customHeight="1">
      <c r="B76" s="1184" t="s">
        <v>664</v>
      </c>
      <c r="C76" s="1185">
        <v>26802000</v>
      </c>
      <c r="D76" s="1185">
        <v>39681000</v>
      </c>
      <c r="E76" s="1185">
        <v>32862000</v>
      </c>
      <c r="F76" s="1185">
        <v>28365000</v>
      </c>
      <c r="G76" s="1189">
        <v>26098000</v>
      </c>
      <c r="H76" s="1189">
        <v>19308000</v>
      </c>
      <c r="I76" s="1189">
        <v>18779000</v>
      </c>
      <c r="J76" s="1189">
        <v>55719000</v>
      </c>
      <c r="K76" s="1189"/>
      <c r="L76" s="1189"/>
      <c r="M76" s="1189"/>
      <c r="N76" s="1189"/>
    </row>
    <row r="77" spans="2:15" ht="15.75" customHeight="1">
      <c r="B77" s="1184" t="s">
        <v>398</v>
      </c>
      <c r="C77" s="1185">
        <v>69253858000</v>
      </c>
      <c r="D77" s="1185">
        <v>66885309000</v>
      </c>
      <c r="E77" s="1185">
        <v>62317341000</v>
      </c>
      <c r="F77" s="1188">
        <v>40136981000</v>
      </c>
      <c r="G77" s="1189">
        <v>43839823000</v>
      </c>
      <c r="H77" s="1189">
        <v>47315133000</v>
      </c>
      <c r="I77" s="1189">
        <v>53997497000</v>
      </c>
      <c r="J77" s="1189">
        <v>58131757000</v>
      </c>
      <c r="K77" s="1189"/>
      <c r="L77" s="1189"/>
      <c r="M77" s="1189"/>
      <c r="N77" s="1189"/>
    </row>
    <row r="78" spans="2:15" ht="15.75" customHeight="1">
      <c r="B78" s="1184" t="s">
        <v>399</v>
      </c>
      <c r="C78" s="1185"/>
      <c r="D78" s="1185">
        <v>140641000</v>
      </c>
      <c r="E78" s="1185">
        <v>140641000</v>
      </c>
      <c r="F78" s="1185">
        <v>174819000</v>
      </c>
      <c r="G78" s="1185">
        <v>266745000</v>
      </c>
      <c r="H78" s="1185">
        <v>302199000</v>
      </c>
      <c r="I78" s="1185">
        <v>316645000</v>
      </c>
      <c r="J78" s="1185">
        <v>369376000</v>
      </c>
      <c r="K78" s="1185"/>
      <c r="L78" s="1185"/>
      <c r="M78" s="1185"/>
      <c r="N78" s="1185"/>
    </row>
    <row r="79" spans="2:15" ht="15.75" customHeight="1">
      <c r="B79" s="1184" t="s">
        <v>325</v>
      </c>
      <c r="C79" s="1185">
        <f t="shared" ref="C79:H79" si="63">+C73-C76-C77-C75-C74-C78</f>
        <v>0</v>
      </c>
      <c r="D79" s="1185">
        <f t="shared" si="63"/>
        <v>0</v>
      </c>
      <c r="E79" s="1185">
        <f t="shared" si="63"/>
        <v>0</v>
      </c>
      <c r="F79" s="1185">
        <f t="shared" si="63"/>
        <v>228239000</v>
      </c>
      <c r="G79" s="1185">
        <f t="shared" si="63"/>
        <v>307555000</v>
      </c>
      <c r="H79" s="1185">
        <f t="shared" si="63"/>
        <v>629689000</v>
      </c>
      <c r="I79" s="1185">
        <f>+I73-I76-I77-I75-I74-I78</f>
        <v>0</v>
      </c>
      <c r="J79" s="1185">
        <f>J73-J74-J75-J76-J77-J78</f>
        <v>0</v>
      </c>
      <c r="K79" s="1185">
        <f t="shared" ref="K79:N79" si="64">+K73-K76-K77-K75-K74-K78</f>
        <v>0</v>
      </c>
      <c r="L79" s="1185">
        <f t="shared" si="64"/>
        <v>0</v>
      </c>
      <c r="M79" s="1185">
        <f t="shared" si="64"/>
        <v>0</v>
      </c>
      <c r="N79" s="1185">
        <f t="shared" si="64"/>
        <v>0</v>
      </c>
    </row>
    <row r="80" spans="2:15" ht="15.75" customHeight="1">
      <c r="B80" s="1190" t="s">
        <v>329</v>
      </c>
      <c r="C80" s="1191">
        <f t="shared" ref="C80:I80" si="65">+C73+C66</f>
        <v>80299072000</v>
      </c>
      <c r="D80" s="1191">
        <f t="shared" si="65"/>
        <v>80335215000</v>
      </c>
      <c r="E80" s="1191">
        <f t="shared" si="65"/>
        <v>80095444000</v>
      </c>
      <c r="F80" s="1191">
        <f t="shared" si="65"/>
        <v>59961639000</v>
      </c>
      <c r="G80" s="1191">
        <f t="shared" si="65"/>
        <v>66422749000</v>
      </c>
      <c r="H80" s="1191">
        <f t="shared" si="65"/>
        <v>77390694000</v>
      </c>
      <c r="I80" s="1191">
        <f t="shared" si="65"/>
        <v>95694580000</v>
      </c>
      <c r="J80" s="1191">
        <f t="shared" ref="J80:N80" si="66">+J73+J66</f>
        <v>108786571000</v>
      </c>
      <c r="K80" s="1191">
        <f t="shared" si="66"/>
        <v>0</v>
      </c>
      <c r="L80" s="1191">
        <f t="shared" si="66"/>
        <v>0</v>
      </c>
      <c r="M80" s="1191">
        <f t="shared" si="66"/>
        <v>0</v>
      </c>
      <c r="N80" s="1191">
        <f t="shared" si="66"/>
        <v>0</v>
      </c>
    </row>
    <row r="81" spans="2:14" ht="15.75" customHeight="1">
      <c r="B81" s="1192"/>
      <c r="C81" s="1193"/>
      <c r="D81" s="1193"/>
      <c r="E81" s="1193"/>
      <c r="F81" s="1193"/>
      <c r="G81" s="1193"/>
      <c r="H81" s="1193"/>
      <c r="I81" s="1193"/>
      <c r="J81" s="1193"/>
      <c r="K81" s="1193"/>
      <c r="L81" s="1193"/>
      <c r="M81" s="1193"/>
      <c r="N81" s="1193"/>
    </row>
    <row r="82" spans="2:14" ht="15.75" customHeight="1">
      <c r="B82" s="1178" t="s">
        <v>330</v>
      </c>
      <c r="C82" s="1179"/>
      <c r="D82" s="1179"/>
      <c r="E82" s="1179"/>
      <c r="F82" s="1179"/>
      <c r="G82" s="1179"/>
      <c r="H82" s="1179"/>
      <c r="I82" s="1179"/>
      <c r="J82" s="1179"/>
      <c r="K82" s="1179"/>
      <c r="L82" s="1179"/>
      <c r="M82" s="1179"/>
      <c r="N82" s="1179"/>
    </row>
    <row r="83" spans="2:14" ht="15.75" customHeight="1">
      <c r="B83" s="1180" t="s">
        <v>310</v>
      </c>
      <c r="C83" s="1181">
        <v>7057321000</v>
      </c>
      <c r="D83" s="1181">
        <v>6961981000</v>
      </c>
      <c r="E83" s="1181">
        <v>10151508000</v>
      </c>
      <c r="F83" s="1181">
        <v>11193847000</v>
      </c>
      <c r="G83" s="1181">
        <v>13678224000</v>
      </c>
      <c r="H83" s="1181">
        <v>13068167000</v>
      </c>
      <c r="I83" s="1181">
        <v>42476661000</v>
      </c>
      <c r="J83" s="1181">
        <v>47004459000</v>
      </c>
      <c r="K83" s="1181"/>
      <c r="L83" s="1181"/>
      <c r="M83" s="1181"/>
      <c r="N83" s="1181"/>
    </row>
    <row r="84" spans="2:14" ht="15.75" customHeight="1">
      <c r="B84" s="1184" t="s">
        <v>700</v>
      </c>
      <c r="C84" s="1185">
        <v>4166118000</v>
      </c>
      <c r="D84" s="1185">
        <v>4259089000</v>
      </c>
      <c r="E84" s="1185">
        <v>5120785000</v>
      </c>
      <c r="F84" s="1185">
        <v>4997889000</v>
      </c>
      <c r="G84" s="1185">
        <v>6256322000</v>
      </c>
      <c r="H84" s="1185">
        <v>6019865000</v>
      </c>
      <c r="I84" s="1185">
        <v>9090837000</v>
      </c>
      <c r="J84" s="1185">
        <v>11361655000</v>
      </c>
      <c r="K84" s="1185"/>
      <c r="L84" s="1185"/>
      <c r="M84" s="1185"/>
      <c r="N84" s="1185"/>
    </row>
    <row r="85" spans="2:14" ht="15.75" customHeight="1">
      <c r="B85" s="1184" t="s">
        <v>701</v>
      </c>
      <c r="C85" s="1185">
        <v>36884000</v>
      </c>
      <c r="D85" s="1185">
        <v>58036000</v>
      </c>
      <c r="E85" s="1185">
        <v>43648000</v>
      </c>
      <c r="F85" s="1185">
        <v>1413034000</v>
      </c>
      <c r="G85" s="1185">
        <v>2478828000</v>
      </c>
      <c r="H85" s="1185">
        <v>2024742000</v>
      </c>
      <c r="I85" s="1185">
        <v>1072740000</v>
      </c>
      <c r="J85" s="1185">
        <v>1012325000</v>
      </c>
      <c r="K85" s="1185"/>
      <c r="L85" s="1185"/>
      <c r="M85" s="1185"/>
      <c r="N85" s="1185"/>
    </row>
    <row r="86" spans="2:14" ht="15.75" customHeight="1">
      <c r="B86" s="1184" t="s">
        <v>702</v>
      </c>
      <c r="C86" s="1185">
        <v>2372248000</v>
      </c>
      <c r="D86" s="1185">
        <v>2336138000</v>
      </c>
      <c r="E86" s="1185">
        <v>3922775000</v>
      </c>
      <c r="F86" s="1185">
        <v>3804780000</v>
      </c>
      <c r="G86" s="1185">
        <v>4511848000</v>
      </c>
      <c r="H86" s="1185">
        <v>4353914000</v>
      </c>
      <c r="I86" s="1185">
        <v>31530300000</v>
      </c>
      <c r="J86" s="1185">
        <v>33933661000</v>
      </c>
      <c r="K86" s="1185"/>
      <c r="L86" s="1185"/>
      <c r="M86" s="1185"/>
      <c r="N86" s="1185"/>
    </row>
    <row r="87" spans="2:14" ht="15.75" customHeight="1">
      <c r="B87" s="1184" t="s">
        <v>703</v>
      </c>
      <c r="C87" s="1185">
        <f t="shared" ref="C87:I87" si="67">+C83-C84-C85-C86</f>
        <v>482071000</v>
      </c>
      <c r="D87" s="1185">
        <f t="shared" si="67"/>
        <v>308718000</v>
      </c>
      <c r="E87" s="1185">
        <f t="shared" si="67"/>
        <v>1064300000</v>
      </c>
      <c r="F87" s="1185">
        <f t="shared" si="67"/>
        <v>978144000</v>
      </c>
      <c r="G87" s="1185">
        <f t="shared" si="67"/>
        <v>431226000</v>
      </c>
      <c r="H87" s="1185">
        <f t="shared" si="67"/>
        <v>669646000</v>
      </c>
      <c r="I87" s="1185">
        <f t="shared" si="67"/>
        <v>782784000</v>
      </c>
      <c r="J87" s="1185">
        <f t="shared" ref="J87:N87" si="68">+J83-J84-J85-J86</f>
        <v>696818000</v>
      </c>
      <c r="K87" s="1185">
        <f t="shared" si="68"/>
        <v>0</v>
      </c>
      <c r="L87" s="1185">
        <f t="shared" si="68"/>
        <v>0</v>
      </c>
      <c r="M87" s="1185">
        <f t="shared" si="68"/>
        <v>0</v>
      </c>
      <c r="N87" s="1185">
        <f t="shared" si="68"/>
        <v>0</v>
      </c>
    </row>
    <row r="88" spans="2:14" ht="15.75" customHeight="1">
      <c r="B88" s="1180" t="s">
        <v>319</v>
      </c>
      <c r="C88" s="1181">
        <v>23506408000</v>
      </c>
      <c r="D88" s="1181">
        <v>23258239000</v>
      </c>
      <c r="E88" s="1181">
        <v>18325363000</v>
      </c>
      <c r="F88" s="1181">
        <v>21103939000</v>
      </c>
      <c r="G88" s="1181">
        <v>14249624000</v>
      </c>
      <c r="H88" s="1181">
        <v>25984205000</v>
      </c>
      <c r="I88" s="1181">
        <v>13355559000</v>
      </c>
      <c r="J88" s="1181">
        <v>20479718000</v>
      </c>
      <c r="K88" s="1181"/>
      <c r="L88" s="1181"/>
      <c r="M88" s="1181"/>
      <c r="N88" s="1181"/>
    </row>
    <row r="89" spans="2:14" ht="15.75" customHeight="1">
      <c r="B89" s="1184" t="s">
        <v>704</v>
      </c>
      <c r="C89" s="1185">
        <v>6056966000</v>
      </c>
      <c r="D89" s="1185">
        <v>6071936000</v>
      </c>
      <c r="E89" s="1185">
        <v>4482326000</v>
      </c>
      <c r="F89" s="1185">
        <v>6056966000</v>
      </c>
      <c r="G89" s="1185">
        <v>5371936000</v>
      </c>
      <c r="H89" s="1185">
        <v>15378912000</v>
      </c>
      <c r="I89" s="1185">
        <v>0</v>
      </c>
      <c r="J89" s="1185">
        <v>3194060000</v>
      </c>
      <c r="K89" s="1185"/>
      <c r="L89" s="1185"/>
      <c r="M89" s="1185"/>
      <c r="N89" s="1185"/>
    </row>
    <row r="90" spans="2:14" ht="15.75" customHeight="1">
      <c r="B90" s="1184" t="s">
        <v>678</v>
      </c>
      <c r="C90" s="1185">
        <v>2272509000</v>
      </c>
      <c r="D90" s="1185">
        <v>2593825000</v>
      </c>
      <c r="E90" s="1185"/>
      <c r="F90" s="1185">
        <v>0</v>
      </c>
      <c r="G90" s="1185">
        <v>1244583000</v>
      </c>
      <c r="H90" s="1185">
        <v>2595547000</v>
      </c>
      <c r="I90" s="1185">
        <v>3260586000</v>
      </c>
      <c r="J90" s="1185">
        <v>3592807000</v>
      </c>
      <c r="K90" s="1185"/>
      <c r="L90" s="1185"/>
      <c r="M90" s="1185"/>
      <c r="N90" s="1185"/>
    </row>
    <row r="91" spans="2:14" ht="15.75" customHeight="1">
      <c r="B91" s="1184" t="s">
        <v>339</v>
      </c>
      <c r="C91" s="1185">
        <v>12820988000</v>
      </c>
      <c r="D91" s="1185">
        <v>11719326000</v>
      </c>
      <c r="E91" s="1185">
        <v>10979554000</v>
      </c>
      <c r="F91" s="1185">
        <v>4966005000</v>
      </c>
      <c r="G91" s="1185">
        <v>5339609000</v>
      </c>
      <c r="H91" s="1185">
        <v>5396609000</v>
      </c>
      <c r="I91" s="1185">
        <v>7653099000</v>
      </c>
      <c r="J91" s="1185">
        <v>10416263000</v>
      </c>
      <c r="K91" s="1185"/>
      <c r="L91" s="1185"/>
      <c r="M91" s="1185"/>
      <c r="N91" s="1185"/>
    </row>
    <row r="92" spans="2:14" ht="15.75" customHeight="1">
      <c r="B92" s="1184" t="s">
        <v>341</v>
      </c>
      <c r="C92" s="1185">
        <f>+C88-C89-C90-C91</f>
        <v>2355945000</v>
      </c>
      <c r="D92" s="1185">
        <v>2873152000</v>
      </c>
      <c r="E92" s="1185">
        <v>2863483000</v>
      </c>
      <c r="F92" s="1185">
        <v>2501523000</v>
      </c>
      <c r="G92" s="1185">
        <v>229349600</v>
      </c>
      <c r="H92" s="1185">
        <f>2278251000+334886000</f>
        <v>2613137000</v>
      </c>
      <c r="I92" s="1185">
        <v>2186229000</v>
      </c>
      <c r="J92" s="1185">
        <v>2475677000</v>
      </c>
      <c r="K92" s="1185"/>
      <c r="L92" s="1185"/>
      <c r="M92" s="1185"/>
      <c r="N92" s="1185"/>
    </row>
    <row r="93" spans="2:14" ht="15.75" customHeight="1">
      <c r="B93" s="1190" t="s">
        <v>342</v>
      </c>
      <c r="C93" s="1191">
        <f t="shared" ref="C93:I93" si="69">+C88+C83</f>
        <v>30563729000</v>
      </c>
      <c r="D93" s="1191">
        <f t="shared" si="69"/>
        <v>30220220000</v>
      </c>
      <c r="E93" s="1191">
        <f t="shared" si="69"/>
        <v>28476871000</v>
      </c>
      <c r="F93" s="1191">
        <f t="shared" si="69"/>
        <v>32297786000</v>
      </c>
      <c r="G93" s="1191">
        <f t="shared" si="69"/>
        <v>27927848000</v>
      </c>
      <c r="H93" s="1191">
        <f t="shared" si="69"/>
        <v>39052372000</v>
      </c>
      <c r="I93" s="1191">
        <f t="shared" si="69"/>
        <v>55832220000</v>
      </c>
      <c r="J93" s="1191">
        <f t="shared" ref="J93:N93" si="70">+J88+J83</f>
        <v>67484177000</v>
      </c>
      <c r="K93" s="1191">
        <f t="shared" si="70"/>
        <v>0</v>
      </c>
      <c r="L93" s="1191">
        <f t="shared" si="70"/>
        <v>0</v>
      </c>
      <c r="M93" s="1191">
        <f t="shared" si="70"/>
        <v>0</v>
      </c>
      <c r="N93" s="1191">
        <f t="shared" si="70"/>
        <v>0</v>
      </c>
    </row>
    <row r="94" spans="2:14" ht="15.75" customHeight="1"/>
    <row r="95" spans="2:14" ht="15.75" customHeight="1">
      <c r="B95" s="1178" t="s">
        <v>343</v>
      </c>
      <c r="C95" s="1179"/>
      <c r="D95" s="1179"/>
      <c r="E95" s="1179"/>
      <c r="F95" s="1179"/>
      <c r="G95" s="1179"/>
      <c r="H95" s="1179"/>
      <c r="I95" s="1179"/>
      <c r="J95" s="1179"/>
      <c r="K95" s="1179"/>
      <c r="L95" s="1179"/>
      <c r="M95" s="1179"/>
      <c r="N95" s="1179"/>
    </row>
    <row r="96" spans="2:14" ht="15.75" customHeight="1">
      <c r="B96" s="1184" t="s">
        <v>532</v>
      </c>
      <c r="C96" s="1179">
        <v>15664524000</v>
      </c>
      <c r="D96" s="1179">
        <v>15664524000</v>
      </c>
      <c r="E96" s="1179">
        <v>15664524000</v>
      </c>
      <c r="F96" s="1179">
        <v>15664524000</v>
      </c>
      <c r="G96" s="1179">
        <v>15664524000</v>
      </c>
      <c r="H96" s="1179">
        <v>15664524000</v>
      </c>
      <c r="I96" s="1179">
        <v>15664524000</v>
      </c>
      <c r="J96" s="1179">
        <v>15664524000</v>
      </c>
      <c r="K96" s="1179"/>
      <c r="L96" s="1179"/>
      <c r="M96" s="1179"/>
      <c r="N96" s="1179"/>
    </row>
    <row r="97" spans="2:14" ht="15.75" customHeight="1">
      <c r="B97" s="1184" t="s">
        <v>345</v>
      </c>
      <c r="C97" s="1185">
        <v>18839671000</v>
      </c>
      <c r="D97" s="1185">
        <v>16818062000</v>
      </c>
      <c r="E97" s="1185">
        <v>15488923000</v>
      </c>
      <c r="F97" s="1185">
        <v>19158217000</v>
      </c>
      <c r="G97" s="1185">
        <v>-1462161000</v>
      </c>
      <c r="H97" s="1185">
        <v>-1652534000</v>
      </c>
      <c r="I97" s="1185">
        <v>-1696769000</v>
      </c>
      <c r="J97" s="1185">
        <v>-1782554000</v>
      </c>
      <c r="K97" s="1185"/>
      <c r="L97" s="1185"/>
      <c r="M97" s="1185"/>
      <c r="N97" s="1185"/>
    </row>
    <row r="98" spans="2:14" ht="15.75" customHeight="1">
      <c r="B98" s="1184" t="s">
        <v>346</v>
      </c>
      <c r="C98" s="1185">
        <v>14934429000</v>
      </c>
      <c r="D98" s="1185">
        <v>17353734000</v>
      </c>
      <c r="E98" s="1188">
        <v>20218533000</v>
      </c>
      <c r="F98" s="1185">
        <v>21455897000</v>
      </c>
      <c r="G98" s="1185">
        <v>24233982000</v>
      </c>
      <c r="H98" s="1185">
        <v>24272111000</v>
      </c>
      <c r="I98" s="1185">
        <v>25893803000</v>
      </c>
      <c r="J98" s="1185">
        <v>27419622000</v>
      </c>
      <c r="K98" s="1185"/>
      <c r="L98" s="1185"/>
      <c r="M98" s="1185"/>
      <c r="N98" s="1185"/>
    </row>
    <row r="99" spans="2:14" ht="15.75" customHeight="1">
      <c r="B99" s="1194" t="s">
        <v>591</v>
      </c>
      <c r="C99" s="1195">
        <v>802000</v>
      </c>
      <c r="D99" s="1195">
        <v>802000</v>
      </c>
      <c r="E99" s="1195">
        <v>802000</v>
      </c>
      <c r="F99" s="1195">
        <v>802000</v>
      </c>
      <c r="G99" s="1195">
        <v>802000</v>
      </c>
      <c r="H99" s="1195">
        <v>802000</v>
      </c>
      <c r="I99" s="1195">
        <v>802000</v>
      </c>
      <c r="J99" s="1195">
        <v>802000</v>
      </c>
      <c r="K99" s="1195"/>
      <c r="L99" s="1195"/>
      <c r="M99" s="1195"/>
      <c r="N99" s="1195"/>
    </row>
    <row r="100" spans="2:14" ht="15.75" customHeight="1">
      <c r="B100" s="1190" t="s">
        <v>347</v>
      </c>
      <c r="C100" s="1191">
        <f t="shared" ref="C100:I100" si="71">+C96+C98+C97+C99</f>
        <v>49439426000</v>
      </c>
      <c r="D100" s="1191">
        <f t="shared" si="71"/>
        <v>49837122000</v>
      </c>
      <c r="E100" s="1191">
        <f t="shared" si="71"/>
        <v>51372782000</v>
      </c>
      <c r="F100" s="1191">
        <f t="shared" si="71"/>
        <v>56279440000</v>
      </c>
      <c r="G100" s="1191">
        <f t="shared" si="71"/>
        <v>38437147000</v>
      </c>
      <c r="H100" s="1191">
        <f t="shared" si="71"/>
        <v>38284903000</v>
      </c>
      <c r="I100" s="1191">
        <f t="shared" si="71"/>
        <v>39862360000</v>
      </c>
      <c r="J100" s="1191">
        <f t="shared" ref="J100:N100" si="72">+J96+J98+J97+J99</f>
        <v>41302394000</v>
      </c>
      <c r="K100" s="1191">
        <f t="shared" si="72"/>
        <v>0</v>
      </c>
      <c r="L100" s="1191">
        <f t="shared" si="72"/>
        <v>0</v>
      </c>
      <c r="M100" s="1191">
        <f t="shared" si="72"/>
        <v>0</v>
      </c>
      <c r="N100" s="1191">
        <f t="shared" si="72"/>
        <v>0</v>
      </c>
    </row>
    <row r="101" spans="2:14" ht="15.75" customHeight="1"/>
    <row r="102" spans="2:14" ht="15.75" customHeight="1">
      <c r="B102" s="1175" t="s">
        <v>348</v>
      </c>
    </row>
    <row r="103" spans="2:14" ht="15.75" customHeight="1">
      <c r="B103" s="1176" t="s">
        <v>308</v>
      </c>
      <c r="C103" s="1177">
        <v>2017</v>
      </c>
      <c r="D103" s="1177">
        <v>2018</v>
      </c>
      <c r="E103" s="1177">
        <v>2019</v>
      </c>
      <c r="F103" s="1177">
        <v>2020</v>
      </c>
      <c r="G103" s="1177">
        <v>2021</v>
      </c>
      <c r="H103" s="1177">
        <v>2022</v>
      </c>
      <c r="I103" s="1177">
        <v>2023</v>
      </c>
      <c r="J103" s="1177">
        <v>2024</v>
      </c>
      <c r="K103" s="1177">
        <v>2025</v>
      </c>
      <c r="L103" s="1177">
        <v>2026</v>
      </c>
      <c r="M103" s="1177">
        <v>2027</v>
      </c>
      <c r="N103" s="1177">
        <v>2028</v>
      </c>
    </row>
    <row r="104" spans="2:14" ht="15.75" customHeight="1">
      <c r="B104" s="1196" t="s">
        <v>349</v>
      </c>
      <c r="C104" s="1197">
        <v>36270151000</v>
      </c>
      <c r="D104" s="1197">
        <v>37139658000</v>
      </c>
      <c r="E104" s="1197">
        <v>41638817000</v>
      </c>
      <c r="F104" s="1197">
        <v>42813818000</v>
      </c>
      <c r="G104" s="1303">
        <v>40886867000</v>
      </c>
      <c r="H104" s="1303">
        <v>46307878000</v>
      </c>
      <c r="I104" s="1303">
        <v>55309387000</v>
      </c>
      <c r="J104" s="1303">
        <v>54436753000</v>
      </c>
      <c r="K104" s="1197"/>
      <c r="L104" s="1197"/>
      <c r="M104" s="1197"/>
      <c r="N104" s="1197"/>
    </row>
    <row r="105" spans="2:14" ht="15.75" customHeight="1">
      <c r="B105" s="1196" t="s">
        <v>705</v>
      </c>
      <c r="C105" s="1197">
        <v>25563000</v>
      </c>
      <c r="D105" s="1197">
        <v>29113000</v>
      </c>
      <c r="E105" s="1197">
        <v>21776000</v>
      </c>
      <c r="F105" s="1197">
        <v>12058000</v>
      </c>
      <c r="G105" s="1303">
        <v>5379000</v>
      </c>
      <c r="H105" s="1303">
        <v>8705000</v>
      </c>
      <c r="I105" s="1303">
        <v>10297000</v>
      </c>
      <c r="J105" s="1303">
        <v>89059000</v>
      </c>
      <c r="K105" s="1197"/>
      <c r="L105" s="1197"/>
      <c r="M105" s="1197"/>
      <c r="N105" s="1197"/>
    </row>
    <row r="106" spans="2:14" ht="15.75" customHeight="1">
      <c r="B106" s="1198" t="s">
        <v>621</v>
      </c>
      <c r="C106" s="1185">
        <v>-23912942000</v>
      </c>
      <c r="D106" s="1185">
        <v>-25551805000</v>
      </c>
      <c r="E106" s="1185">
        <v>-27075882000</v>
      </c>
      <c r="F106" s="1199">
        <v>-27036506000</v>
      </c>
      <c r="G106" s="1185">
        <v>-27680839000</v>
      </c>
      <c r="H106" s="1185">
        <v>-31191171000</v>
      </c>
      <c r="I106" s="1185">
        <v>-34534762000</v>
      </c>
      <c r="J106" s="1185">
        <v>-35732344000</v>
      </c>
      <c r="K106" s="1185"/>
      <c r="L106" s="1185"/>
      <c r="M106" s="1185"/>
      <c r="N106" s="1185"/>
    </row>
    <row r="107" spans="2:14" ht="15.75" customHeight="1">
      <c r="B107" s="1200" t="s">
        <v>622</v>
      </c>
      <c r="C107" s="1181">
        <f t="shared" ref="C107:H107" si="73">+C104+C106+C105</f>
        <v>12382772000</v>
      </c>
      <c r="D107" s="1181">
        <f t="shared" si="73"/>
        <v>11616966000</v>
      </c>
      <c r="E107" s="1181">
        <f t="shared" si="73"/>
        <v>14584711000</v>
      </c>
      <c r="F107" s="1181">
        <f t="shared" si="73"/>
        <v>15789370000</v>
      </c>
      <c r="G107" s="1181">
        <f t="shared" si="73"/>
        <v>13211407000</v>
      </c>
      <c r="H107" s="1181">
        <f t="shared" si="73"/>
        <v>15125412000</v>
      </c>
      <c r="I107" s="1181">
        <f>+I104+I106+I105</f>
        <v>20784922000</v>
      </c>
      <c r="J107" s="1181">
        <f>J104-(-J106)</f>
        <v>18704409000</v>
      </c>
      <c r="K107" s="1181">
        <f t="shared" ref="K107:N107" si="74">+K104+K106+K105</f>
        <v>0</v>
      </c>
      <c r="L107" s="1181">
        <f t="shared" si="74"/>
        <v>0</v>
      </c>
      <c r="M107" s="1181">
        <f t="shared" si="74"/>
        <v>0</v>
      </c>
      <c r="N107" s="1181">
        <f t="shared" si="74"/>
        <v>0</v>
      </c>
    </row>
    <row r="108" spans="2:14" ht="15.75" customHeight="1">
      <c r="B108" s="1198" t="s">
        <v>706</v>
      </c>
      <c r="C108" s="1181">
        <v>-5493142000</v>
      </c>
      <c r="D108" s="1181">
        <v>-5337546000</v>
      </c>
      <c r="E108" s="1181">
        <v>-5110777000</v>
      </c>
      <c r="F108" s="1181">
        <v>-5903363000</v>
      </c>
      <c r="G108" s="1181">
        <v>-5180556000</v>
      </c>
      <c r="H108" s="1181">
        <v>-4877475000</v>
      </c>
      <c r="I108" s="1181">
        <v>-5577695000</v>
      </c>
      <c r="J108" s="1181">
        <v>-7106216000</v>
      </c>
      <c r="K108" s="1181"/>
      <c r="L108" s="1181"/>
      <c r="M108" s="1181"/>
      <c r="N108" s="1181"/>
    </row>
    <row r="109" spans="2:14" ht="15.75" customHeight="1">
      <c r="B109" s="1200" t="s">
        <v>181</v>
      </c>
      <c r="C109" s="1201">
        <f t="shared" ref="C109:G109" si="75">+C104+C105+C106+C108+C112</f>
        <v>6889387024</v>
      </c>
      <c r="D109" s="1201">
        <f t="shared" si="75"/>
        <v>5557113000</v>
      </c>
      <c r="E109" s="1201">
        <f t="shared" si="75"/>
        <v>9058864000</v>
      </c>
      <c r="F109" s="1201">
        <f t="shared" si="75"/>
        <v>9367013000</v>
      </c>
      <c r="G109" s="1201">
        <f t="shared" si="75"/>
        <v>9029375000</v>
      </c>
      <c r="H109" s="1201">
        <v>10431438000</v>
      </c>
      <c r="I109" s="1201">
        <v>14494279000</v>
      </c>
      <c r="J109" s="1201">
        <v>11623068000</v>
      </c>
      <c r="K109" s="1201" t="s">
        <v>707</v>
      </c>
      <c r="L109" s="1201">
        <f t="shared" ref="L109:N109" si="76">+L104+L105+L106+L108+L112</f>
        <v>0</v>
      </c>
      <c r="M109" s="1201">
        <f t="shared" si="76"/>
        <v>0</v>
      </c>
      <c r="N109" s="1201">
        <f t="shared" si="76"/>
        <v>0</v>
      </c>
    </row>
    <row r="110" spans="2:14" ht="15.75" customHeight="1">
      <c r="B110" s="1200" t="s">
        <v>424</v>
      </c>
      <c r="C110" s="1181"/>
      <c r="D110" s="1181"/>
      <c r="E110" s="1181"/>
      <c r="F110" s="1181"/>
      <c r="G110" s="1181"/>
      <c r="H110" s="1181"/>
      <c r="I110" s="1181"/>
      <c r="J110" s="1181"/>
      <c r="K110" s="1181"/>
      <c r="L110" s="1181"/>
      <c r="M110" s="1181"/>
      <c r="N110" s="1181"/>
    </row>
    <row r="111" spans="2:14" ht="15.75" customHeight="1">
      <c r="B111" s="1198" t="s">
        <v>708</v>
      </c>
      <c r="C111" s="1185"/>
      <c r="D111" s="1185"/>
      <c r="E111" s="1185">
        <v>-100156000</v>
      </c>
      <c r="F111" s="1185">
        <v>-571643000</v>
      </c>
      <c r="G111" s="1185">
        <v>241889000</v>
      </c>
      <c r="H111" s="1185">
        <v>-10712000</v>
      </c>
      <c r="I111" s="1185">
        <v>-314976000</v>
      </c>
      <c r="J111" s="1185">
        <v>-218905000</v>
      </c>
      <c r="K111" s="1185"/>
      <c r="L111" s="1185"/>
      <c r="M111" s="1185"/>
      <c r="N111" s="1185"/>
    </row>
    <row r="112" spans="2:14" ht="15.75" customHeight="1">
      <c r="B112" s="1198" t="s">
        <v>357</v>
      </c>
      <c r="C112" s="1185">
        <v>-242976</v>
      </c>
      <c r="D112" s="1185">
        <v>-722307000</v>
      </c>
      <c r="E112" s="1185">
        <v>-415070000</v>
      </c>
      <c r="F112" s="1199">
        <v>-518994000</v>
      </c>
      <c r="G112" s="1185">
        <v>998524000</v>
      </c>
      <c r="H112" s="1299">
        <f>191346000+11572000</f>
        <v>202918000</v>
      </c>
      <c r="I112" s="1299">
        <f>-397972000</f>
        <v>-397972000</v>
      </c>
      <c r="J112" s="1185">
        <v>154721000</v>
      </c>
      <c r="K112" s="1185"/>
      <c r="L112" s="1185"/>
      <c r="M112" s="1185"/>
      <c r="N112" s="1185"/>
    </row>
    <row r="113" spans="2:14" ht="15.75" customHeight="1">
      <c r="B113" s="1200" t="s">
        <v>428</v>
      </c>
      <c r="C113" s="1181">
        <f t="shared" ref="C113:I113" si="77">+C107+C111+C110+C108+C112</f>
        <v>6889387024</v>
      </c>
      <c r="D113" s="1181">
        <f t="shared" si="77"/>
        <v>5557113000</v>
      </c>
      <c r="E113" s="1181">
        <f t="shared" si="77"/>
        <v>8958708000</v>
      </c>
      <c r="F113" s="1181">
        <f t="shared" si="77"/>
        <v>8795370000</v>
      </c>
      <c r="G113" s="1181">
        <f t="shared" si="77"/>
        <v>9271264000</v>
      </c>
      <c r="H113" s="1304">
        <f>+H107+H111+H110+H108+H112</f>
        <v>10440143000</v>
      </c>
      <c r="I113" s="1181">
        <f t="shared" si="77"/>
        <v>14494279000</v>
      </c>
      <c r="J113" s="1181">
        <f t="shared" ref="J113:N113" si="78">+J107+J111+J110+J108+J112</f>
        <v>11534009000</v>
      </c>
      <c r="K113" s="1181">
        <f t="shared" si="78"/>
        <v>0</v>
      </c>
      <c r="L113" s="1181">
        <f t="shared" si="78"/>
        <v>0</v>
      </c>
      <c r="M113" s="1181">
        <f t="shared" si="78"/>
        <v>0</v>
      </c>
      <c r="N113" s="1181">
        <f t="shared" si="78"/>
        <v>0</v>
      </c>
    </row>
    <row r="114" spans="2:14" ht="15.75" customHeight="1">
      <c r="B114" s="1198" t="s">
        <v>512</v>
      </c>
      <c r="C114" s="1185">
        <v>98177000</v>
      </c>
      <c r="D114" s="1185">
        <v>123669000</v>
      </c>
      <c r="E114" s="1185">
        <v>215429000</v>
      </c>
      <c r="F114" s="1185">
        <v>79244000</v>
      </c>
      <c r="G114" s="1185">
        <v>23409000</v>
      </c>
      <c r="H114" s="1185">
        <v>169265000</v>
      </c>
      <c r="I114" s="1185">
        <v>560468000</v>
      </c>
      <c r="J114" s="1185">
        <v>1847246000</v>
      </c>
      <c r="K114" s="1185" t="s">
        <v>707</v>
      </c>
      <c r="L114" s="1185"/>
      <c r="M114" s="1185"/>
      <c r="N114" s="1185"/>
    </row>
    <row r="115" spans="2:14" ht="15.75" customHeight="1">
      <c r="B115" s="1198" t="s">
        <v>513</v>
      </c>
      <c r="C115" s="1185">
        <v>-488473000</v>
      </c>
      <c r="D115" s="1185">
        <v>-468078000</v>
      </c>
      <c r="E115" s="1185">
        <v>-465943000</v>
      </c>
      <c r="F115" s="1185">
        <v>-402093000</v>
      </c>
      <c r="G115" s="1185">
        <v>-299799000</v>
      </c>
      <c r="H115" s="1185">
        <v>-1661760000</v>
      </c>
      <c r="I115" s="1305">
        <v>-2990430000</v>
      </c>
      <c r="J115" s="1305">
        <v>-2836751000</v>
      </c>
      <c r="K115" s="1188" t="s">
        <v>707</v>
      </c>
      <c r="L115" s="1188"/>
      <c r="M115" s="1188"/>
      <c r="N115" s="1188"/>
    </row>
    <row r="116" spans="2:14" ht="15.75" customHeight="1">
      <c r="B116" s="1198" t="s">
        <v>709</v>
      </c>
      <c r="C116" s="1185">
        <v>10518000</v>
      </c>
      <c r="D116" s="1185">
        <v>-21114000</v>
      </c>
      <c r="E116" s="1185">
        <v>-29797000</v>
      </c>
      <c r="F116" s="1185">
        <v>5890000</v>
      </c>
      <c r="G116" s="1185">
        <v>734960000</v>
      </c>
      <c r="H116" s="1185">
        <v>271511000</v>
      </c>
      <c r="I116" s="1185">
        <v>-807409000</v>
      </c>
      <c r="J116" s="1185">
        <v>94875000</v>
      </c>
      <c r="K116" s="1185"/>
      <c r="L116" s="1185"/>
      <c r="M116" s="1185"/>
      <c r="N116" s="1185"/>
    </row>
    <row r="117" spans="2:14" ht="15.75" customHeight="1">
      <c r="B117" s="1198" t="s">
        <v>710</v>
      </c>
      <c r="C117" s="1185">
        <v>-49893000</v>
      </c>
      <c r="D117" s="1185">
        <v>17725000</v>
      </c>
      <c r="E117" s="1185">
        <v>72027000</v>
      </c>
      <c r="F117" s="1185">
        <v>4237000</v>
      </c>
      <c r="G117" s="1185">
        <v>91238000</v>
      </c>
      <c r="H117" s="1185">
        <v>218610000</v>
      </c>
      <c r="I117" s="1185">
        <v>90558000</v>
      </c>
      <c r="J117" s="1185">
        <v>112511000</v>
      </c>
      <c r="K117" s="1185" t="s">
        <v>707</v>
      </c>
      <c r="L117" s="1185"/>
      <c r="M117" s="1185"/>
      <c r="N117" s="1185"/>
    </row>
    <row r="118" spans="2:14" ht="15.75" customHeight="1">
      <c r="B118" s="1198" t="s">
        <v>357</v>
      </c>
      <c r="C118" s="1185"/>
      <c r="D118" s="1185"/>
      <c r="E118" s="1185"/>
      <c r="F118" s="1185"/>
      <c r="G118" s="1185"/>
      <c r="H118" s="1185"/>
      <c r="I118" s="1185"/>
      <c r="J118" s="1185"/>
      <c r="K118" s="1185"/>
      <c r="L118" s="1185"/>
      <c r="M118" s="1185"/>
      <c r="N118" s="1185"/>
    </row>
    <row r="119" spans="2:14" ht="15.75" customHeight="1">
      <c r="B119" s="1202"/>
      <c r="C119" s="1185"/>
      <c r="D119" s="1185"/>
      <c r="E119" s="1185"/>
      <c r="F119" s="1185"/>
      <c r="G119" s="1185"/>
      <c r="H119" s="1185"/>
      <c r="I119" s="1185"/>
      <c r="J119" s="1185"/>
      <c r="K119" s="1185"/>
      <c r="L119" s="1185"/>
      <c r="M119" s="1185"/>
      <c r="N119" s="1185"/>
    </row>
    <row r="120" spans="2:14" ht="15.75" customHeight="1">
      <c r="B120" s="1200" t="s">
        <v>362</v>
      </c>
      <c r="C120" s="1181">
        <v>6216983000</v>
      </c>
      <c r="D120" s="1181">
        <v>5209315000</v>
      </c>
      <c r="E120" s="1181">
        <v>8750424000</v>
      </c>
      <c r="F120" s="1181">
        <v>8482647000</v>
      </c>
      <c r="G120" s="1181">
        <v>9821072000</v>
      </c>
      <c r="H120" s="1181">
        <v>9429064000</v>
      </c>
      <c r="I120" s="1181">
        <v>11347466000</v>
      </c>
      <c r="J120" s="1181">
        <v>10840949000</v>
      </c>
      <c r="K120" s="1181" t="s">
        <v>707</v>
      </c>
      <c r="L120" s="1181"/>
      <c r="M120" s="1181"/>
      <c r="N120" s="1181"/>
    </row>
    <row r="121" spans="2:14" ht="15.75" customHeight="1">
      <c r="B121" s="1198" t="s">
        <v>363</v>
      </c>
      <c r="C121" s="1185">
        <v>-1587668000</v>
      </c>
      <c r="D121" s="1185">
        <v>-1411166000</v>
      </c>
      <c r="E121" s="1185">
        <v>-2251906000</v>
      </c>
      <c r="F121" s="1199">
        <v>-2177606000</v>
      </c>
      <c r="G121" s="1185">
        <v>-2329692000</v>
      </c>
      <c r="H121" s="1185">
        <v>-1727160000</v>
      </c>
      <c r="I121" s="1185">
        <v>-2694717000</v>
      </c>
      <c r="J121" s="1185">
        <v>-2774488000</v>
      </c>
      <c r="K121" s="1185" t="s">
        <v>707</v>
      </c>
      <c r="L121" s="1185"/>
      <c r="M121" s="1185"/>
      <c r="N121" s="1185"/>
    </row>
    <row r="122" spans="2:14" ht="15.75" customHeight="1">
      <c r="B122" s="1202" t="s">
        <v>435</v>
      </c>
      <c r="C122" s="1185">
        <v>31317000</v>
      </c>
      <c r="D122" s="1185">
        <v>13273000</v>
      </c>
      <c r="E122" s="1185">
        <v>-28100000</v>
      </c>
      <c r="F122" s="1199">
        <v>-56353000</v>
      </c>
      <c r="G122" s="1185">
        <v>-9048000</v>
      </c>
      <c r="H122" s="1185">
        <v>-608396000</v>
      </c>
      <c r="I122" s="1185">
        <v>-3444779000</v>
      </c>
      <c r="J122" s="1185">
        <v>0</v>
      </c>
      <c r="K122" s="1185" t="s">
        <v>707</v>
      </c>
      <c r="L122" s="1185"/>
      <c r="M122" s="1185"/>
      <c r="N122" s="1185"/>
    </row>
    <row r="123" spans="2:14" ht="15.75" customHeight="1">
      <c r="B123" s="1203" t="s">
        <v>365</v>
      </c>
      <c r="C123" s="1183">
        <f t="shared" ref="C123:F123" si="79">+C120+C121-C122</f>
        <v>4597998000</v>
      </c>
      <c r="D123" s="1183">
        <f t="shared" si="79"/>
        <v>3784876000</v>
      </c>
      <c r="E123" s="1183">
        <f t="shared" si="79"/>
        <v>6526618000</v>
      </c>
      <c r="F123" s="1183">
        <f t="shared" si="79"/>
        <v>6361394000</v>
      </c>
      <c r="G123" s="1183">
        <v>7491380000</v>
      </c>
      <c r="H123" s="1183">
        <f>+H120+H121+H122</f>
        <v>7093508000</v>
      </c>
      <c r="I123" s="1183">
        <f>+I120+I121+I122</f>
        <v>5207970000</v>
      </c>
      <c r="J123" s="1183">
        <f>+J120+J121-J122</f>
        <v>8066461000</v>
      </c>
      <c r="K123" s="1183" t="s">
        <v>707</v>
      </c>
      <c r="L123" s="1183">
        <f t="shared" ref="L123:N123" si="80">+L120+L121-L122</f>
        <v>0</v>
      </c>
      <c r="M123" s="1183">
        <f t="shared" si="80"/>
        <v>0</v>
      </c>
      <c r="N123" s="1183">
        <f t="shared" si="80"/>
        <v>0</v>
      </c>
    </row>
    <row r="124" spans="2:14" ht="15.75" customHeight="1">
      <c r="B124" s="1203" t="s">
        <v>366</v>
      </c>
      <c r="C124" s="1204">
        <v>351.49</v>
      </c>
      <c r="D124" s="1204">
        <v>289.33999999999997</v>
      </c>
      <c r="E124" s="1204">
        <v>498.93</v>
      </c>
      <c r="F124" s="1204">
        <v>486.29736958543214</v>
      </c>
      <c r="G124" s="1204">
        <f>G123/G15</f>
        <v>572.67925686805665</v>
      </c>
      <c r="H124" s="1204">
        <f>H123/H15</f>
        <v>542.26389397248772</v>
      </c>
      <c r="I124" s="1204">
        <f>+I123/I15</f>
        <v>398.12376216279688</v>
      </c>
      <c r="J124" s="1204">
        <f>+J123/J15</f>
        <v>616.64137862919267</v>
      </c>
      <c r="K124" s="1204"/>
      <c r="L124" s="1204"/>
      <c r="M124" s="1204"/>
      <c r="N124" s="1204"/>
    </row>
    <row r="125" spans="2:14" ht="15.75" customHeight="1">
      <c r="C125" s="1205"/>
      <c r="D125" s="1205"/>
      <c r="E125" s="1205"/>
      <c r="F125" s="1206"/>
      <c r="H125" s="1301"/>
    </row>
    <row r="126" spans="2:14" ht="15.75" customHeight="1">
      <c r="B126" s="1175" t="s">
        <v>367</v>
      </c>
    </row>
    <row r="127" spans="2:14" ht="15.75" customHeight="1">
      <c r="B127" s="1176" t="s">
        <v>308</v>
      </c>
      <c r="C127" s="1177">
        <v>2017</v>
      </c>
      <c r="D127" s="1177">
        <v>2018</v>
      </c>
      <c r="E127" s="1177">
        <v>2019</v>
      </c>
      <c r="F127" s="1177">
        <v>2020</v>
      </c>
      <c r="G127" s="1177">
        <v>2021</v>
      </c>
      <c r="H127" s="1177">
        <v>2022</v>
      </c>
      <c r="I127" s="1177">
        <v>2023</v>
      </c>
      <c r="J127" s="1177">
        <v>2024</v>
      </c>
      <c r="K127" s="1177">
        <v>2025</v>
      </c>
      <c r="L127" s="1177">
        <v>2026</v>
      </c>
      <c r="M127" s="1177">
        <v>2027</v>
      </c>
      <c r="N127" s="1177">
        <v>2028</v>
      </c>
    </row>
    <row r="128" spans="2:14" ht="15.75" customHeight="1">
      <c r="B128" s="1196" t="s">
        <v>368</v>
      </c>
      <c r="C128" s="1197">
        <v>13668812000</v>
      </c>
      <c r="D128" s="1197">
        <v>9145843000</v>
      </c>
      <c r="E128" s="1197">
        <v>10433383000</v>
      </c>
      <c r="F128" s="1197">
        <v>9365418000</v>
      </c>
      <c r="G128" s="1197">
        <v>10435153000</v>
      </c>
      <c r="H128" s="1197">
        <v>8591395000</v>
      </c>
      <c r="I128" s="1197">
        <v>13405251000</v>
      </c>
      <c r="J128" s="1197">
        <v>16993302000</v>
      </c>
      <c r="K128" s="1197" t="s">
        <v>707</v>
      </c>
      <c r="L128" s="1197"/>
      <c r="M128" s="1197"/>
      <c r="N128" s="1197"/>
    </row>
    <row r="129" spans="2:14" ht="15.75" customHeight="1">
      <c r="B129" s="1200" t="s">
        <v>369</v>
      </c>
      <c r="C129" s="1185">
        <v>-7329033000</v>
      </c>
      <c r="D129" s="1199">
        <v>-4999982000</v>
      </c>
      <c r="E129" s="1199">
        <v>-1606570000</v>
      </c>
      <c r="F129" s="1185">
        <v>-8580970000</v>
      </c>
      <c r="G129" s="1199">
        <v>-10055251000</v>
      </c>
      <c r="H129" s="1199">
        <v>-10544582000</v>
      </c>
      <c r="I129" s="1199">
        <v>-14449911000</v>
      </c>
      <c r="J129" s="1199">
        <v>-11688939000</v>
      </c>
      <c r="K129" s="1199" t="s">
        <v>707</v>
      </c>
      <c r="L129" s="1199"/>
      <c r="M129" s="1199"/>
      <c r="N129" s="1199"/>
    </row>
    <row r="130" spans="2:14" ht="15.75" customHeight="1">
      <c r="B130" s="1198" t="s">
        <v>370</v>
      </c>
      <c r="C130" s="1185">
        <v>-7329033000</v>
      </c>
      <c r="D130" s="1199">
        <v>-4999982000</v>
      </c>
      <c r="E130" s="1199">
        <v>-1606570000</v>
      </c>
      <c r="F130" s="1199">
        <v>-8635480000</v>
      </c>
      <c r="G130" s="1199">
        <v>-11133268000</v>
      </c>
      <c r="H130" s="1199">
        <v>-10699342000</v>
      </c>
      <c r="I130" s="1300">
        <v>-14545829000</v>
      </c>
      <c r="J130" s="1199">
        <v>-12120675000</v>
      </c>
      <c r="K130" s="1199" t="s">
        <v>707</v>
      </c>
      <c r="L130" s="1199"/>
      <c r="M130" s="1199"/>
      <c r="N130" s="1199"/>
    </row>
    <row r="131" spans="2:14" ht="15.75" customHeight="1">
      <c r="B131" s="1200" t="s">
        <v>372</v>
      </c>
      <c r="C131" s="1207">
        <v>-5758275000</v>
      </c>
      <c r="D131" s="1207">
        <v>-4906326000</v>
      </c>
      <c r="E131" s="1181">
        <v>-7643796000</v>
      </c>
      <c r="F131" s="1208">
        <v>3020002000</v>
      </c>
      <c r="G131" s="1208">
        <v>3989618000</v>
      </c>
      <c r="H131" s="1208">
        <v>1279347000</v>
      </c>
      <c r="I131" s="1207">
        <v>914252000</v>
      </c>
      <c r="J131" s="1207">
        <v>-5607500000</v>
      </c>
      <c r="K131" s="1207" t="s">
        <v>707</v>
      </c>
      <c r="L131" s="1207"/>
      <c r="M131" s="1207"/>
      <c r="N131" s="1207"/>
    </row>
    <row r="132" spans="2:14" ht="15.75" customHeight="1">
      <c r="B132" s="1198" t="s">
        <v>373</v>
      </c>
      <c r="C132" s="1199">
        <v>-4177454000</v>
      </c>
      <c r="D132" s="1199">
        <v>-2987742000</v>
      </c>
      <c r="E132" s="1185">
        <v>-5079419000</v>
      </c>
      <c r="F132" s="1199">
        <v>-6389405000</v>
      </c>
      <c r="G132" s="1199">
        <v>-4704074000</v>
      </c>
      <c r="H132" s="1199">
        <v>-7116928000</v>
      </c>
      <c r="I132" s="1199">
        <v>-3863699000</v>
      </c>
      <c r="J132" s="1199">
        <v>-6479327000</v>
      </c>
      <c r="K132" s="1199"/>
      <c r="L132" s="1199"/>
      <c r="M132" s="1199"/>
      <c r="N132" s="1199"/>
    </row>
    <row r="133" spans="2:14" ht="15.75" customHeight="1">
      <c r="B133" s="1198" t="s">
        <v>437</v>
      </c>
      <c r="C133" s="1199">
        <v>-391013000</v>
      </c>
      <c r="D133" s="1199">
        <v>-343164000</v>
      </c>
      <c r="E133" s="1199">
        <v>-332942000</v>
      </c>
      <c r="F133" s="1199">
        <v>-335927000</v>
      </c>
      <c r="G133" s="1199">
        <v>-143496000</v>
      </c>
      <c r="H133" s="1199">
        <v>-1097311000</v>
      </c>
      <c r="I133" s="1199">
        <v>-2582164000</v>
      </c>
      <c r="J133" s="1199">
        <v>-2461522000</v>
      </c>
      <c r="K133" s="1199" t="s">
        <v>707</v>
      </c>
      <c r="L133" s="1199"/>
      <c r="M133" s="1199"/>
      <c r="N133" s="1199"/>
    </row>
    <row r="134" spans="2:14" ht="15.75" customHeight="1">
      <c r="B134" s="1200" t="s">
        <v>375</v>
      </c>
      <c r="C134" s="1181">
        <v>1149948000</v>
      </c>
      <c r="D134" s="1181">
        <v>389483000</v>
      </c>
      <c r="E134" s="1181">
        <v>1572500000</v>
      </c>
      <c r="F134" s="1181">
        <v>5376950000</v>
      </c>
      <c r="G134" s="1181">
        <v>1772954000</v>
      </c>
      <c r="H134" s="1181">
        <v>1103404000</v>
      </c>
      <c r="I134" s="1181">
        <v>972299000</v>
      </c>
      <c r="J134" s="1181">
        <v>664872000</v>
      </c>
      <c r="K134" s="1181" t="s">
        <v>707</v>
      </c>
      <c r="L134" s="1181"/>
      <c r="M134" s="1181"/>
      <c r="N134" s="1181"/>
    </row>
    <row r="135" spans="2:14" ht="15.75" customHeight="1">
      <c r="B135" s="1198"/>
      <c r="C135" s="1185"/>
      <c r="D135" s="1185"/>
      <c r="E135" s="1185"/>
      <c r="F135" s="1185"/>
      <c r="G135" s="1185"/>
      <c r="H135" s="1185"/>
      <c r="I135" s="1185"/>
      <c r="J135" s="1185"/>
      <c r="K135" s="1185"/>
      <c r="L135" s="1185"/>
      <c r="M135" s="1185"/>
      <c r="N135" s="1185"/>
    </row>
    <row r="136" spans="2:14" ht="15.75" customHeight="1">
      <c r="B136" s="1203" t="s">
        <v>376</v>
      </c>
      <c r="C136" s="1185">
        <f t="shared" ref="C136:H136" si="81">+C128+C130+C133</f>
        <v>5948766000</v>
      </c>
      <c r="D136" s="1185">
        <f t="shared" si="81"/>
        <v>3802697000</v>
      </c>
      <c r="E136" s="1185">
        <f t="shared" si="81"/>
        <v>8493871000</v>
      </c>
      <c r="F136" s="1185">
        <f t="shared" si="81"/>
        <v>394011000</v>
      </c>
      <c r="G136" s="1185">
        <f t="shared" si="81"/>
        <v>-841611000</v>
      </c>
      <c r="H136" s="1185">
        <f t="shared" si="81"/>
        <v>-3205258000</v>
      </c>
      <c r="I136" s="1185">
        <f>+I128+I130+I133</f>
        <v>-3722742000</v>
      </c>
      <c r="J136" s="1185">
        <f>+J128+J130+J133</f>
        <v>2411105000</v>
      </c>
      <c r="K136" s="1185" t="e">
        <f t="shared" ref="K136:N136" si="82">+K128+K130+K133</f>
        <v>#VALUE!</v>
      </c>
      <c r="L136" s="1185">
        <f t="shared" si="82"/>
        <v>0</v>
      </c>
      <c r="M136" s="1185">
        <f t="shared" si="82"/>
        <v>0</v>
      </c>
      <c r="N136" s="1185">
        <f t="shared" si="82"/>
        <v>0</v>
      </c>
    </row>
    <row r="137" spans="2:14" ht="15.75" customHeight="1"/>
    <row r="138" spans="2:14" ht="15.75" customHeight="1"/>
    <row r="139" spans="2:14" ht="15.75" customHeight="1"/>
    <row r="140" spans="2:14" ht="15.75" customHeight="1"/>
    <row r="141" spans="2:14" ht="15.75" customHeight="1"/>
    <row r="142" spans="2:14" ht="15.75" customHeight="1"/>
    <row r="143" spans="2:14" ht="15.75" customHeight="1"/>
    <row r="144" spans="2:1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conditionalFormatting sqref="C65:C68 D65:N74 C71:C93 D75:I77 K75:N77 J76:J77 D78:N93 E95:E97 C95:D100 E99:E100">
    <cfRule type="cellIs" dxfId="186" priority="16" operator="lessThan">
      <formula>0</formula>
    </cfRule>
  </conditionalFormatting>
  <conditionalFormatting sqref="C104:H105 C106:E106 G106:H106 C107:H111 C112:E112 G112:H112 C113:H120 C121:E122 G121:H122 C123:H124">
    <cfRule type="cellIs" dxfId="185" priority="17" operator="lessThan">
      <formula>0</formula>
    </cfRule>
  </conditionalFormatting>
  <conditionalFormatting sqref="C128:N132 C134:N136">
    <cfRule type="cellIs" dxfId="184" priority="3" operator="lessThan">
      <formula>0</formula>
    </cfRule>
  </conditionalFormatting>
  <conditionalFormatting sqref="F95:N100">
    <cfRule type="cellIs" dxfId="183" priority="1" operator="lessThan">
      <formula>0</formula>
    </cfRule>
  </conditionalFormatting>
  <conditionalFormatting sqref="I104:N114 I116:N124">
    <cfRule type="cellIs" dxfId="182" priority="2" operator="lessThan">
      <formula>0</formula>
    </cfRule>
  </conditionalFormatting>
  <pageMargins left="0.7" right="0.7" top="0.75" bottom="0.75" header="0.3" footer="0.3"/>
  <ignoredErrors>
    <ignoredError sqref="L17" evalError="1"/>
  </ignoredError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BCC44-27EC-4E37-9CBD-65E7C2D4035F}">
  <sheetPr>
    <tabColor rgb="FFFFFF00"/>
  </sheetPr>
  <dimension ref="B2:P142"/>
  <sheetViews>
    <sheetView zoomScale="80" zoomScaleNormal="80" workbookViewId="0">
      <pane xSplit="2" ySplit="6" topLeftCell="N7" activePane="bottomRight" state="frozen"/>
      <selection pane="bottomRight" activeCell="N6" sqref="N6"/>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3" width="33.28515625" customWidth="1"/>
    <col min="4" max="6" width="35.7109375" bestFit="1" customWidth="1"/>
    <col min="7" max="7" width="36.28515625" customWidth="1"/>
    <col min="8" max="8" width="35.7109375" customWidth="1"/>
    <col min="9" max="9" width="35.7109375" bestFit="1" customWidth="1"/>
    <col min="10" max="14" width="25.42578125" bestFit="1" customWidth="1"/>
  </cols>
  <sheetData>
    <row r="2" spans="2:14" ht="21">
      <c r="B2" s="313">
        <f ca="1">TODAY()-1</f>
        <v>46105</v>
      </c>
      <c r="C2" s="314"/>
      <c r="D2" s="344" t="s">
        <v>518</v>
      </c>
      <c r="E2" s="345" t="s">
        <v>266</v>
      </c>
    </row>
    <row r="3" spans="2:14" ht="25.5">
      <c r="B3" s="376" cm="1">
        <f t="array" aca="1" ref="B3" ca="1">_FV(B6,"Precio")</f>
        <v>14961</v>
      </c>
      <c r="C3" s="316"/>
      <c r="D3" s="365">
        <f>AVERAGE(G45:I45)</f>
        <v>328.11999999999995</v>
      </c>
      <c r="E3" s="365">
        <f>AVERAGE(G44:I44)</f>
        <v>328.11999999999995</v>
      </c>
    </row>
    <row r="4" spans="2:14" ht="28.5">
      <c r="B4" s="319"/>
      <c r="C4" s="320"/>
      <c r="D4" s="328"/>
      <c r="E4" s="328"/>
    </row>
    <row r="6" spans="2:14" ht="33.4">
      <c r="B6" s="3" t="e" vm="25">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0</v>
      </c>
      <c r="D7" s="5">
        <f t="shared" ref="D7:N7" si="0">+D61</f>
        <v>477976464000</v>
      </c>
      <c r="E7" s="5">
        <f t="shared" si="0"/>
        <v>514987933000</v>
      </c>
      <c r="F7" s="5">
        <f t="shared" si="0"/>
        <v>552380098000</v>
      </c>
      <c r="G7" s="5">
        <f t="shared" si="0"/>
        <v>716630466000</v>
      </c>
      <c r="H7" s="5">
        <f t="shared" si="0"/>
        <v>862791484000</v>
      </c>
      <c r="I7" s="5">
        <f t="shared" si="0"/>
        <v>812157209000</v>
      </c>
      <c r="J7" s="5">
        <f t="shared" si="0"/>
        <v>0</v>
      </c>
      <c r="K7" s="5">
        <f t="shared" si="0"/>
        <v>0</v>
      </c>
      <c r="L7" s="5">
        <f t="shared" si="0"/>
        <v>0</v>
      </c>
      <c r="M7" s="5">
        <f t="shared" si="0"/>
        <v>0</v>
      </c>
      <c r="N7" s="5">
        <f t="shared" si="0"/>
        <v>0</v>
      </c>
    </row>
    <row r="8" spans="2:14" ht="25.5">
      <c r="B8" s="146" t="s">
        <v>377</v>
      </c>
      <c r="C8" s="147">
        <f>+C65</f>
        <v>0</v>
      </c>
      <c r="D8" s="147">
        <f t="shared" ref="D8:N8" si="1">+D65</f>
        <v>203912591000</v>
      </c>
      <c r="E8" s="147">
        <f t="shared" si="1"/>
        <v>187744396000</v>
      </c>
      <c r="F8" s="147">
        <f t="shared" si="1"/>
        <v>170366398000</v>
      </c>
      <c r="G8" s="147">
        <f t="shared" si="1"/>
        <v>249077401000</v>
      </c>
      <c r="H8" s="147">
        <f t="shared" si="1"/>
        <v>317797037000</v>
      </c>
      <c r="I8" s="147">
        <f t="shared" si="1"/>
        <v>307094957000</v>
      </c>
      <c r="J8" s="147">
        <f t="shared" si="1"/>
        <v>0</v>
      </c>
      <c r="K8" s="147">
        <f t="shared" si="1"/>
        <v>0</v>
      </c>
      <c r="L8" s="147">
        <f t="shared" si="1"/>
        <v>0</v>
      </c>
      <c r="M8" s="147">
        <f t="shared" si="1"/>
        <v>0</v>
      </c>
      <c r="N8" s="147">
        <f t="shared" si="1"/>
        <v>0</v>
      </c>
    </row>
    <row r="9" spans="2:14" ht="25.5">
      <c r="B9" s="146" t="s">
        <v>378</v>
      </c>
      <c r="C9" s="147">
        <f>+C67</f>
        <v>0</v>
      </c>
      <c r="D9" s="147">
        <f t="shared" ref="D9:N9" si="2">+D67</f>
        <v>215239644000</v>
      </c>
      <c r="E9" s="147">
        <f t="shared" si="2"/>
        <v>22003921900</v>
      </c>
      <c r="F9" s="147">
        <f t="shared" si="2"/>
        <v>220413964000</v>
      </c>
      <c r="G9" s="147">
        <f t="shared" si="2"/>
        <v>335040762000</v>
      </c>
      <c r="H9" s="147">
        <f t="shared" si="2"/>
        <v>404977685000</v>
      </c>
      <c r="I9" s="147">
        <f t="shared" si="2"/>
        <v>381508724000</v>
      </c>
      <c r="J9" s="147">
        <f t="shared" si="2"/>
        <v>0</v>
      </c>
      <c r="K9" s="147">
        <f t="shared" si="2"/>
        <v>0</v>
      </c>
      <c r="L9" s="147">
        <f t="shared" si="2"/>
        <v>0</v>
      </c>
      <c r="M9" s="147">
        <f t="shared" si="2"/>
        <v>0</v>
      </c>
      <c r="N9" s="147">
        <f t="shared" si="2"/>
        <v>0</v>
      </c>
    </row>
    <row r="10" spans="2:14" ht="25.5">
      <c r="B10" s="4" t="s">
        <v>379</v>
      </c>
      <c r="C10" s="5">
        <f>+C70</f>
        <v>0</v>
      </c>
      <c r="D10" s="5">
        <f t="shared" ref="D10:N10" si="3">+D70</f>
        <v>539727963000</v>
      </c>
      <c r="E10" s="5">
        <f t="shared" si="3"/>
        <v>611628280000</v>
      </c>
      <c r="F10" s="5">
        <f t="shared" si="3"/>
        <v>619168022000</v>
      </c>
      <c r="G10" s="5">
        <f t="shared" si="3"/>
        <v>691278217000</v>
      </c>
      <c r="H10" s="5">
        <f t="shared" si="3"/>
        <v>740399050000</v>
      </c>
      <c r="I10" s="5">
        <f t="shared" si="3"/>
        <v>723566621000</v>
      </c>
      <c r="J10" s="5">
        <f t="shared" si="3"/>
        <v>0</v>
      </c>
      <c r="K10" s="5">
        <f t="shared" si="3"/>
        <v>0</v>
      </c>
      <c r="L10" s="5">
        <f t="shared" si="3"/>
        <v>0</v>
      </c>
      <c r="M10" s="5">
        <f t="shared" si="3"/>
        <v>0</v>
      </c>
      <c r="N10" s="5">
        <f t="shared" si="3"/>
        <v>0</v>
      </c>
    </row>
    <row r="11" spans="2:14" ht="25.5">
      <c r="B11" s="8" t="s">
        <v>272</v>
      </c>
      <c r="C11" s="9">
        <f>+C10+C7</f>
        <v>0</v>
      </c>
      <c r="D11" s="9">
        <f t="shared" ref="D11:N11" si="4">+D10+D7</f>
        <v>1017704427000</v>
      </c>
      <c r="E11" s="9">
        <f t="shared" si="4"/>
        <v>1126616213000</v>
      </c>
      <c r="F11" s="9">
        <f t="shared" si="4"/>
        <v>1171548120000</v>
      </c>
      <c r="G11" s="9">
        <f t="shared" si="4"/>
        <v>1407908683000</v>
      </c>
      <c r="H11" s="9">
        <f t="shared" si="4"/>
        <v>1603190534000</v>
      </c>
      <c r="I11" s="9">
        <f t="shared" si="4"/>
        <v>1535723830000</v>
      </c>
      <c r="J11" s="9">
        <f t="shared" si="4"/>
        <v>0</v>
      </c>
      <c r="K11" s="9">
        <f t="shared" si="4"/>
        <v>0</v>
      </c>
      <c r="L11" s="9">
        <f t="shared" si="4"/>
        <v>0</v>
      </c>
      <c r="M11" s="9">
        <f t="shared" si="4"/>
        <v>0</v>
      </c>
      <c r="N11" s="9">
        <f t="shared" si="4"/>
        <v>0</v>
      </c>
    </row>
    <row r="12" spans="2:14" ht="25.5">
      <c r="B12" s="10" t="s">
        <v>273</v>
      </c>
      <c r="C12" s="11">
        <f>+C84</f>
        <v>0</v>
      </c>
      <c r="D12" s="11">
        <f t="shared" ref="D12:N12" si="5">+D84</f>
        <v>211839226000</v>
      </c>
      <c r="E12" s="11">
        <f t="shared" si="5"/>
        <v>202790185000</v>
      </c>
      <c r="F12" s="11">
        <f t="shared" si="5"/>
        <v>197413356000</v>
      </c>
      <c r="G12" s="11">
        <f t="shared" si="5"/>
        <v>324950266000</v>
      </c>
      <c r="H12" s="11">
        <f t="shared" si="5"/>
        <v>512072844000</v>
      </c>
      <c r="I12" s="11">
        <f t="shared" si="5"/>
        <v>407543640000</v>
      </c>
      <c r="J12" s="11">
        <f t="shared" si="5"/>
        <v>0</v>
      </c>
      <c r="K12" s="11">
        <f t="shared" si="5"/>
        <v>0</v>
      </c>
      <c r="L12" s="11">
        <f t="shared" si="5"/>
        <v>0</v>
      </c>
      <c r="M12" s="11">
        <f t="shared" si="5"/>
        <v>0</v>
      </c>
      <c r="N12" s="11">
        <f t="shared" si="5"/>
        <v>0</v>
      </c>
    </row>
    <row r="13" spans="2:14" ht="25.5">
      <c r="B13" s="10" t="s">
        <v>274</v>
      </c>
      <c r="C13" s="11">
        <f>+C94</f>
        <v>0</v>
      </c>
      <c r="D13" s="11">
        <f t="shared" ref="D13:N13" si="6">+D94</f>
        <v>276875103000</v>
      </c>
      <c r="E13" s="11">
        <f t="shared" si="6"/>
        <v>362031787000</v>
      </c>
      <c r="F13" s="11">
        <f t="shared" si="6"/>
        <v>407760240000</v>
      </c>
      <c r="G13" s="11">
        <f t="shared" si="6"/>
        <v>435687252000</v>
      </c>
      <c r="H13" s="11">
        <f t="shared" si="6"/>
        <v>413624997000</v>
      </c>
      <c r="I13" s="11">
        <f t="shared" si="6"/>
        <v>436806028000</v>
      </c>
      <c r="J13" s="11">
        <f t="shared" si="6"/>
        <v>0</v>
      </c>
      <c r="K13" s="11">
        <f t="shared" si="6"/>
        <v>0</v>
      </c>
      <c r="L13" s="11">
        <f t="shared" si="6"/>
        <v>0</v>
      </c>
      <c r="M13" s="11">
        <f t="shared" si="6"/>
        <v>0</v>
      </c>
      <c r="N13" s="11">
        <f t="shared" si="6"/>
        <v>0</v>
      </c>
    </row>
    <row r="14" spans="2:14" ht="25.5">
      <c r="B14" s="12" t="s">
        <v>275</v>
      </c>
      <c r="C14" s="13">
        <f>+C12+C13</f>
        <v>0</v>
      </c>
      <c r="D14" s="13">
        <f t="shared" ref="D14:N14" si="7">+D12+D13</f>
        <v>488714329000</v>
      </c>
      <c r="E14" s="13">
        <f t="shared" si="7"/>
        <v>564821972000</v>
      </c>
      <c r="F14" s="13">
        <f t="shared" si="7"/>
        <v>605173596000</v>
      </c>
      <c r="G14" s="13">
        <f t="shared" si="7"/>
        <v>760637518000</v>
      </c>
      <c r="H14" s="13">
        <f t="shared" si="7"/>
        <v>925697841000</v>
      </c>
      <c r="I14" s="13">
        <f t="shared" si="7"/>
        <v>844349668000</v>
      </c>
      <c r="J14" s="13">
        <f t="shared" si="7"/>
        <v>0</v>
      </c>
      <c r="K14" s="13">
        <f t="shared" si="7"/>
        <v>0</v>
      </c>
      <c r="L14" s="13">
        <f t="shared" si="7"/>
        <v>0</v>
      </c>
      <c r="M14" s="13">
        <f t="shared" si="7"/>
        <v>0</v>
      </c>
      <c r="N14" s="13">
        <f t="shared" si="7"/>
        <v>0</v>
      </c>
    </row>
    <row r="15" spans="2:14" ht="25.5">
      <c r="B15" s="14" t="s">
        <v>276</v>
      </c>
      <c r="C15" s="15">
        <f>+C107</f>
        <v>0</v>
      </c>
      <c r="D15" s="15">
        <f t="shared" ref="D15:N15" si="8">+D107</f>
        <v>375234866000</v>
      </c>
      <c r="E15" s="15">
        <f t="shared" si="8"/>
        <v>401714663000</v>
      </c>
      <c r="F15" s="15">
        <f t="shared" si="8"/>
        <v>404348719000</v>
      </c>
      <c r="G15" s="15">
        <f t="shared" si="8"/>
        <v>470901956000</v>
      </c>
      <c r="H15" s="15">
        <f t="shared" si="8"/>
        <v>493542431000</v>
      </c>
      <c r="I15" s="15">
        <f t="shared" si="8"/>
        <v>518017594000</v>
      </c>
      <c r="J15" s="15">
        <f t="shared" si="8"/>
        <v>0</v>
      </c>
      <c r="K15" s="15">
        <f t="shared" si="8"/>
        <v>0</v>
      </c>
      <c r="L15" s="15">
        <f t="shared" si="8"/>
        <v>0</v>
      </c>
      <c r="M15" s="15">
        <f t="shared" si="8"/>
        <v>0</v>
      </c>
      <c r="N15" s="15">
        <f t="shared" si="8"/>
        <v>0</v>
      </c>
    </row>
    <row r="16" spans="2:14" ht="25.5">
      <c r="B16" s="79" t="s">
        <v>278</v>
      </c>
      <c r="C16" s="80"/>
      <c r="D16" s="180">
        <v>43800000</v>
      </c>
      <c r="E16" s="180">
        <v>43800000</v>
      </c>
      <c r="F16" s="180">
        <v>43800000</v>
      </c>
      <c r="G16" s="180">
        <v>43800000</v>
      </c>
      <c r="H16" s="180">
        <v>43800000</v>
      </c>
      <c r="I16" s="180">
        <v>43800000</v>
      </c>
      <c r="J16" s="80"/>
      <c r="K16" s="80"/>
      <c r="L16" s="80"/>
      <c r="M16" s="80"/>
      <c r="N16" s="80"/>
    </row>
    <row r="18" spans="2:14" ht="25.5">
      <c r="B18" s="18" t="s">
        <v>279</v>
      </c>
      <c r="C18" s="19" t="e">
        <f t="shared" ref="C18:N18" si="9">(C15/C16)</f>
        <v>#DIV/0!</v>
      </c>
      <c r="D18" s="19">
        <f t="shared" si="9"/>
        <v>8567.0060730593614</v>
      </c>
      <c r="E18" s="19">
        <f t="shared" si="9"/>
        <v>9171.5676484018259</v>
      </c>
      <c r="F18" s="19">
        <f t="shared" si="9"/>
        <v>9231.705913242009</v>
      </c>
      <c r="G18" s="19">
        <f t="shared" si="9"/>
        <v>10751.186210045662</v>
      </c>
      <c r="H18" s="19">
        <f t="shared" si="9"/>
        <v>11268.09203196347</v>
      </c>
      <c r="I18" s="19">
        <f t="shared" si="9"/>
        <v>11826.885707762556</v>
      </c>
      <c r="J18" s="19" t="e">
        <f t="shared" si="9"/>
        <v>#DIV/0!</v>
      </c>
      <c r="K18" s="19" t="e">
        <f t="shared" si="9"/>
        <v>#DIV/0!</v>
      </c>
      <c r="L18" s="19" t="e">
        <f t="shared" si="9"/>
        <v>#DIV/0!</v>
      </c>
      <c r="M18" s="19" t="e">
        <f t="shared" si="9"/>
        <v>#DIV/0!</v>
      </c>
      <c r="N18" s="19" t="e">
        <f t="shared" si="9"/>
        <v>#DIV/0!</v>
      </c>
    </row>
    <row r="19" spans="2:14" ht="25.5">
      <c r="B19" s="76" t="s">
        <v>282</v>
      </c>
      <c r="C19" s="77">
        <v>9796</v>
      </c>
      <c r="D19" s="77">
        <v>15000</v>
      </c>
      <c r="E19" s="77">
        <v>14625</v>
      </c>
      <c r="F19" s="77">
        <v>11000</v>
      </c>
      <c r="G19" s="77">
        <v>11905</v>
      </c>
      <c r="H19" s="101">
        <v>11600</v>
      </c>
      <c r="I19" s="101">
        <v>11600</v>
      </c>
      <c r="J19" s="101"/>
      <c r="K19" s="101"/>
      <c r="L19" s="101"/>
      <c r="M19" s="101"/>
      <c r="N19" s="101"/>
    </row>
    <row r="20" spans="2:14" ht="25.5">
      <c r="B20" s="18" t="s">
        <v>283</v>
      </c>
      <c r="C20" s="22" t="e">
        <f>+C19/C40</f>
        <v>#DIV/0!</v>
      </c>
      <c r="D20" s="22">
        <f t="shared" ref="D20:N20" si="10">+D19/D40</f>
        <v>26.951272100043123</v>
      </c>
      <c r="E20" s="22">
        <f t="shared" si="10"/>
        <v>24.732382933387449</v>
      </c>
      <c r="F20" s="22">
        <f t="shared" si="10"/>
        <v>22.066198595787363</v>
      </c>
      <c r="G20" s="22">
        <f t="shared" si="10"/>
        <v>15.178947099998727</v>
      </c>
      <c r="H20" s="22">
        <f t="shared" si="10"/>
        <v>12.315532434441025</v>
      </c>
      <c r="I20" s="22">
        <f t="shared" si="10"/>
        <v>10.734180963485276</v>
      </c>
      <c r="J20" s="22" t="e">
        <f t="shared" si="10"/>
        <v>#DIV/0!</v>
      </c>
      <c r="K20" s="22" t="e">
        <f t="shared" si="10"/>
        <v>#DIV/0!</v>
      </c>
      <c r="L20" s="22" t="e">
        <f t="shared" si="10"/>
        <v>#DIV/0!</v>
      </c>
      <c r="M20" s="22" t="e">
        <f t="shared" si="10"/>
        <v>#DIV/0!</v>
      </c>
      <c r="N20" s="22" t="e">
        <f t="shared" si="10"/>
        <v>#DIV/0!</v>
      </c>
    </row>
    <row r="21" spans="2:14" ht="25.5">
      <c r="B21" s="18" t="s">
        <v>380</v>
      </c>
      <c r="C21" s="22" t="e">
        <f t="shared" ref="C21:N21" si="11">+C19/C18</f>
        <v>#DIV/0!</v>
      </c>
      <c r="D21" s="22">
        <f t="shared" si="11"/>
        <v>1.7509033928632847</v>
      </c>
      <c r="E21" s="22">
        <f t="shared" si="11"/>
        <v>1.5946019874310637</v>
      </c>
      <c r="F21" s="22">
        <f t="shared" si="11"/>
        <v>1.1915457558306251</v>
      </c>
      <c r="G21" s="22">
        <f t="shared" si="11"/>
        <v>1.1073196731423218</v>
      </c>
      <c r="H21" s="22">
        <f t="shared" si="11"/>
        <v>1.0294555606304092</v>
      </c>
      <c r="I21" s="22">
        <f t="shared" si="11"/>
        <v>0.98081610718418966</v>
      </c>
      <c r="J21" s="22" t="e">
        <f t="shared" si="11"/>
        <v>#DIV/0!</v>
      </c>
      <c r="K21" s="22" t="e">
        <f t="shared" si="11"/>
        <v>#DIV/0!</v>
      </c>
      <c r="L21" s="22" t="e">
        <f t="shared" si="11"/>
        <v>#DIV/0!</v>
      </c>
      <c r="M21" s="22" t="e">
        <f t="shared" si="11"/>
        <v>#DIV/0!</v>
      </c>
      <c r="N21" s="22" t="e">
        <f t="shared" si="11"/>
        <v>#DIV/0!</v>
      </c>
    </row>
    <row r="22" spans="2:14" ht="25.5">
      <c r="B22" s="18" t="s">
        <v>285</v>
      </c>
      <c r="C22" s="22" t="e">
        <f>+C20*C21</f>
        <v>#DIV/0!</v>
      </c>
      <c r="D22" s="22">
        <f t="shared" ref="D22:N22" si="12">+D20*D21</f>
        <v>47.189073761947085</v>
      </c>
      <c r="E22" s="22">
        <f t="shared" si="12"/>
        <v>39.438306979485745</v>
      </c>
      <c r="F22" s="22">
        <f t="shared" si="12"/>
        <v>26.292885284126129</v>
      </c>
      <c r="G22" s="22">
        <f t="shared" si="12"/>
        <v>16.807946741415183</v>
      </c>
      <c r="H22" s="22">
        <f t="shared" si="12"/>
        <v>12.678293346759473</v>
      </c>
      <c r="I22" s="22">
        <f t="shared" si="12"/>
        <v>10.528257586416263</v>
      </c>
      <c r="J22" s="22" t="e">
        <f t="shared" si="12"/>
        <v>#DIV/0!</v>
      </c>
      <c r="K22" s="22" t="e">
        <f t="shared" si="12"/>
        <v>#DIV/0!</v>
      </c>
      <c r="L22" s="22" t="e">
        <f t="shared" si="12"/>
        <v>#DIV/0!</v>
      </c>
      <c r="M22" s="22" t="e">
        <f t="shared" si="12"/>
        <v>#DIV/0!</v>
      </c>
      <c r="N22" s="22" t="e">
        <f t="shared" si="12"/>
        <v>#DIV/0!</v>
      </c>
    </row>
    <row r="23" spans="2:14" ht="25.5">
      <c r="B23" s="23" t="s">
        <v>286</v>
      </c>
      <c r="C23" s="24" t="e">
        <f>IF(C41&lt;10%,0,IF(15%&lt;C41,2,1))</f>
        <v>#DIV/0!</v>
      </c>
      <c r="D23" s="24">
        <f>IF(D41&lt;10%,0,IF(15%&lt;D41,2,1))</f>
        <v>0</v>
      </c>
      <c r="E23" s="24">
        <f t="shared" ref="E23:N23" si="13">IF(E41&lt;10%,0,IF(15%&lt;E41,2,1))</f>
        <v>0</v>
      </c>
      <c r="F23" s="24">
        <f t="shared" si="13"/>
        <v>0</v>
      </c>
      <c r="G23" s="24">
        <f t="shared" si="13"/>
        <v>0</v>
      </c>
      <c r="H23" s="24">
        <f t="shared" si="13"/>
        <v>0</v>
      </c>
      <c r="I23" s="24">
        <f t="shared" si="13"/>
        <v>0</v>
      </c>
      <c r="J23" s="24" t="e">
        <f t="shared" si="13"/>
        <v>#DIV/0!</v>
      </c>
      <c r="K23" s="24" t="e">
        <f t="shared" si="13"/>
        <v>#DIV/0!</v>
      </c>
      <c r="L23" s="24" t="e">
        <f t="shared" si="13"/>
        <v>#DIV/0!</v>
      </c>
      <c r="M23" s="24" t="e">
        <f t="shared" si="13"/>
        <v>#DIV/0!</v>
      </c>
      <c r="N23" s="24" t="e">
        <f t="shared" si="13"/>
        <v>#DIV/0!</v>
      </c>
    </row>
    <row r="24" spans="2:14" ht="25.5">
      <c r="B24" s="23" t="s">
        <v>287</v>
      </c>
      <c r="C24" s="24" t="e">
        <f>IF(C41&lt;10%,1,IF(15%&lt;C41,2.5,2))</f>
        <v>#DIV/0!</v>
      </c>
      <c r="D24" s="24">
        <f t="shared" ref="D24:N24" si="14">IF(D41&lt;10%,1,IF(15%&lt;D41,2.5,2))</f>
        <v>1</v>
      </c>
      <c r="E24" s="24">
        <f t="shared" si="14"/>
        <v>1</v>
      </c>
      <c r="F24" s="24">
        <f t="shared" si="14"/>
        <v>1</v>
      </c>
      <c r="G24" s="24">
        <f t="shared" si="14"/>
        <v>1</v>
      </c>
      <c r="H24" s="24">
        <f t="shared" si="14"/>
        <v>1</v>
      </c>
      <c r="I24" s="24">
        <f t="shared" si="14"/>
        <v>1</v>
      </c>
      <c r="J24" s="24" t="e">
        <f t="shared" si="14"/>
        <v>#DIV/0!</v>
      </c>
      <c r="K24" s="24" t="e">
        <f t="shared" si="14"/>
        <v>#DIV/0!</v>
      </c>
      <c r="L24" s="24" t="e">
        <f t="shared" si="14"/>
        <v>#DIV/0!</v>
      </c>
      <c r="M24" s="24" t="e">
        <f t="shared" si="14"/>
        <v>#DIV/0!</v>
      </c>
      <c r="N24" s="24" t="e">
        <f t="shared" si="14"/>
        <v>#DIV/0!</v>
      </c>
    </row>
    <row r="25" spans="2:14" ht="25.5">
      <c r="B25" s="25" t="s">
        <v>288</v>
      </c>
      <c r="C25" s="26" t="e">
        <f t="shared" ref="C25:N25" si="15">+C23*C18</f>
        <v>#DIV/0!</v>
      </c>
      <c r="D25" s="26">
        <f t="shared" si="15"/>
        <v>0</v>
      </c>
      <c r="E25" s="26">
        <f t="shared" si="15"/>
        <v>0</v>
      </c>
      <c r="F25" s="26">
        <f t="shared" si="15"/>
        <v>0</v>
      </c>
      <c r="G25" s="26">
        <f t="shared" si="15"/>
        <v>0</v>
      </c>
      <c r="H25" s="26">
        <f t="shared" si="15"/>
        <v>0</v>
      </c>
      <c r="I25" s="26">
        <f t="shared" si="15"/>
        <v>0</v>
      </c>
      <c r="J25" s="26" t="e">
        <f t="shared" si="15"/>
        <v>#DIV/0!</v>
      </c>
      <c r="K25" s="26" t="e">
        <f t="shared" si="15"/>
        <v>#DIV/0!</v>
      </c>
      <c r="L25" s="26" t="e">
        <f t="shared" si="15"/>
        <v>#DIV/0!</v>
      </c>
      <c r="M25" s="26" t="e">
        <f t="shared" si="15"/>
        <v>#DIV/0!</v>
      </c>
      <c r="N25" s="26" t="e">
        <f t="shared" si="15"/>
        <v>#DIV/0!</v>
      </c>
    </row>
    <row r="26" spans="2:14" ht="25.5">
      <c r="B26" s="25" t="s">
        <v>289</v>
      </c>
      <c r="C26" s="26" t="e">
        <f>AVERAGE(C25,C27)</f>
        <v>#DIV/0!</v>
      </c>
      <c r="D26" s="26">
        <f t="shared" ref="D26:N26" si="16">AVERAGE(D25,D27)</f>
        <v>4283.5030365296807</v>
      </c>
      <c r="E26" s="26">
        <f t="shared" si="16"/>
        <v>4585.7838242009129</v>
      </c>
      <c r="F26" s="26">
        <f t="shared" si="16"/>
        <v>4615.8529566210045</v>
      </c>
      <c r="G26" s="26">
        <f t="shared" si="16"/>
        <v>5375.593105022831</v>
      </c>
      <c r="H26" s="26">
        <f t="shared" si="16"/>
        <v>5634.0460159817349</v>
      </c>
      <c r="I26" s="26">
        <f t="shared" si="16"/>
        <v>5913.4428538812781</v>
      </c>
      <c r="J26" s="26" t="e">
        <f t="shared" si="16"/>
        <v>#DIV/0!</v>
      </c>
      <c r="K26" s="26" t="e">
        <f t="shared" si="16"/>
        <v>#DIV/0!</v>
      </c>
      <c r="L26" s="26" t="e">
        <f t="shared" si="16"/>
        <v>#DIV/0!</v>
      </c>
      <c r="M26" s="26" t="e">
        <f t="shared" si="16"/>
        <v>#DIV/0!</v>
      </c>
      <c r="N26" s="26" t="e">
        <f t="shared" si="16"/>
        <v>#DIV/0!</v>
      </c>
    </row>
    <row r="27" spans="2:14" ht="25.5">
      <c r="B27" s="25" t="s">
        <v>290</v>
      </c>
      <c r="C27" s="26" t="e">
        <f t="shared" ref="C27:N27" si="17">+C18*C24</f>
        <v>#DIV/0!</v>
      </c>
      <c r="D27" s="26">
        <f t="shared" si="17"/>
        <v>8567.0060730593614</v>
      </c>
      <c r="E27" s="26">
        <f t="shared" si="17"/>
        <v>9171.5676484018259</v>
      </c>
      <c r="F27" s="26">
        <f t="shared" si="17"/>
        <v>9231.705913242009</v>
      </c>
      <c r="G27" s="26">
        <f t="shared" si="17"/>
        <v>10751.186210045662</v>
      </c>
      <c r="H27" s="26">
        <f t="shared" si="17"/>
        <v>11268.09203196347</v>
      </c>
      <c r="I27" s="26">
        <f t="shared" si="17"/>
        <v>11826.885707762556</v>
      </c>
      <c r="J27" s="26" t="e">
        <f t="shared" si="17"/>
        <v>#DIV/0!</v>
      </c>
      <c r="K27" s="26" t="e">
        <f t="shared" si="17"/>
        <v>#DIV/0!</v>
      </c>
      <c r="L27" s="26" t="e">
        <f t="shared" si="17"/>
        <v>#DIV/0!</v>
      </c>
      <c r="M27" s="26" t="e">
        <f t="shared" si="17"/>
        <v>#DIV/0!</v>
      </c>
      <c r="N27" s="26" t="e">
        <f t="shared" si="17"/>
        <v>#DIV/0!</v>
      </c>
    </row>
    <row r="29" spans="2:14" ht="25.5">
      <c r="B29" s="243" t="s">
        <v>291</v>
      </c>
      <c r="C29" s="81">
        <f t="shared" ref="C29:N29" si="18">C7-C12</f>
        <v>0</v>
      </c>
      <c r="D29" s="81">
        <f t="shared" si="18"/>
        <v>266137238000</v>
      </c>
      <c r="E29" s="81">
        <f t="shared" si="18"/>
        <v>312197748000</v>
      </c>
      <c r="F29" s="81">
        <f t="shared" si="18"/>
        <v>354966742000</v>
      </c>
      <c r="G29" s="81">
        <f t="shared" si="18"/>
        <v>391680200000</v>
      </c>
      <c r="H29" s="81">
        <f t="shared" si="18"/>
        <v>350718640000</v>
      </c>
      <c r="I29" s="81">
        <f t="shared" si="18"/>
        <v>404613569000</v>
      </c>
      <c r="J29" s="81">
        <f t="shared" si="18"/>
        <v>0</v>
      </c>
      <c r="K29" s="81">
        <f t="shared" si="18"/>
        <v>0</v>
      </c>
      <c r="L29" s="81">
        <f t="shared" si="18"/>
        <v>0</v>
      </c>
      <c r="M29" s="81">
        <f t="shared" si="18"/>
        <v>0</v>
      </c>
      <c r="N29" s="81">
        <f t="shared" si="18"/>
        <v>0</v>
      </c>
    </row>
    <row r="30" spans="2:14" ht="25.5">
      <c r="B30" s="30" t="s">
        <v>149</v>
      </c>
      <c r="C30" s="241" t="e">
        <f t="shared" ref="C30:N30" si="19">C7/C12</f>
        <v>#DIV/0!</v>
      </c>
      <c r="D30" s="241">
        <f t="shared" si="19"/>
        <v>2.2563170807657689</v>
      </c>
      <c r="E30" s="241">
        <f t="shared" si="19"/>
        <v>2.5395111356104341</v>
      </c>
      <c r="F30" s="241">
        <f t="shared" si="19"/>
        <v>2.798088787873096</v>
      </c>
      <c r="G30" s="241">
        <f t="shared" si="19"/>
        <v>2.2053542987405956</v>
      </c>
      <c r="H30" s="242">
        <f t="shared" si="19"/>
        <v>1.684899900686786</v>
      </c>
      <c r="I30" s="242">
        <f t="shared" si="19"/>
        <v>1.9928104116653618</v>
      </c>
      <c r="J30" s="242" t="e">
        <f t="shared" si="19"/>
        <v>#DIV/0!</v>
      </c>
      <c r="K30" s="242" t="e">
        <f t="shared" si="19"/>
        <v>#DIV/0!</v>
      </c>
      <c r="L30" s="242" t="e">
        <f t="shared" si="19"/>
        <v>#DIV/0!</v>
      </c>
      <c r="M30" s="242" t="e">
        <f t="shared" si="19"/>
        <v>#DIV/0!</v>
      </c>
      <c r="N30" s="242" t="e">
        <f t="shared" si="19"/>
        <v>#DIV/0!</v>
      </c>
    </row>
    <row r="31" spans="2:14" ht="25.5">
      <c r="B31" s="30" t="s">
        <v>292</v>
      </c>
      <c r="C31" s="241" t="e">
        <f t="shared" ref="C31:N31" si="20">+(C7-C9)/C12</f>
        <v>#DIV/0!</v>
      </c>
      <c r="D31" s="241">
        <f t="shared" si="20"/>
        <v>1.2402651999870884</v>
      </c>
      <c r="E31" s="241">
        <f t="shared" si="20"/>
        <v>2.4310052831205811</v>
      </c>
      <c r="F31" s="241">
        <f t="shared" si="20"/>
        <v>1.6815788998592376</v>
      </c>
      <c r="G31" s="241">
        <f t="shared" si="20"/>
        <v>1.174301866858604</v>
      </c>
      <c r="H31" s="241">
        <f t="shared" si="20"/>
        <v>0.89404037797403679</v>
      </c>
      <c r="I31" s="241">
        <f t="shared" si="20"/>
        <v>1.0566929347738072</v>
      </c>
      <c r="J31" s="241" t="e">
        <f t="shared" si="20"/>
        <v>#DIV/0!</v>
      </c>
      <c r="K31" s="241" t="e">
        <f t="shared" si="20"/>
        <v>#DIV/0!</v>
      </c>
      <c r="L31" s="241" t="e">
        <f t="shared" si="20"/>
        <v>#DIV/0!</v>
      </c>
      <c r="M31" s="241" t="e">
        <f t="shared" si="20"/>
        <v>#DIV/0!</v>
      </c>
      <c r="N31" s="241" t="e">
        <f t="shared" si="20"/>
        <v>#DIV/0!</v>
      </c>
    </row>
    <row r="32" spans="2:14" ht="25.5">
      <c r="B32" s="32" t="s">
        <v>153</v>
      </c>
      <c r="C32" s="33" t="e">
        <f t="shared" ref="C32:N32" si="21">C14/C11</f>
        <v>#DIV/0!</v>
      </c>
      <c r="D32" s="33">
        <f t="shared" si="21"/>
        <v>0.48021244286087794</v>
      </c>
      <c r="E32" s="33">
        <f t="shared" si="21"/>
        <v>0.50134372777750891</v>
      </c>
      <c r="F32" s="33">
        <f t="shared" si="21"/>
        <v>0.51655888961692842</v>
      </c>
      <c r="G32" s="33">
        <f t="shared" si="21"/>
        <v>0.54026054898618736</v>
      </c>
      <c r="H32" s="33">
        <f t="shared" si="21"/>
        <v>0.57740974723095517</v>
      </c>
      <c r="I32" s="33">
        <f t="shared" si="21"/>
        <v>0.54980566916123197</v>
      </c>
      <c r="J32" s="33" t="e">
        <f t="shared" si="21"/>
        <v>#DIV/0!</v>
      </c>
      <c r="K32" s="33" t="e">
        <f t="shared" si="21"/>
        <v>#DIV/0!</v>
      </c>
      <c r="L32" s="33" t="e">
        <f t="shared" si="21"/>
        <v>#DIV/0!</v>
      </c>
      <c r="M32" s="33" t="e">
        <f t="shared" si="21"/>
        <v>#DIV/0!</v>
      </c>
      <c r="N32" s="33" t="e">
        <f t="shared" si="21"/>
        <v>#DIV/0!</v>
      </c>
    </row>
    <row r="35" spans="2:15" ht="25.5">
      <c r="B35" s="35" t="s">
        <v>293</v>
      </c>
      <c r="C35" s="36">
        <f>+C112</f>
        <v>0</v>
      </c>
      <c r="D35" s="36">
        <f t="shared" ref="D35:N35" si="22">+D112</f>
        <v>752690495000</v>
      </c>
      <c r="E35" s="36">
        <f t="shared" si="22"/>
        <v>755604545000</v>
      </c>
      <c r="F35" s="36">
        <f t="shared" si="22"/>
        <v>779181696000</v>
      </c>
      <c r="G35" s="36">
        <f t="shared" si="22"/>
        <v>882369637000</v>
      </c>
      <c r="H35" s="36">
        <f t="shared" si="22"/>
        <v>1149631195000</v>
      </c>
      <c r="I35" s="36">
        <f t="shared" si="22"/>
        <v>1171430209000</v>
      </c>
      <c r="J35" s="36">
        <f t="shared" si="22"/>
        <v>0</v>
      </c>
      <c r="K35" s="36">
        <f t="shared" si="22"/>
        <v>0</v>
      </c>
      <c r="L35" s="36">
        <f t="shared" si="22"/>
        <v>0</v>
      </c>
      <c r="M35" s="36">
        <f t="shared" si="22"/>
        <v>0</v>
      </c>
      <c r="N35" s="36">
        <f t="shared" si="22"/>
        <v>0</v>
      </c>
    </row>
    <row r="36" spans="2:15" ht="25.5">
      <c r="B36" s="39" t="s">
        <v>156</v>
      </c>
      <c r="C36" s="40">
        <f>+C119</f>
        <v>0</v>
      </c>
      <c r="D36" s="40">
        <f t="shared" ref="D36:N36" si="23">+D119</f>
        <v>70595864000</v>
      </c>
      <c r="E36" s="40">
        <f t="shared" si="23"/>
        <v>67158142000</v>
      </c>
      <c r="F36" s="40">
        <f t="shared" si="23"/>
        <v>60625099000</v>
      </c>
      <c r="G36" s="40">
        <f t="shared" si="23"/>
        <v>71582931000</v>
      </c>
      <c r="H36" s="40">
        <f t="shared" si="23"/>
        <v>82089619000</v>
      </c>
      <c r="I36" s="40">
        <f t="shared" si="23"/>
        <v>84760534000</v>
      </c>
      <c r="J36" s="40">
        <f t="shared" si="23"/>
        <v>0</v>
      </c>
      <c r="K36" s="40">
        <f t="shared" si="23"/>
        <v>0</v>
      </c>
      <c r="L36" s="40">
        <f t="shared" si="23"/>
        <v>0</v>
      </c>
      <c r="M36" s="40">
        <f t="shared" si="23"/>
        <v>0</v>
      </c>
      <c r="N36" s="40">
        <f t="shared" si="23"/>
        <v>0</v>
      </c>
    </row>
    <row r="37" spans="2:15" ht="25.5">
      <c r="B37" s="35" t="s">
        <v>381</v>
      </c>
      <c r="C37" s="41" t="e">
        <f>C36/C35</f>
        <v>#DIV/0!</v>
      </c>
      <c r="D37" s="41">
        <f t="shared" ref="D37:N37" si="24">D36/D35</f>
        <v>9.3791358425484042E-2</v>
      </c>
      <c r="E37" s="41">
        <f t="shared" si="24"/>
        <v>8.8880013287903126E-2</v>
      </c>
      <c r="F37" s="41">
        <f t="shared" si="24"/>
        <v>7.7806112888976278E-2</v>
      </c>
      <c r="G37" s="41">
        <f t="shared" si="24"/>
        <v>8.112578674327163E-2</v>
      </c>
      <c r="H37" s="41">
        <f t="shared" si="24"/>
        <v>7.1405177031578379E-2</v>
      </c>
      <c r="I37" s="41">
        <f t="shared" si="24"/>
        <v>7.2356452265608259E-2</v>
      </c>
      <c r="J37" s="41" t="e">
        <f t="shared" si="24"/>
        <v>#DIV/0!</v>
      </c>
      <c r="K37" s="41" t="e">
        <f t="shared" si="24"/>
        <v>#DIV/0!</v>
      </c>
      <c r="L37" s="41" t="e">
        <f t="shared" si="24"/>
        <v>#DIV/0!</v>
      </c>
      <c r="M37" s="41" t="e">
        <f t="shared" si="24"/>
        <v>#DIV/0!</v>
      </c>
      <c r="N37" s="41" t="e">
        <f t="shared" si="24"/>
        <v>#DIV/0!</v>
      </c>
    </row>
    <row r="38" spans="2:15" ht="25.5">
      <c r="B38" s="43" t="s">
        <v>295</v>
      </c>
      <c r="C38" s="44">
        <f>+C129</f>
        <v>0</v>
      </c>
      <c r="D38" s="44">
        <f t="shared" ref="D38:N38" si="25">+D129</f>
        <v>36753625000</v>
      </c>
      <c r="E38" s="44">
        <f t="shared" si="25"/>
        <v>37093021000</v>
      </c>
      <c r="F38" s="44">
        <f t="shared" si="25"/>
        <v>21834220000</v>
      </c>
      <c r="G38" s="44">
        <f t="shared" si="25"/>
        <v>34352695000</v>
      </c>
      <c r="H38" s="44">
        <f t="shared" si="25"/>
        <v>41255028000</v>
      </c>
      <c r="I38" s="44">
        <f t="shared" si="25"/>
        <v>47332861000</v>
      </c>
      <c r="J38" s="44">
        <f t="shared" si="25"/>
        <v>0</v>
      </c>
      <c r="K38" s="44">
        <f t="shared" si="25"/>
        <v>0</v>
      </c>
      <c r="L38" s="44">
        <f t="shared" si="25"/>
        <v>0</v>
      </c>
      <c r="M38" s="44">
        <f t="shared" si="25"/>
        <v>0</v>
      </c>
      <c r="N38" s="44">
        <f t="shared" si="25"/>
        <v>0</v>
      </c>
    </row>
    <row r="39" spans="2:15" ht="25.5">
      <c r="B39" s="30" t="s">
        <v>296</v>
      </c>
      <c r="C39" s="45" t="e">
        <f>C38/C35</f>
        <v>#DIV/0!</v>
      </c>
      <c r="D39" s="45">
        <f t="shared" ref="D39:N39" si="26">D38/D35</f>
        <v>4.882966537261773E-2</v>
      </c>
      <c r="E39" s="45">
        <f t="shared" si="26"/>
        <v>4.9090521285840072E-2</v>
      </c>
      <c r="F39" s="45">
        <f t="shared" si="26"/>
        <v>2.8021987826572354E-2</v>
      </c>
      <c r="G39" s="45">
        <f t="shared" si="26"/>
        <v>3.8932317658614088E-2</v>
      </c>
      <c r="H39" s="45">
        <f t="shared" si="26"/>
        <v>3.5885445853789659E-2</v>
      </c>
      <c r="I39" s="45">
        <f t="shared" si="26"/>
        <v>4.0406044368965048E-2</v>
      </c>
      <c r="J39" s="45" t="e">
        <f t="shared" si="26"/>
        <v>#DIV/0!</v>
      </c>
      <c r="K39" s="45" t="e">
        <f t="shared" si="26"/>
        <v>#DIV/0!</v>
      </c>
      <c r="L39" s="45" t="e">
        <f t="shared" si="26"/>
        <v>#DIV/0!</v>
      </c>
      <c r="M39" s="45" t="e">
        <f t="shared" si="26"/>
        <v>#DIV/0!</v>
      </c>
      <c r="N39" s="45" t="e">
        <f t="shared" si="26"/>
        <v>#DIV/0!</v>
      </c>
    </row>
    <row r="40" spans="2:15" ht="25.5">
      <c r="B40" s="46" t="s">
        <v>159</v>
      </c>
      <c r="C40" s="121">
        <f>+C130</f>
        <v>0</v>
      </c>
      <c r="D40" s="121">
        <f t="shared" ref="D40:N40" si="27">+D130</f>
        <v>556.55999999999995</v>
      </c>
      <c r="E40" s="121">
        <f t="shared" si="27"/>
        <v>591.33000000000004</v>
      </c>
      <c r="F40" s="121">
        <f t="shared" si="27"/>
        <v>498.5</v>
      </c>
      <c r="G40" s="121">
        <f t="shared" si="27"/>
        <v>784.31</v>
      </c>
      <c r="H40" s="121">
        <f t="shared" si="27"/>
        <v>941.9</v>
      </c>
      <c r="I40" s="121">
        <f t="shared" si="27"/>
        <v>1080.6600000000001</v>
      </c>
      <c r="J40" s="121">
        <f t="shared" si="27"/>
        <v>0</v>
      </c>
      <c r="K40" s="121">
        <f t="shared" si="27"/>
        <v>0</v>
      </c>
      <c r="L40" s="121">
        <f t="shared" si="27"/>
        <v>0</v>
      </c>
      <c r="M40" s="121">
        <f t="shared" si="27"/>
        <v>0</v>
      </c>
      <c r="N40" s="121">
        <f t="shared" si="27"/>
        <v>0</v>
      </c>
    </row>
    <row r="41" spans="2:15" ht="25.5">
      <c r="B41" s="48" t="s">
        <v>160</v>
      </c>
      <c r="C41" s="49" t="e">
        <f t="shared" ref="C41:N41" si="28">C38/C15</f>
        <v>#DIV/0!</v>
      </c>
      <c r="D41" s="49">
        <f t="shared" si="28"/>
        <v>9.7948320719215901E-2</v>
      </c>
      <c r="E41" s="49">
        <f t="shared" si="28"/>
        <v>9.2336736535803279E-2</v>
      </c>
      <c r="F41" s="49">
        <f t="shared" si="28"/>
        <v>5.3998489358389683E-2</v>
      </c>
      <c r="G41" s="49">
        <f t="shared" si="28"/>
        <v>7.2950843720853004E-2</v>
      </c>
      <c r="H41" s="49">
        <f t="shared" si="28"/>
        <v>8.3589627575506267E-2</v>
      </c>
      <c r="I41" s="49">
        <f t="shared" si="28"/>
        <v>9.1373076027220806E-2</v>
      </c>
      <c r="J41" s="49" t="e">
        <f t="shared" si="28"/>
        <v>#DIV/0!</v>
      </c>
      <c r="K41" s="49" t="e">
        <f t="shared" si="28"/>
        <v>#DIV/0!</v>
      </c>
      <c r="L41" s="49" t="e">
        <f t="shared" si="28"/>
        <v>#DIV/0!</v>
      </c>
      <c r="M41" s="49" t="e">
        <f t="shared" si="28"/>
        <v>#DIV/0!</v>
      </c>
      <c r="N41" s="49" t="e">
        <f t="shared" si="28"/>
        <v>#DIV/0!</v>
      </c>
    </row>
    <row r="42" spans="2:15" ht="25.5">
      <c r="B42" s="48" t="s">
        <v>382</v>
      </c>
      <c r="C42" s="49">
        <f>AVERAGE(G41:I41)</f>
        <v>8.2637849107860026E-2</v>
      </c>
      <c r="D42" s="49"/>
      <c r="E42" s="49"/>
      <c r="F42" s="49"/>
      <c r="G42" s="49"/>
      <c r="H42" s="49"/>
      <c r="I42" s="49"/>
      <c r="J42" s="49"/>
      <c r="K42" s="49"/>
      <c r="L42" s="49"/>
      <c r="M42" s="49"/>
      <c r="N42" s="49"/>
    </row>
    <row r="43" spans="2:15" ht="25.5">
      <c r="B43" s="48" t="s">
        <v>298</v>
      </c>
      <c r="C43" s="50">
        <f>+C142</f>
        <v>0</v>
      </c>
      <c r="D43" s="50">
        <f t="shared" ref="D43:N43" si="29">+D142</f>
        <v>4186363000</v>
      </c>
      <c r="E43" s="50">
        <f t="shared" si="29"/>
        <v>-8824406000</v>
      </c>
      <c r="F43" s="50">
        <f t="shared" si="29"/>
        <v>22865333000</v>
      </c>
      <c r="G43" s="50">
        <f t="shared" si="29"/>
        <v>-59859636000</v>
      </c>
      <c r="H43" s="50">
        <f t="shared" si="29"/>
        <v>-71626702000</v>
      </c>
      <c r="I43" s="50">
        <f t="shared" si="29"/>
        <v>72743995000</v>
      </c>
      <c r="J43" s="50">
        <f t="shared" si="29"/>
        <v>0</v>
      </c>
      <c r="K43" s="50">
        <f t="shared" si="29"/>
        <v>0</v>
      </c>
      <c r="L43" s="50">
        <f t="shared" si="29"/>
        <v>0</v>
      </c>
      <c r="M43" s="50">
        <f t="shared" si="29"/>
        <v>0</v>
      </c>
      <c r="N43" s="50">
        <f t="shared" si="29"/>
        <v>0</v>
      </c>
    </row>
    <row r="44" spans="2:15" ht="25.5">
      <c r="B44" s="51" t="s">
        <v>119</v>
      </c>
      <c r="C44" s="51">
        <f>SUM(C46:C49)</f>
        <v>354.05</v>
      </c>
      <c r="D44" s="51">
        <f t="shared" ref="D44:F44" si="30">SUM(D46:D49)</f>
        <v>799</v>
      </c>
      <c r="E44" s="51">
        <f t="shared" si="30"/>
        <v>278.3</v>
      </c>
      <c r="F44" s="51">
        <f t="shared" si="30"/>
        <v>1033</v>
      </c>
      <c r="G44" s="51">
        <f>SUM(G46:G49)</f>
        <v>261.25</v>
      </c>
      <c r="H44" s="51">
        <f>SUM(H46:H49)</f>
        <v>252.16</v>
      </c>
      <c r="I44" s="51">
        <f t="shared" ref="I44:N44" si="31">SUM(I46:I48)</f>
        <v>470.95</v>
      </c>
      <c r="J44" s="51">
        <f t="shared" si="31"/>
        <v>358.3</v>
      </c>
      <c r="K44" s="51">
        <f t="shared" si="31"/>
        <v>0</v>
      </c>
      <c r="L44" s="51">
        <f t="shared" si="31"/>
        <v>0</v>
      </c>
      <c r="M44" s="51">
        <f t="shared" si="31"/>
        <v>0</v>
      </c>
      <c r="N44" s="51">
        <f t="shared" si="31"/>
        <v>0</v>
      </c>
    </row>
    <row r="45" spans="2:15" ht="25.5">
      <c r="B45" s="51" t="s">
        <v>383</v>
      </c>
      <c r="C45" s="51">
        <f>+C46+C47</f>
        <v>354.05</v>
      </c>
      <c r="D45" s="51">
        <f t="shared" ref="D45:N45" si="32">+D46+D47</f>
        <v>799</v>
      </c>
      <c r="E45" s="51">
        <f t="shared" si="32"/>
        <v>278.3</v>
      </c>
      <c r="F45" s="51">
        <f t="shared" si="32"/>
        <v>1033</v>
      </c>
      <c r="G45" s="51">
        <f t="shared" si="32"/>
        <v>261.25</v>
      </c>
      <c r="H45" s="51">
        <f t="shared" si="32"/>
        <v>252.16</v>
      </c>
      <c r="I45" s="51">
        <f t="shared" si="32"/>
        <v>470.95</v>
      </c>
      <c r="J45" s="51">
        <f t="shared" si="32"/>
        <v>358.3</v>
      </c>
      <c r="K45" s="51">
        <f t="shared" si="32"/>
        <v>0</v>
      </c>
      <c r="L45" s="51">
        <f t="shared" si="32"/>
        <v>0</v>
      </c>
      <c r="M45" s="51">
        <f t="shared" si="32"/>
        <v>0</v>
      </c>
      <c r="N45" s="51">
        <f t="shared" si="32"/>
        <v>0</v>
      </c>
    </row>
    <row r="46" spans="2:15" ht="18">
      <c r="B46" s="135" t="s">
        <v>121</v>
      </c>
      <c r="C46" s="94">
        <v>132.05000000000001</v>
      </c>
      <c r="D46" s="94">
        <v>577</v>
      </c>
      <c r="E46" s="94">
        <v>56.3</v>
      </c>
      <c r="F46" s="94">
        <v>737</v>
      </c>
      <c r="G46" s="94">
        <v>27.25</v>
      </c>
      <c r="H46" s="94">
        <v>104.16</v>
      </c>
      <c r="I46" s="155">
        <v>248.95</v>
      </c>
      <c r="J46" s="155">
        <v>210.3</v>
      </c>
      <c r="K46" s="155"/>
      <c r="L46" s="155"/>
      <c r="M46" s="155"/>
      <c r="N46" s="155"/>
      <c r="O46" s="154"/>
    </row>
    <row r="47" spans="2:15" ht="18">
      <c r="B47" s="135" t="s">
        <v>122</v>
      </c>
      <c r="C47" s="94">
        <f>74+74+74</f>
        <v>222</v>
      </c>
      <c r="D47" s="94">
        <f>74+74+74</f>
        <v>222</v>
      </c>
      <c r="E47" s="94">
        <f>74+74+74</f>
        <v>222</v>
      </c>
      <c r="F47" s="94">
        <f>102+60+60+74</f>
        <v>296</v>
      </c>
      <c r="G47" s="94">
        <f>140+47+47</f>
        <v>234</v>
      </c>
      <c r="H47" s="94">
        <f>74+74</f>
        <v>148</v>
      </c>
      <c r="I47" s="155">
        <f>74+74+74</f>
        <v>222</v>
      </c>
      <c r="J47" s="155">
        <f>74+74</f>
        <v>148</v>
      </c>
      <c r="K47" s="155"/>
      <c r="L47" s="155"/>
      <c r="M47" s="155"/>
      <c r="N47" s="155"/>
    </row>
    <row r="48" spans="2:15" ht="18">
      <c r="B48" s="135" t="s">
        <v>123</v>
      </c>
      <c r="C48" s="94"/>
      <c r="D48" s="94"/>
      <c r="E48" s="94"/>
      <c r="F48" s="94"/>
      <c r="G48" s="94"/>
      <c r="H48" s="94"/>
      <c r="I48" s="155"/>
      <c r="J48" s="155"/>
      <c r="K48" s="155"/>
      <c r="L48" s="155"/>
      <c r="M48" s="155"/>
      <c r="N48" s="155"/>
    </row>
    <row r="49" spans="2:16" ht="18">
      <c r="B49" s="135" t="s">
        <v>124</v>
      </c>
      <c r="C49" s="94"/>
      <c r="D49" s="94"/>
      <c r="E49" s="94"/>
      <c r="F49" s="94"/>
      <c r="G49" s="94"/>
      <c r="H49" s="94"/>
      <c r="I49" s="94"/>
      <c r="J49" s="94"/>
      <c r="K49" s="94"/>
      <c r="L49" s="94"/>
      <c r="M49" s="94"/>
      <c r="N49" s="94"/>
    </row>
    <row r="50" spans="2:16" ht="25.5">
      <c r="B50" s="541" t="s">
        <v>167</v>
      </c>
      <c r="C50" s="99" t="e">
        <f>(C47+C48+D46)/C40</f>
        <v>#DIV/0!</v>
      </c>
      <c r="D50" s="99">
        <f t="shared" ref="D50:N50" si="33">(D47+D48+E46)/D40</f>
        <v>0.50003593502946675</v>
      </c>
      <c r="E50" s="99">
        <f t="shared" si="33"/>
        <v>1.621767879187594</v>
      </c>
      <c r="F50" s="99">
        <f t="shared" si="33"/>
        <v>0.64844533600802412</v>
      </c>
      <c r="G50" s="99">
        <f t="shared" si="33"/>
        <v>0.43115604799122798</v>
      </c>
      <c r="H50" s="99">
        <f t="shared" si="33"/>
        <v>0.42143539653891071</v>
      </c>
      <c r="I50" s="99">
        <f t="shared" si="33"/>
        <v>0.4000333129754039</v>
      </c>
      <c r="J50" s="99" t="e">
        <f t="shared" si="33"/>
        <v>#DIV/0!</v>
      </c>
      <c r="K50" s="99" t="e">
        <f t="shared" si="33"/>
        <v>#DIV/0!</v>
      </c>
      <c r="L50" s="99" t="e">
        <f t="shared" si="33"/>
        <v>#DIV/0!</v>
      </c>
      <c r="M50" s="99" t="e">
        <f t="shared" si="33"/>
        <v>#DIV/0!</v>
      </c>
      <c r="N50" s="99" t="e">
        <f t="shared" si="33"/>
        <v>#DIV/0!</v>
      </c>
    </row>
    <row r="51" spans="2:16" ht="28.5">
      <c r="B51" s="540" t="s">
        <v>303</v>
      </c>
      <c r="C51" s="54">
        <f>AVERAGE(G50:I50)</f>
        <v>0.41754158583518092</v>
      </c>
      <c r="D51" s="54"/>
      <c r="E51" s="54"/>
      <c r="F51" s="54"/>
      <c r="G51" s="54"/>
      <c r="H51" s="54"/>
      <c r="I51" s="54"/>
      <c r="J51" s="54"/>
      <c r="K51" s="54"/>
      <c r="L51" s="54"/>
      <c r="M51" s="54"/>
      <c r="N51" s="54"/>
    </row>
    <row r="52" spans="2:16" ht="25.5">
      <c r="B52" s="541" t="s">
        <v>299</v>
      </c>
      <c r="C52" s="99">
        <f t="shared" ref="C52:N52" si="34">+C44/C19</f>
        <v>3.6142302980808491E-2</v>
      </c>
      <c r="D52" s="99">
        <f t="shared" si="34"/>
        <v>5.3266666666666664E-2</v>
      </c>
      <c r="E52" s="99">
        <f t="shared" si="34"/>
        <v>1.9029059829059829E-2</v>
      </c>
      <c r="F52" s="99">
        <f t="shared" si="34"/>
        <v>9.3909090909090914E-2</v>
      </c>
      <c r="G52" s="99">
        <f t="shared" si="34"/>
        <v>2.1944561108777825E-2</v>
      </c>
      <c r="H52" s="99">
        <f t="shared" si="34"/>
        <v>2.1737931034482759E-2</v>
      </c>
      <c r="I52" s="99">
        <f t="shared" si="34"/>
        <v>4.0599137931034479E-2</v>
      </c>
      <c r="J52" s="99" t="e">
        <f t="shared" si="34"/>
        <v>#DIV/0!</v>
      </c>
      <c r="K52" s="99" t="e">
        <f t="shared" si="34"/>
        <v>#DIV/0!</v>
      </c>
      <c r="L52" s="99" t="e">
        <f t="shared" si="34"/>
        <v>#DIV/0!</v>
      </c>
      <c r="M52" s="99" t="e">
        <f t="shared" si="34"/>
        <v>#DIV/0!</v>
      </c>
      <c r="N52" s="99" t="e">
        <f t="shared" si="34"/>
        <v>#DIV/0!</v>
      </c>
    </row>
    <row r="53" spans="2:16" ht="25.5">
      <c r="B53" s="542" t="s">
        <v>384</v>
      </c>
      <c r="C53" s="534">
        <f>AVERAGE(G52:I52)</f>
        <v>2.809387669143169E-2</v>
      </c>
      <c r="D53" s="534"/>
      <c r="E53" s="534"/>
      <c r="F53" s="534"/>
      <c r="G53" s="534"/>
      <c r="H53" s="534"/>
      <c r="I53" s="534"/>
      <c r="J53" s="534"/>
      <c r="K53" s="534"/>
      <c r="L53" s="534"/>
      <c r="M53" s="534"/>
      <c r="N53" s="534"/>
      <c r="O53" s="534"/>
      <c r="P53" s="534"/>
    </row>
    <row r="54" spans="2:16" ht="25.5">
      <c r="B54" s="543" t="s">
        <v>176</v>
      </c>
      <c r="C54" s="355" t="e">
        <f>+C41*(100%-C50)</f>
        <v>#DIV/0!</v>
      </c>
      <c r="D54" s="355">
        <f t="shared" ref="D54:N54" si="35">+D41*(100%-D50)</f>
        <v>4.8970640583816685E-2</v>
      </c>
      <c r="E54" s="355">
        <f t="shared" si="35"/>
        <v>-5.7412016846970032E-2</v>
      </c>
      <c r="F54" s="549">
        <f t="shared" si="35"/>
        <v>1.898342078246297E-2</v>
      </c>
      <c r="G54" s="355">
        <f t="shared" si="35"/>
        <v>4.1497646244544335E-2</v>
      </c>
      <c r="H54" s="355">
        <f t="shared" si="35"/>
        <v>4.8361999731682918E-2</v>
      </c>
      <c r="I54" s="355">
        <f t="shared" si="35"/>
        <v>5.4820801707298208E-2</v>
      </c>
      <c r="J54" s="355" t="e">
        <f t="shared" si="35"/>
        <v>#DIV/0!</v>
      </c>
      <c r="K54" s="355" t="e">
        <f t="shared" si="35"/>
        <v>#DIV/0!</v>
      </c>
      <c r="L54" s="355" t="e">
        <f t="shared" si="35"/>
        <v>#DIV/0!</v>
      </c>
      <c r="M54" s="355" t="e">
        <f t="shared" si="35"/>
        <v>#DIV/0!</v>
      </c>
      <c r="N54" s="355" t="e">
        <f t="shared" si="35"/>
        <v>#DIV/0!</v>
      </c>
    </row>
    <row r="55" spans="2:16" ht="25.5">
      <c r="B55" s="542" t="s">
        <v>306</v>
      </c>
      <c r="C55" s="534">
        <f>AVERAGE(G54:I54)</f>
        <v>4.822681589450848E-2</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c r="D61" s="64">
        <v>477976464000</v>
      </c>
      <c r="E61" s="64">
        <v>514987933000</v>
      </c>
      <c r="F61" s="159">
        <v>552380098000</v>
      </c>
      <c r="G61" s="64">
        <v>716630466000</v>
      </c>
      <c r="H61" s="141">
        <v>862791484000</v>
      </c>
      <c r="I61" s="141">
        <v>812157209000</v>
      </c>
      <c r="J61" s="64"/>
      <c r="K61" s="64"/>
      <c r="L61" s="64"/>
      <c r="M61" s="64"/>
      <c r="N61" s="64"/>
    </row>
    <row r="62" spans="2:16">
      <c r="B62" s="59" t="s">
        <v>386</v>
      </c>
      <c r="C62" s="66"/>
      <c r="D62" s="66"/>
      <c r="E62" s="66"/>
      <c r="F62" s="66"/>
      <c r="G62" s="66"/>
      <c r="H62" s="160"/>
      <c r="I62" s="66"/>
      <c r="J62" s="66"/>
      <c r="K62" s="66"/>
      <c r="L62" s="66"/>
      <c r="M62" s="66"/>
      <c r="N62" s="66"/>
    </row>
    <row r="63" spans="2:16">
      <c r="B63" s="59" t="s">
        <v>387</v>
      </c>
      <c r="C63" s="66"/>
      <c r="D63" s="66"/>
      <c r="E63" s="66"/>
      <c r="F63" s="66"/>
      <c r="G63" s="66"/>
      <c r="H63" s="160"/>
      <c r="I63" s="66"/>
      <c r="J63" s="66"/>
      <c r="K63" s="66"/>
      <c r="L63" s="66"/>
      <c r="M63" s="66"/>
      <c r="N63" s="66"/>
    </row>
    <row r="64" spans="2:16">
      <c r="B64" s="59" t="s">
        <v>388</v>
      </c>
      <c r="C64" s="66"/>
      <c r="D64" s="66"/>
      <c r="E64" s="66"/>
      <c r="F64" s="66"/>
      <c r="G64" s="66"/>
      <c r="H64" s="160"/>
      <c r="I64" s="66"/>
      <c r="J64" s="66"/>
      <c r="K64" s="66"/>
      <c r="L64" s="66"/>
      <c r="M64" s="66"/>
      <c r="N64" s="66"/>
    </row>
    <row r="65" spans="2:14">
      <c r="B65" s="59" t="s">
        <v>389</v>
      </c>
      <c r="C65" s="66"/>
      <c r="D65" s="66">
        <v>203912591000</v>
      </c>
      <c r="E65" s="66">
        <v>187744396000</v>
      </c>
      <c r="F65" s="66">
        <v>170366398000</v>
      </c>
      <c r="G65" s="66">
        <v>249077401000</v>
      </c>
      <c r="H65" s="160">
        <v>317797037000</v>
      </c>
      <c r="I65" s="66">
        <v>307094957000</v>
      </c>
      <c r="J65" s="66"/>
      <c r="K65" s="66"/>
      <c r="L65" s="66"/>
      <c r="M65" s="66"/>
      <c r="N65" s="66"/>
    </row>
    <row r="66" spans="2:14">
      <c r="B66" s="59" t="s">
        <v>390</v>
      </c>
      <c r="C66" s="66"/>
      <c r="D66" s="66"/>
      <c r="E66" s="66"/>
      <c r="F66" s="66"/>
      <c r="G66" s="66"/>
      <c r="H66" s="160"/>
      <c r="I66" s="66"/>
      <c r="J66" s="66"/>
      <c r="K66" s="66"/>
      <c r="L66" s="66"/>
      <c r="M66" s="66"/>
      <c r="N66" s="66"/>
    </row>
    <row r="67" spans="2:14">
      <c r="B67" s="59" t="s">
        <v>391</v>
      </c>
      <c r="C67" s="161"/>
      <c r="D67" s="66">
        <v>215239644000</v>
      </c>
      <c r="E67" s="66">
        <v>22003921900</v>
      </c>
      <c r="F67" s="66">
        <v>220413964000</v>
      </c>
      <c r="G67" s="66">
        <v>335040762000</v>
      </c>
      <c r="H67" s="160">
        <v>404977685000</v>
      </c>
      <c r="I67" s="66">
        <v>381508724000</v>
      </c>
      <c r="J67" s="66"/>
      <c r="K67" s="66"/>
      <c r="L67" s="66"/>
      <c r="M67" s="66"/>
      <c r="N67" s="66"/>
    </row>
    <row r="68" spans="2:14">
      <c r="B68" s="59" t="s">
        <v>392</v>
      </c>
      <c r="C68" s="66"/>
      <c r="D68" s="66"/>
      <c r="E68" s="66">
        <v>0</v>
      </c>
      <c r="F68" s="66"/>
      <c r="G68" s="66"/>
      <c r="H68" s="160"/>
      <c r="I68" s="66"/>
      <c r="J68" s="66"/>
      <c r="K68" s="66"/>
      <c r="L68" s="66"/>
      <c r="M68" s="66"/>
      <c r="N68" s="66"/>
    </row>
    <row r="69" spans="2:14">
      <c r="B69" s="59" t="s">
        <v>318</v>
      </c>
      <c r="C69" s="66">
        <f t="shared" ref="C69:M69" si="36">+C61-C62-C67-C68-C66-C65-C64-C63</f>
        <v>0</v>
      </c>
      <c r="D69" s="66">
        <f t="shared" si="36"/>
        <v>58824229000</v>
      </c>
      <c r="E69" s="66">
        <f t="shared" si="36"/>
        <v>305239615100</v>
      </c>
      <c r="F69" s="66">
        <f t="shared" si="36"/>
        <v>161599736000</v>
      </c>
      <c r="G69" s="66">
        <f t="shared" si="36"/>
        <v>132512303000</v>
      </c>
      <c r="H69" s="66">
        <f t="shared" si="36"/>
        <v>140016762000</v>
      </c>
      <c r="I69" s="66">
        <f t="shared" si="36"/>
        <v>123553528000</v>
      </c>
      <c r="J69" s="66">
        <f t="shared" si="36"/>
        <v>0</v>
      </c>
      <c r="K69" s="66">
        <f t="shared" si="36"/>
        <v>0</v>
      </c>
      <c r="L69" s="66">
        <f t="shared" si="36"/>
        <v>0</v>
      </c>
      <c r="M69" s="66">
        <f t="shared" si="36"/>
        <v>0</v>
      </c>
      <c r="N69" s="66"/>
    </row>
    <row r="70" spans="2:14">
      <c r="B70" s="58" t="s">
        <v>319</v>
      </c>
      <c r="C70" s="64"/>
      <c r="D70" s="64">
        <v>539727963000</v>
      </c>
      <c r="E70" s="64">
        <v>611628280000</v>
      </c>
      <c r="F70" s="159">
        <v>619168022000</v>
      </c>
      <c r="G70" s="64">
        <v>691278217000</v>
      </c>
      <c r="H70" s="141">
        <v>740399050000</v>
      </c>
      <c r="I70" s="64">
        <v>723566621000</v>
      </c>
      <c r="J70" s="64"/>
      <c r="K70" s="64"/>
      <c r="L70" s="64"/>
      <c r="M70" s="64"/>
      <c r="N70" s="64"/>
    </row>
    <row r="71" spans="2:14">
      <c r="B71" s="59" t="s">
        <v>393</v>
      </c>
      <c r="C71" s="66"/>
      <c r="D71" s="66"/>
      <c r="E71" s="66"/>
      <c r="F71" s="66"/>
      <c r="G71" s="66"/>
      <c r="H71" s="160"/>
      <c r="I71" s="66"/>
      <c r="J71" s="66"/>
      <c r="K71" s="66"/>
      <c r="L71" s="66"/>
      <c r="M71" s="66"/>
      <c r="N71" s="66"/>
    </row>
    <row r="72" spans="2:14">
      <c r="B72" s="59" t="s">
        <v>394</v>
      </c>
      <c r="C72" s="66"/>
      <c r="D72" s="66"/>
      <c r="E72" s="66"/>
      <c r="F72" s="66"/>
      <c r="G72" s="66"/>
      <c r="H72" s="160"/>
      <c r="I72" s="66"/>
      <c r="J72" s="66"/>
      <c r="K72" s="66"/>
      <c r="L72" s="66"/>
      <c r="M72" s="66"/>
      <c r="N72" s="66"/>
    </row>
    <row r="73" spans="2:14">
      <c r="B73" s="59" t="s">
        <v>590</v>
      </c>
      <c r="C73" s="66"/>
      <c r="D73" s="66"/>
      <c r="E73" s="66"/>
      <c r="F73" s="66"/>
      <c r="G73" s="66"/>
      <c r="H73" s="160"/>
      <c r="I73" s="66"/>
      <c r="J73" s="66"/>
      <c r="K73" s="66"/>
      <c r="L73" s="66"/>
      <c r="M73" s="66"/>
      <c r="N73" s="66"/>
    </row>
    <row r="74" spans="2:14">
      <c r="B74" s="59" t="s">
        <v>396</v>
      </c>
      <c r="C74" s="66"/>
      <c r="D74" s="66"/>
      <c r="E74" s="66"/>
      <c r="F74" s="66"/>
      <c r="G74" s="66"/>
      <c r="H74" s="160"/>
      <c r="I74" s="66"/>
      <c r="J74" s="66"/>
      <c r="K74" s="66"/>
      <c r="L74" s="66"/>
      <c r="M74" s="66"/>
      <c r="N74" s="66"/>
    </row>
    <row r="75" spans="2:14">
      <c r="B75" s="59" t="s">
        <v>397</v>
      </c>
      <c r="C75" s="66"/>
      <c r="D75" s="66"/>
      <c r="E75" s="66"/>
      <c r="F75" s="66"/>
      <c r="G75" s="66"/>
      <c r="H75" s="160"/>
      <c r="I75" s="66"/>
      <c r="J75" s="66"/>
      <c r="K75" s="66"/>
      <c r="L75" s="66"/>
      <c r="M75" s="66"/>
      <c r="N75" s="66"/>
    </row>
    <row r="76" spans="2:14">
      <c r="B76" s="59" t="s">
        <v>398</v>
      </c>
      <c r="C76" s="66"/>
      <c r="D76" s="66">
        <v>416842025000</v>
      </c>
      <c r="E76" s="66">
        <v>480852508000</v>
      </c>
      <c r="F76" s="66">
        <v>477477043000</v>
      </c>
      <c r="G76" s="66">
        <v>512123356000</v>
      </c>
      <c r="H76" s="160">
        <v>555201385000</v>
      </c>
      <c r="I76" s="66">
        <v>549020918000</v>
      </c>
      <c r="J76" s="66"/>
      <c r="K76" s="66"/>
      <c r="L76" s="66"/>
      <c r="M76" s="66"/>
      <c r="N76" s="66"/>
    </row>
    <row r="77" spans="2:14">
      <c r="B77" s="59" t="s">
        <v>399</v>
      </c>
      <c r="C77" s="66"/>
      <c r="D77" s="66"/>
      <c r="E77" s="66"/>
      <c r="F77" s="66"/>
      <c r="G77" s="66"/>
      <c r="H77" s="160"/>
      <c r="I77" s="66"/>
      <c r="J77" s="66"/>
      <c r="K77" s="66"/>
      <c r="L77" s="66"/>
      <c r="M77" s="66"/>
      <c r="N77" s="66"/>
    </row>
    <row r="78" spans="2:14">
      <c r="B78" s="59" t="s">
        <v>400</v>
      </c>
      <c r="C78" s="66"/>
      <c r="D78" s="66"/>
      <c r="E78" s="66"/>
      <c r="F78" s="161"/>
      <c r="G78" s="66"/>
      <c r="H78" s="160"/>
      <c r="I78" s="66"/>
      <c r="J78" s="66"/>
      <c r="K78" s="66"/>
      <c r="L78" s="66"/>
      <c r="M78" s="66"/>
      <c r="N78" s="66"/>
    </row>
    <row r="79" spans="2:14">
      <c r="B79" s="59" t="s">
        <v>401</v>
      </c>
      <c r="C79" s="66"/>
      <c r="D79" s="66"/>
      <c r="E79" s="66"/>
      <c r="F79" s="66"/>
      <c r="G79" s="66"/>
      <c r="H79" s="160"/>
      <c r="I79" s="66"/>
      <c r="J79" s="66"/>
      <c r="K79" s="66"/>
      <c r="L79" s="66"/>
      <c r="M79" s="66"/>
      <c r="N79" s="66"/>
    </row>
    <row r="80" spans="2:14">
      <c r="B80" s="59" t="s">
        <v>328</v>
      </c>
      <c r="C80" s="66">
        <f t="shared" ref="C80:H80" si="37">+C70-C77-C78-C76-C71-C79-C75-C74-C73-C72</f>
        <v>0</v>
      </c>
      <c r="D80" s="66">
        <f t="shared" si="37"/>
        <v>122885938000</v>
      </c>
      <c r="E80" s="66">
        <f t="shared" si="37"/>
        <v>130775772000</v>
      </c>
      <c r="F80" s="66">
        <f t="shared" si="37"/>
        <v>141690979000</v>
      </c>
      <c r="G80" s="66">
        <f t="shared" si="37"/>
        <v>179154861000</v>
      </c>
      <c r="H80" s="66">
        <f t="shared" si="37"/>
        <v>185197665000</v>
      </c>
      <c r="I80" s="66">
        <f t="shared" ref="I80:M80" si="38">+I70-I77-I78-I76-I71-I79-I75-I74-I73-I72</f>
        <v>174545703000</v>
      </c>
      <c r="J80" s="66">
        <f t="shared" si="38"/>
        <v>0</v>
      </c>
      <c r="K80" s="66">
        <f t="shared" si="38"/>
        <v>0</v>
      </c>
      <c r="L80" s="66">
        <f t="shared" si="38"/>
        <v>0</v>
      </c>
      <c r="M80" s="66">
        <f t="shared" si="38"/>
        <v>0</v>
      </c>
      <c r="N80" s="66"/>
    </row>
    <row r="81" spans="2:14" ht="14.65" thickBot="1">
      <c r="B81" s="60" t="s">
        <v>329</v>
      </c>
      <c r="C81" s="70">
        <f t="shared" ref="C81:H81" si="39">+C70+C61</f>
        <v>0</v>
      </c>
      <c r="D81" s="70">
        <f t="shared" si="39"/>
        <v>1017704427000</v>
      </c>
      <c r="E81" s="70">
        <f t="shared" si="39"/>
        <v>1126616213000</v>
      </c>
      <c r="F81" s="70">
        <f t="shared" si="39"/>
        <v>1171548120000</v>
      </c>
      <c r="G81" s="70">
        <f t="shared" si="39"/>
        <v>1407908683000</v>
      </c>
      <c r="H81" s="162">
        <f t="shared" si="39"/>
        <v>1603190534000</v>
      </c>
      <c r="I81" s="162">
        <f t="shared" ref="I81:M81" si="40">+I70+I61</f>
        <v>1535723830000</v>
      </c>
      <c r="J81" s="162">
        <f t="shared" si="40"/>
        <v>0</v>
      </c>
      <c r="K81" s="162">
        <f t="shared" si="40"/>
        <v>0</v>
      </c>
      <c r="L81" s="162">
        <f t="shared" si="40"/>
        <v>0</v>
      </c>
      <c r="M81" s="162">
        <f t="shared" si="40"/>
        <v>0</v>
      </c>
      <c r="N81" s="70"/>
    </row>
    <row r="82" spans="2:14" ht="14.65" thickBot="1">
      <c r="B82" s="61"/>
      <c r="C82" s="72"/>
      <c r="D82" s="72"/>
      <c r="E82" s="72"/>
      <c r="F82" s="72"/>
      <c r="G82" s="72"/>
      <c r="H82" s="163"/>
      <c r="I82" s="72"/>
      <c r="J82" s="72"/>
      <c r="K82" s="72"/>
      <c r="L82" s="72"/>
      <c r="M82" s="72"/>
      <c r="N82" s="72"/>
    </row>
    <row r="83" spans="2:14">
      <c r="B83" s="57" t="s">
        <v>330</v>
      </c>
      <c r="C83" s="62"/>
      <c r="D83" s="62"/>
      <c r="E83" s="62"/>
      <c r="F83" s="62"/>
      <c r="G83" s="62"/>
      <c r="H83" s="164"/>
      <c r="I83" s="62"/>
      <c r="J83" s="62"/>
      <c r="K83" s="62"/>
      <c r="L83" s="62"/>
      <c r="M83" s="62"/>
      <c r="N83" s="62"/>
    </row>
    <row r="84" spans="2:14">
      <c r="B84" s="58" t="s">
        <v>310</v>
      </c>
      <c r="C84" s="64"/>
      <c r="D84" s="64">
        <v>211839226000</v>
      </c>
      <c r="E84" s="64">
        <v>202790185000</v>
      </c>
      <c r="F84" s="64">
        <v>197413356000</v>
      </c>
      <c r="G84" s="64">
        <v>324950266000</v>
      </c>
      <c r="H84" s="141">
        <v>512072844000</v>
      </c>
      <c r="I84" s="64">
        <v>407543640000</v>
      </c>
      <c r="J84" s="64"/>
      <c r="K84" s="64"/>
      <c r="L84" s="64"/>
      <c r="M84" s="64"/>
      <c r="N84" s="64"/>
    </row>
    <row r="85" spans="2:14">
      <c r="B85" s="59" t="s">
        <v>402</v>
      </c>
      <c r="C85" s="66"/>
      <c r="D85" s="66"/>
      <c r="E85" s="66"/>
      <c r="F85" s="66"/>
      <c r="G85" s="66"/>
      <c r="H85" s="160"/>
      <c r="I85" s="66"/>
      <c r="J85" s="66"/>
      <c r="K85" s="66"/>
      <c r="L85" s="66"/>
      <c r="M85" s="66"/>
      <c r="N85" s="66"/>
    </row>
    <row r="86" spans="2:14">
      <c r="B86" s="59" t="s">
        <v>403</v>
      </c>
      <c r="C86" s="66"/>
      <c r="D86" s="66"/>
      <c r="E86" s="66"/>
      <c r="F86" s="66"/>
      <c r="G86" s="66"/>
      <c r="H86" s="160"/>
      <c r="I86" s="66"/>
      <c r="J86" s="66"/>
      <c r="K86" s="66"/>
      <c r="L86" s="66"/>
      <c r="M86" s="66"/>
      <c r="N86" s="66"/>
    </row>
    <row r="87" spans="2:14">
      <c r="B87" s="59" t="s">
        <v>404</v>
      </c>
      <c r="C87" s="66"/>
      <c r="D87" s="66"/>
      <c r="E87" s="66"/>
      <c r="F87" s="66"/>
      <c r="G87" s="66"/>
      <c r="H87" s="160"/>
      <c r="I87" s="66"/>
      <c r="J87" s="66"/>
      <c r="K87" s="66"/>
      <c r="L87" s="66"/>
      <c r="M87" s="66"/>
      <c r="N87" s="66"/>
    </row>
    <row r="88" spans="2:14">
      <c r="B88" s="59" t="s">
        <v>405</v>
      </c>
      <c r="C88" s="66"/>
      <c r="D88" s="66">
        <v>112877694000</v>
      </c>
      <c r="E88" s="66">
        <v>98851803000</v>
      </c>
      <c r="F88" s="66">
        <v>86408660000</v>
      </c>
      <c r="G88" s="66">
        <v>169490096000</v>
      </c>
      <c r="H88" s="160">
        <v>212930933000</v>
      </c>
      <c r="I88" s="66">
        <v>195515431000</v>
      </c>
      <c r="J88" s="66"/>
      <c r="K88" s="66"/>
      <c r="L88" s="66"/>
      <c r="M88" s="66"/>
      <c r="N88" s="66"/>
    </row>
    <row r="89" spans="2:14">
      <c r="B89" s="59" t="s">
        <v>406</v>
      </c>
      <c r="C89" s="66"/>
      <c r="D89" s="66"/>
      <c r="E89" s="66"/>
      <c r="F89" s="66"/>
      <c r="G89" s="66"/>
      <c r="H89" s="160"/>
      <c r="I89" s="66"/>
      <c r="J89" s="66"/>
      <c r="K89" s="66"/>
      <c r="L89" s="66"/>
      <c r="M89" s="66"/>
      <c r="N89" s="66"/>
    </row>
    <row r="90" spans="2:14">
      <c r="B90" s="59" t="s">
        <v>407</v>
      </c>
      <c r="C90" s="66"/>
      <c r="D90" s="66"/>
      <c r="E90" s="66"/>
      <c r="F90" s="66"/>
      <c r="G90" s="66"/>
      <c r="H90" s="160"/>
      <c r="I90" s="66"/>
      <c r="J90" s="66"/>
      <c r="K90" s="66"/>
      <c r="L90" s="66"/>
      <c r="M90" s="66"/>
      <c r="N90" s="66"/>
    </row>
    <row r="91" spans="2:14">
      <c r="B91" s="59" t="s">
        <v>408</v>
      </c>
      <c r="C91" s="66"/>
      <c r="D91" s="66"/>
      <c r="E91" s="66"/>
      <c r="F91" s="66"/>
      <c r="G91" s="66"/>
      <c r="H91" s="160"/>
      <c r="I91" s="66"/>
      <c r="J91" s="66"/>
      <c r="K91" s="66"/>
      <c r="L91" s="66"/>
      <c r="M91" s="66"/>
      <c r="N91" s="66"/>
    </row>
    <row r="92" spans="2:14">
      <c r="B92" s="59" t="s">
        <v>409</v>
      </c>
      <c r="C92" s="66"/>
      <c r="D92" s="66"/>
      <c r="E92" s="66"/>
      <c r="F92" s="66"/>
      <c r="G92" s="66"/>
      <c r="H92" s="160"/>
      <c r="I92" s="66"/>
      <c r="J92" s="66"/>
      <c r="K92" s="66"/>
      <c r="L92" s="66"/>
      <c r="M92" s="66"/>
      <c r="N92" s="66"/>
    </row>
    <row r="93" spans="2:14">
      <c r="B93" s="59" t="s">
        <v>410</v>
      </c>
      <c r="C93" s="66">
        <f t="shared" ref="C93:M93" si="41">+C84-C85-C91-C92-C90-C89-C88-C87-C86</f>
        <v>0</v>
      </c>
      <c r="D93" s="66">
        <f t="shared" si="41"/>
        <v>98961532000</v>
      </c>
      <c r="E93" s="66">
        <f t="shared" si="41"/>
        <v>103938382000</v>
      </c>
      <c r="F93" s="66">
        <f t="shared" si="41"/>
        <v>111004696000</v>
      </c>
      <c r="G93" s="66">
        <f t="shared" si="41"/>
        <v>155460170000</v>
      </c>
      <c r="H93" s="66">
        <f t="shared" si="41"/>
        <v>299141911000</v>
      </c>
      <c r="I93" s="66">
        <f t="shared" si="41"/>
        <v>212028209000</v>
      </c>
      <c r="J93" s="66">
        <f t="shared" si="41"/>
        <v>0</v>
      </c>
      <c r="K93" s="66">
        <f t="shared" si="41"/>
        <v>0</v>
      </c>
      <c r="L93" s="66">
        <f t="shared" si="41"/>
        <v>0</v>
      </c>
      <c r="M93" s="66">
        <f t="shared" si="41"/>
        <v>0</v>
      </c>
      <c r="N93" s="66"/>
    </row>
    <row r="94" spans="2:14">
      <c r="B94" s="58" t="s">
        <v>319</v>
      </c>
      <c r="C94" s="64"/>
      <c r="D94" s="64">
        <v>276875103000</v>
      </c>
      <c r="E94" s="64">
        <v>362031787000</v>
      </c>
      <c r="F94" s="64">
        <v>407760240000</v>
      </c>
      <c r="G94" s="64">
        <v>435687252000</v>
      </c>
      <c r="H94" s="141">
        <v>413624997000</v>
      </c>
      <c r="I94" s="64">
        <v>436806028000</v>
      </c>
      <c r="J94" s="64"/>
      <c r="K94" s="64"/>
      <c r="L94" s="64"/>
      <c r="M94" s="64"/>
      <c r="N94" s="64"/>
    </row>
    <row r="95" spans="2:14">
      <c r="B95" s="59" t="s">
        <v>411</v>
      </c>
      <c r="C95" s="66"/>
      <c r="D95" s="66"/>
      <c r="E95" s="66"/>
      <c r="F95" s="66"/>
      <c r="G95" s="66"/>
      <c r="H95" s="160"/>
      <c r="I95" s="66"/>
      <c r="J95" s="66"/>
      <c r="K95" s="66"/>
      <c r="L95" s="66"/>
      <c r="M95" s="66"/>
      <c r="N95" s="66"/>
    </row>
    <row r="96" spans="2:14">
      <c r="B96" s="59" t="s">
        <v>412</v>
      </c>
      <c r="C96" s="66"/>
      <c r="D96" s="66"/>
      <c r="E96" s="66"/>
      <c r="F96" s="66"/>
      <c r="G96" s="66"/>
      <c r="H96" s="160"/>
      <c r="I96" s="66"/>
      <c r="J96" s="66"/>
      <c r="K96" s="66"/>
      <c r="L96" s="66"/>
      <c r="M96" s="66"/>
      <c r="N96" s="66"/>
    </row>
    <row r="97" spans="2:14">
      <c r="B97" s="59" t="s">
        <v>413</v>
      </c>
      <c r="C97" s="66"/>
      <c r="D97" s="66"/>
      <c r="E97" s="66"/>
      <c r="F97" s="66"/>
      <c r="G97" s="66"/>
      <c r="H97" s="160"/>
      <c r="I97" s="66"/>
      <c r="J97" s="66"/>
      <c r="K97" s="66"/>
      <c r="L97" s="66"/>
      <c r="M97" s="66"/>
      <c r="N97" s="66"/>
    </row>
    <row r="98" spans="2:14">
      <c r="B98" s="59" t="s">
        <v>414</v>
      </c>
      <c r="C98" s="66"/>
      <c r="D98" s="66"/>
      <c r="E98" s="66"/>
      <c r="F98" s="66"/>
      <c r="G98" s="66"/>
      <c r="H98" s="160"/>
      <c r="I98" s="66"/>
      <c r="J98" s="66"/>
      <c r="K98" s="66"/>
      <c r="L98" s="66"/>
      <c r="M98" s="66"/>
      <c r="N98" s="66"/>
    </row>
    <row r="99" spans="2:14">
      <c r="B99" s="59" t="s">
        <v>341</v>
      </c>
      <c r="C99" s="66">
        <f t="shared" ref="C99:H99" si="42">+C94-C95-C97-C98-C96</f>
        <v>0</v>
      </c>
      <c r="D99" s="66">
        <f t="shared" si="42"/>
        <v>276875103000</v>
      </c>
      <c r="E99" s="66">
        <f t="shared" si="42"/>
        <v>362031787000</v>
      </c>
      <c r="F99" s="66">
        <f t="shared" si="42"/>
        <v>407760240000</v>
      </c>
      <c r="G99" s="66">
        <f t="shared" si="42"/>
        <v>435687252000</v>
      </c>
      <c r="H99" s="66">
        <f t="shared" si="42"/>
        <v>413624997000</v>
      </c>
      <c r="I99" s="66">
        <f t="shared" ref="I99:M99" si="43">+I94-I95-I97-I98-I96</f>
        <v>436806028000</v>
      </c>
      <c r="J99" s="66">
        <f t="shared" si="43"/>
        <v>0</v>
      </c>
      <c r="K99" s="66">
        <f t="shared" si="43"/>
        <v>0</v>
      </c>
      <c r="L99" s="66">
        <f t="shared" si="43"/>
        <v>0</v>
      </c>
      <c r="M99" s="66">
        <f t="shared" si="43"/>
        <v>0</v>
      </c>
      <c r="N99" s="66"/>
    </row>
    <row r="100" spans="2:14" ht="14.65" thickBot="1">
      <c r="B100" s="60" t="s">
        <v>342</v>
      </c>
      <c r="C100" s="70">
        <f t="shared" ref="C100:H100" si="44">+C94+C84</f>
        <v>0</v>
      </c>
      <c r="D100" s="70">
        <f t="shared" si="44"/>
        <v>488714329000</v>
      </c>
      <c r="E100" s="70">
        <f t="shared" si="44"/>
        <v>564821972000</v>
      </c>
      <c r="F100" s="70">
        <f t="shared" si="44"/>
        <v>605173596000</v>
      </c>
      <c r="G100" s="70">
        <f t="shared" si="44"/>
        <v>760637518000</v>
      </c>
      <c r="H100" s="162">
        <f t="shared" si="44"/>
        <v>925697841000</v>
      </c>
      <c r="I100" s="162">
        <f t="shared" ref="I100:M100" si="45">+I94+I84</f>
        <v>844349668000</v>
      </c>
      <c r="J100" s="162">
        <f t="shared" si="45"/>
        <v>0</v>
      </c>
      <c r="K100" s="162">
        <f t="shared" si="45"/>
        <v>0</v>
      </c>
      <c r="L100" s="162">
        <f t="shared" si="45"/>
        <v>0</v>
      </c>
      <c r="M100" s="162">
        <f t="shared" si="45"/>
        <v>0</v>
      </c>
      <c r="N100" s="70"/>
    </row>
    <row r="101" spans="2:14" ht="14.65" thickBot="1">
      <c r="B101" s="61"/>
      <c r="C101" s="61"/>
      <c r="D101" s="61"/>
      <c r="E101" s="61"/>
      <c r="F101" s="61"/>
      <c r="G101" s="61"/>
      <c r="H101" s="61"/>
      <c r="I101" s="61"/>
      <c r="J101" s="61"/>
      <c r="K101" s="61"/>
      <c r="L101" s="61"/>
      <c r="M101" s="61"/>
      <c r="N101" s="61"/>
    </row>
    <row r="102" spans="2:14">
      <c r="B102" s="57" t="s">
        <v>343</v>
      </c>
      <c r="C102" s="62"/>
      <c r="D102" s="62"/>
      <c r="E102" s="62"/>
      <c r="F102" s="62"/>
      <c r="G102" s="62"/>
      <c r="H102" s="164"/>
      <c r="I102" s="62"/>
      <c r="J102" s="62"/>
      <c r="K102" s="62"/>
      <c r="L102" s="62"/>
      <c r="M102" s="62"/>
      <c r="N102" s="62"/>
    </row>
    <row r="103" spans="2:14">
      <c r="B103" s="59" t="s">
        <v>415</v>
      </c>
      <c r="C103" s="160"/>
      <c r="D103" s="160">
        <v>23024953000</v>
      </c>
      <c r="E103" s="160">
        <v>23024953000</v>
      </c>
      <c r="F103" s="160">
        <v>23024953000</v>
      </c>
      <c r="G103" s="160">
        <v>23024953000</v>
      </c>
      <c r="H103" s="160">
        <v>23024953000</v>
      </c>
      <c r="I103" s="160">
        <v>23024953000</v>
      </c>
      <c r="J103" s="160"/>
      <c r="K103" s="160"/>
      <c r="L103" s="160"/>
      <c r="M103" s="160"/>
      <c r="N103" s="160"/>
    </row>
    <row r="104" spans="2:14">
      <c r="B104" s="59" t="s">
        <v>416</v>
      </c>
      <c r="C104" s="66"/>
      <c r="D104" s="66">
        <v>345911855000</v>
      </c>
      <c r="E104" s="66">
        <v>358861133000</v>
      </c>
      <c r="F104" s="66">
        <v>370563674000</v>
      </c>
      <c r="G104" s="66">
        <v>387739981000</v>
      </c>
      <c r="H104" s="160">
        <v>408367236000</v>
      </c>
      <c r="I104" s="66">
        <v>436616014000</v>
      </c>
      <c r="J104" s="66"/>
      <c r="K104" s="66"/>
      <c r="L104" s="66"/>
      <c r="M104" s="66"/>
      <c r="N104" s="66"/>
    </row>
    <row r="105" spans="2:14">
      <c r="B105" s="59" t="s">
        <v>345</v>
      </c>
      <c r="C105" s="66"/>
      <c r="D105" s="66">
        <v>6298058000</v>
      </c>
      <c r="E105" s="66">
        <v>19828577000</v>
      </c>
      <c r="F105" s="66">
        <v>10760092000</v>
      </c>
      <c r="G105" s="66">
        <v>60137022000</v>
      </c>
      <c r="H105" s="160">
        <v>62150242000</v>
      </c>
      <c r="I105" s="66">
        <v>58376627000</v>
      </c>
      <c r="J105" s="66"/>
      <c r="K105" s="66"/>
      <c r="L105" s="66"/>
      <c r="M105" s="66"/>
      <c r="N105" s="66"/>
    </row>
    <row r="106" spans="2:14">
      <c r="B106" s="59" t="s">
        <v>419</v>
      </c>
      <c r="C106" s="66"/>
      <c r="D106" s="66">
        <v>153755232000</v>
      </c>
      <c r="E106" s="66">
        <v>160079578000</v>
      </c>
      <c r="F106" s="66">
        <v>162025805000</v>
      </c>
      <c r="G106" s="66">
        <v>176369209000</v>
      </c>
      <c r="H106" s="160">
        <v>183950262000</v>
      </c>
      <c r="I106" s="66">
        <v>173356568000</v>
      </c>
      <c r="J106" s="66"/>
      <c r="K106" s="66"/>
      <c r="L106" s="66"/>
      <c r="M106" s="66"/>
      <c r="N106" s="66"/>
    </row>
    <row r="107" spans="2:14" ht="14.65" thickBot="1">
      <c r="B107" s="60" t="s">
        <v>420</v>
      </c>
      <c r="C107" s="70">
        <f t="shared" ref="C107:F107" si="46">+C103+C105+C104</f>
        <v>0</v>
      </c>
      <c r="D107" s="70">
        <f t="shared" si="46"/>
        <v>375234866000</v>
      </c>
      <c r="E107" s="70">
        <f t="shared" si="46"/>
        <v>401714663000</v>
      </c>
      <c r="F107" s="70">
        <f t="shared" si="46"/>
        <v>404348719000</v>
      </c>
      <c r="G107" s="70">
        <f>+G103+G105+G104</f>
        <v>470901956000</v>
      </c>
      <c r="H107" s="70">
        <f>+H103+H105+H104</f>
        <v>493542431000</v>
      </c>
      <c r="I107" s="70">
        <f t="shared" ref="I107:M107" si="47">+I103+I105+I104</f>
        <v>518017594000</v>
      </c>
      <c r="J107" s="70">
        <f t="shared" si="47"/>
        <v>0</v>
      </c>
      <c r="K107" s="70">
        <f t="shared" si="47"/>
        <v>0</v>
      </c>
      <c r="L107" s="70">
        <f t="shared" si="47"/>
        <v>0</v>
      </c>
      <c r="M107" s="70">
        <f t="shared" si="47"/>
        <v>0</v>
      </c>
      <c r="N107" s="70"/>
    </row>
    <row r="108" spans="2:14" ht="14.65" thickBot="1">
      <c r="B108" s="60" t="s">
        <v>347</v>
      </c>
      <c r="C108" s="70">
        <f>+C107+C106</f>
        <v>0</v>
      </c>
      <c r="D108" s="70">
        <f t="shared" ref="D108:N108" si="48">+D107+D106</f>
        <v>528990098000</v>
      </c>
      <c r="E108" s="70">
        <f t="shared" si="48"/>
        <v>561794241000</v>
      </c>
      <c r="F108" s="70">
        <f t="shared" si="48"/>
        <v>566374524000</v>
      </c>
      <c r="G108" s="70">
        <f t="shared" si="48"/>
        <v>647271165000</v>
      </c>
      <c r="H108" s="70">
        <f t="shared" si="48"/>
        <v>677492693000</v>
      </c>
      <c r="I108" s="70">
        <f t="shared" ref="I108:M108" si="49">+I107+I106</f>
        <v>691374162000</v>
      </c>
      <c r="J108" s="70">
        <f t="shared" si="49"/>
        <v>0</v>
      </c>
      <c r="K108" s="70">
        <f t="shared" si="49"/>
        <v>0</v>
      </c>
      <c r="L108" s="70">
        <f t="shared" si="49"/>
        <v>0</v>
      </c>
      <c r="M108" s="70">
        <f t="shared" si="49"/>
        <v>0</v>
      </c>
      <c r="N108" s="70">
        <f t="shared" si="48"/>
        <v>0</v>
      </c>
    </row>
    <row r="110" spans="2:14" ht="14.65" thickBot="1">
      <c r="B110" s="75" t="s">
        <v>348</v>
      </c>
    </row>
    <row r="111" spans="2:14" ht="14.65" thickBot="1">
      <c r="B111" s="82" t="s">
        <v>308</v>
      </c>
      <c r="C111" s="88">
        <v>2017</v>
      </c>
      <c r="D111" s="88">
        <v>2018</v>
      </c>
      <c r="E111" s="88">
        <v>2019</v>
      </c>
      <c r="F111" s="88">
        <v>2020</v>
      </c>
      <c r="G111" s="88">
        <v>2021</v>
      </c>
      <c r="H111" s="88">
        <v>2022</v>
      </c>
      <c r="I111" s="88">
        <v>2023</v>
      </c>
      <c r="J111" s="88">
        <v>2024</v>
      </c>
      <c r="K111" s="88">
        <v>2025</v>
      </c>
      <c r="L111" s="88">
        <v>2026</v>
      </c>
      <c r="M111" s="88">
        <v>2027</v>
      </c>
      <c r="N111" s="88">
        <v>2028</v>
      </c>
    </row>
    <row r="112" spans="2:14">
      <c r="B112" s="83" t="s">
        <v>349</v>
      </c>
      <c r="C112" s="90"/>
      <c r="D112" s="90">
        <v>752690495000</v>
      </c>
      <c r="E112" s="90">
        <v>755604545000</v>
      </c>
      <c r="F112" s="90">
        <v>779181696000</v>
      </c>
      <c r="G112" s="90">
        <v>882369637000</v>
      </c>
      <c r="H112" s="90">
        <v>1149631195000</v>
      </c>
      <c r="I112" s="90">
        <v>1171430209000</v>
      </c>
      <c r="J112" s="90"/>
      <c r="K112" s="90"/>
      <c r="L112" s="90"/>
      <c r="M112" s="90"/>
      <c r="N112" s="90"/>
    </row>
    <row r="113" spans="2:14">
      <c r="B113" s="85" t="s">
        <v>534</v>
      </c>
      <c r="C113" s="66"/>
      <c r="D113" s="66"/>
      <c r="E113" s="66"/>
      <c r="F113" s="66"/>
      <c r="G113" s="66"/>
      <c r="H113" s="66"/>
      <c r="I113" s="66"/>
      <c r="J113" s="66"/>
      <c r="K113" s="66"/>
      <c r="L113" s="66"/>
      <c r="M113" s="66"/>
      <c r="N113" s="66"/>
    </row>
    <row r="114" spans="2:14">
      <c r="B114" s="86" t="s">
        <v>422</v>
      </c>
      <c r="C114" s="64">
        <f t="shared" ref="C114" si="50">+C112+C113</f>
        <v>0</v>
      </c>
      <c r="D114" s="64">
        <v>170255238000</v>
      </c>
      <c r="E114" s="64">
        <v>178073644000</v>
      </c>
      <c r="F114" s="64">
        <v>176000199000</v>
      </c>
      <c r="G114" s="64">
        <v>196240666000</v>
      </c>
      <c r="H114" s="64">
        <v>224425123000</v>
      </c>
      <c r="I114" s="64">
        <v>217349682000</v>
      </c>
      <c r="J114" s="64"/>
      <c r="K114" s="64"/>
      <c r="L114" s="64"/>
      <c r="M114" s="64"/>
      <c r="N114" s="64"/>
    </row>
    <row r="115" spans="2:14">
      <c r="B115" s="85" t="s">
        <v>592</v>
      </c>
      <c r="C115" s="64"/>
      <c r="D115" s="64"/>
      <c r="E115" s="64"/>
      <c r="F115" s="117"/>
      <c r="G115" s="117"/>
      <c r="H115" s="117"/>
      <c r="I115" s="117"/>
      <c r="J115" s="117"/>
      <c r="K115" s="117"/>
      <c r="L115" s="117"/>
      <c r="M115" s="117"/>
      <c r="N115" s="117"/>
    </row>
    <row r="116" spans="2:14">
      <c r="B116" s="85" t="s">
        <v>536</v>
      </c>
      <c r="C116" s="64"/>
      <c r="D116" s="64"/>
      <c r="E116" s="64"/>
      <c r="F116" s="117"/>
      <c r="G116" s="117"/>
      <c r="H116" s="117"/>
      <c r="I116" s="117"/>
      <c r="J116" s="117"/>
      <c r="K116" s="117"/>
      <c r="L116" s="117"/>
      <c r="M116" s="117"/>
      <c r="N116" s="117"/>
    </row>
    <row r="117" spans="2:14">
      <c r="B117" s="85" t="s">
        <v>537</v>
      </c>
      <c r="C117" s="64"/>
      <c r="D117" s="64"/>
      <c r="E117" s="64"/>
      <c r="F117" s="117"/>
      <c r="G117" s="117"/>
      <c r="H117" s="117"/>
      <c r="I117" s="117"/>
      <c r="J117" s="117"/>
      <c r="K117" s="117"/>
      <c r="L117" s="117"/>
      <c r="M117" s="117"/>
      <c r="N117" s="117"/>
    </row>
    <row r="118" spans="2:14">
      <c r="B118" s="85" t="s">
        <v>593</v>
      </c>
      <c r="C118" s="66"/>
      <c r="D118" s="66"/>
      <c r="E118" s="66"/>
      <c r="F118" s="117"/>
      <c r="G118" s="117"/>
      <c r="H118" s="117"/>
      <c r="I118" s="117"/>
      <c r="J118" s="117"/>
      <c r="K118" s="117"/>
      <c r="L118" s="117"/>
      <c r="M118" s="117"/>
      <c r="N118" s="117"/>
    </row>
    <row r="119" spans="2:14">
      <c r="B119" s="86" t="s">
        <v>428</v>
      </c>
      <c r="C119" s="64">
        <f t="shared" ref="C119" si="51">+C114+C118+C115+C116+C117</f>
        <v>0</v>
      </c>
      <c r="D119" s="64">
        <v>70595864000</v>
      </c>
      <c r="E119" s="64">
        <v>67158142000</v>
      </c>
      <c r="F119" s="64">
        <v>60625099000</v>
      </c>
      <c r="G119" s="64">
        <v>71582931000</v>
      </c>
      <c r="H119" s="64">
        <v>82089619000</v>
      </c>
      <c r="I119" s="64">
        <v>84760534000</v>
      </c>
      <c r="J119" s="64">
        <f t="shared" ref="J119:K119" si="52">+J114+J118+J115+J116+J117</f>
        <v>0</v>
      </c>
      <c r="K119" s="64">
        <f t="shared" si="52"/>
        <v>0</v>
      </c>
      <c r="L119" s="64"/>
      <c r="M119" s="64"/>
      <c r="N119" s="64"/>
    </row>
    <row r="120" spans="2:14">
      <c r="B120" s="85" t="s">
        <v>429</v>
      </c>
      <c r="C120" s="66"/>
      <c r="D120" s="66"/>
      <c r="E120" s="66"/>
      <c r="F120" s="66"/>
      <c r="G120" s="131"/>
      <c r="H120" s="131"/>
      <c r="I120" s="131"/>
      <c r="J120" s="131"/>
      <c r="K120" s="131"/>
      <c r="L120" s="131"/>
      <c r="M120" s="131"/>
      <c r="N120" s="131"/>
    </row>
    <row r="121" spans="2:14">
      <c r="B121" s="85" t="s">
        <v>430</v>
      </c>
      <c r="C121" s="66"/>
      <c r="D121" s="66"/>
      <c r="E121" s="66"/>
      <c r="F121" s="66"/>
      <c r="G121" s="131"/>
      <c r="H121" s="131"/>
      <c r="I121" s="131"/>
      <c r="J121" s="131"/>
      <c r="K121" s="131"/>
      <c r="L121" s="131"/>
      <c r="M121" s="131"/>
      <c r="N121" s="131"/>
    </row>
    <row r="122" spans="2:14">
      <c r="B122" s="85" t="s">
        <v>431</v>
      </c>
      <c r="C122" s="66"/>
      <c r="D122" s="66"/>
      <c r="E122" s="66"/>
      <c r="F122" s="66"/>
      <c r="G122" s="131"/>
      <c r="H122" s="131"/>
      <c r="I122" s="131"/>
      <c r="J122" s="131"/>
      <c r="K122" s="131"/>
      <c r="L122" s="131"/>
      <c r="M122" s="131"/>
      <c r="N122" s="131"/>
    </row>
    <row r="123" spans="2:14">
      <c r="B123" s="85" t="s">
        <v>432</v>
      </c>
      <c r="C123" s="66"/>
      <c r="D123" s="66"/>
      <c r="E123" s="66"/>
      <c r="F123" s="66"/>
      <c r="G123" s="131"/>
      <c r="H123" s="131"/>
      <c r="I123" s="131"/>
      <c r="J123" s="131"/>
      <c r="K123" s="131"/>
      <c r="L123" s="131"/>
      <c r="M123" s="131"/>
      <c r="N123" s="131"/>
    </row>
    <row r="124" spans="2:14">
      <c r="B124" s="85" t="s">
        <v>433</v>
      </c>
      <c r="C124" s="66"/>
      <c r="D124" s="66"/>
      <c r="E124" s="66"/>
      <c r="F124" s="66"/>
      <c r="G124" s="131"/>
      <c r="H124" s="131"/>
      <c r="I124" s="131"/>
      <c r="J124" s="131"/>
      <c r="K124" s="131"/>
      <c r="L124" s="131"/>
      <c r="M124" s="131"/>
      <c r="N124" s="131"/>
    </row>
    <row r="125" spans="2:14">
      <c r="B125" s="86" t="s">
        <v>362</v>
      </c>
      <c r="C125" s="64">
        <f t="shared" ref="C125" si="53">+C119+C120+C121+C122+C123+C124</f>
        <v>0</v>
      </c>
      <c r="D125" s="64">
        <v>50609285000</v>
      </c>
      <c r="E125" s="64">
        <v>47255947000</v>
      </c>
      <c r="F125" s="64">
        <v>36185880000</v>
      </c>
      <c r="G125" s="64">
        <v>56374944000</v>
      </c>
      <c r="H125" s="64">
        <v>54636079000</v>
      </c>
      <c r="I125" s="64">
        <v>55475679000</v>
      </c>
      <c r="J125" s="64">
        <f t="shared" ref="J125:L125" si="54">+J119+J120+J121+J122+J123+J124</f>
        <v>0</v>
      </c>
      <c r="K125" s="64">
        <f t="shared" si="54"/>
        <v>0</v>
      </c>
      <c r="L125" s="64">
        <f t="shared" si="54"/>
        <v>0</v>
      </c>
      <c r="M125" s="64"/>
      <c r="N125" s="64"/>
    </row>
    <row r="126" spans="2:14">
      <c r="B126" s="85" t="s">
        <v>363</v>
      </c>
      <c r="C126" s="66"/>
      <c r="D126" s="66"/>
      <c r="E126" s="66"/>
      <c r="F126" s="66">
        <v>-5891565000</v>
      </c>
      <c r="G126" s="91">
        <v>-10532770000</v>
      </c>
      <c r="H126" s="91">
        <v>-5101445000</v>
      </c>
      <c r="I126" s="91">
        <v>-11315317000</v>
      </c>
      <c r="J126" s="91"/>
      <c r="K126" s="91"/>
      <c r="L126" s="91"/>
      <c r="M126" s="91"/>
      <c r="N126" s="91"/>
    </row>
    <row r="127" spans="2:14">
      <c r="B127" s="84" t="s">
        <v>365</v>
      </c>
      <c r="C127" s="130">
        <f t="shared" ref="C127:G127" si="55">+C125+C126</f>
        <v>0</v>
      </c>
      <c r="D127" s="130">
        <f t="shared" si="55"/>
        <v>50609285000</v>
      </c>
      <c r="E127" s="130">
        <f t="shared" si="55"/>
        <v>47255947000</v>
      </c>
      <c r="F127" s="130">
        <f t="shared" si="55"/>
        <v>30294315000</v>
      </c>
      <c r="G127" s="130">
        <f t="shared" si="55"/>
        <v>45842174000</v>
      </c>
      <c r="H127" s="130">
        <f>+H125+H126</f>
        <v>49534634000</v>
      </c>
      <c r="I127" s="130">
        <f t="shared" ref="I127:L127" si="56">+I125+I126</f>
        <v>44160362000</v>
      </c>
      <c r="J127" s="130">
        <f t="shared" si="56"/>
        <v>0</v>
      </c>
      <c r="K127" s="130">
        <f t="shared" si="56"/>
        <v>0</v>
      </c>
      <c r="L127" s="130">
        <f t="shared" si="56"/>
        <v>0</v>
      </c>
      <c r="M127" s="130"/>
      <c r="N127" s="130"/>
    </row>
    <row r="128" spans="2:14" ht="28.5">
      <c r="B128" s="87" t="s">
        <v>435</v>
      </c>
      <c r="C128" s="66"/>
      <c r="D128" s="66">
        <v>13855660000</v>
      </c>
      <c r="E128" s="66">
        <v>10162926000</v>
      </c>
      <c r="F128" s="66">
        <v>8460095000</v>
      </c>
      <c r="G128" s="91">
        <v>11489479000</v>
      </c>
      <c r="H128" s="91">
        <v>8279606000</v>
      </c>
      <c r="I128" s="91">
        <v>-3172499000</v>
      </c>
      <c r="J128" s="91"/>
      <c r="K128" s="91"/>
      <c r="L128" s="91"/>
      <c r="M128" s="91"/>
      <c r="N128" s="91"/>
    </row>
    <row r="129" spans="2:14">
      <c r="B129" s="84" t="s">
        <v>436</v>
      </c>
      <c r="C129" s="66">
        <f>+C127-C128</f>
        <v>0</v>
      </c>
      <c r="D129" s="66">
        <f t="shared" ref="D129:N129" si="57">+D127-D128</f>
        <v>36753625000</v>
      </c>
      <c r="E129" s="66">
        <f t="shared" si="57"/>
        <v>37093021000</v>
      </c>
      <c r="F129" s="66">
        <f t="shared" si="57"/>
        <v>21834220000</v>
      </c>
      <c r="G129" s="66">
        <f t="shared" si="57"/>
        <v>34352695000</v>
      </c>
      <c r="H129" s="66">
        <f t="shared" si="57"/>
        <v>41255028000</v>
      </c>
      <c r="I129" s="66">
        <f t="shared" ref="I129:L129" si="58">+I127-I128</f>
        <v>47332861000</v>
      </c>
      <c r="J129" s="66">
        <f t="shared" si="58"/>
        <v>0</v>
      </c>
      <c r="K129" s="66">
        <f t="shared" si="58"/>
        <v>0</v>
      </c>
      <c r="L129" s="66">
        <f t="shared" si="58"/>
        <v>0</v>
      </c>
      <c r="M129" s="66">
        <f t="shared" si="57"/>
        <v>0</v>
      </c>
      <c r="N129" s="66">
        <f t="shared" si="57"/>
        <v>0</v>
      </c>
    </row>
    <row r="130" spans="2:14">
      <c r="B130" s="84" t="s">
        <v>366</v>
      </c>
      <c r="C130" s="111"/>
      <c r="D130" s="111">
        <v>556.55999999999995</v>
      </c>
      <c r="E130" s="111">
        <v>591.33000000000004</v>
      </c>
      <c r="F130" s="134">
        <v>498.5</v>
      </c>
      <c r="G130" s="134">
        <v>784.31</v>
      </c>
      <c r="H130" s="134">
        <v>941.9</v>
      </c>
      <c r="I130" s="134">
        <v>1080.6600000000001</v>
      </c>
      <c r="J130" s="134"/>
      <c r="K130" s="134"/>
      <c r="L130" s="134"/>
      <c r="M130" s="134"/>
      <c r="N130" s="134"/>
    </row>
    <row r="132" spans="2:14" ht="14.65" thickBot="1">
      <c r="B132" s="75" t="s">
        <v>367</v>
      </c>
    </row>
    <row r="133" spans="2:14" ht="14.65" thickBot="1">
      <c r="B133" s="82" t="s">
        <v>308</v>
      </c>
      <c r="C133" s="88">
        <v>2017</v>
      </c>
      <c r="D133" s="88">
        <v>2018</v>
      </c>
      <c r="E133" s="88">
        <v>2019</v>
      </c>
      <c r="F133" s="88">
        <v>2020</v>
      </c>
      <c r="G133" s="88">
        <v>2021</v>
      </c>
      <c r="H133" s="88">
        <v>2022</v>
      </c>
      <c r="I133" s="88">
        <v>2023</v>
      </c>
      <c r="J133" s="88">
        <v>2024</v>
      </c>
      <c r="K133" s="88">
        <v>2025</v>
      </c>
      <c r="L133" s="88">
        <v>2026</v>
      </c>
      <c r="M133" s="88">
        <v>2027</v>
      </c>
      <c r="N133" s="88">
        <v>2028</v>
      </c>
    </row>
    <row r="134" spans="2:14">
      <c r="B134" s="83" t="s">
        <v>368</v>
      </c>
      <c r="C134" s="90"/>
      <c r="D134" s="90">
        <v>55990872000</v>
      </c>
      <c r="E134" s="90">
        <v>76142566000</v>
      </c>
      <c r="F134" s="90">
        <v>65261701000</v>
      </c>
      <c r="G134" s="90">
        <v>760889000</v>
      </c>
      <c r="H134" s="90">
        <v>21613588000</v>
      </c>
      <c r="I134" s="90">
        <v>147588381000</v>
      </c>
      <c r="J134" s="90"/>
      <c r="K134" s="90"/>
      <c r="L134" s="90"/>
      <c r="M134" s="90"/>
      <c r="N134" s="90"/>
    </row>
    <row r="135" spans="2:14">
      <c r="B135" s="86" t="s">
        <v>369</v>
      </c>
      <c r="C135" s="91"/>
      <c r="D135" s="93">
        <v>-47189562000</v>
      </c>
      <c r="E135" s="93">
        <v>-84368161000</v>
      </c>
      <c r="F135" s="66">
        <v>-41345916000</v>
      </c>
      <c r="G135" s="93">
        <v>-63007076000</v>
      </c>
      <c r="H135" s="66">
        <v>-76718222000</v>
      </c>
      <c r="I135" s="66">
        <v>-46968110000</v>
      </c>
      <c r="J135" s="66"/>
      <c r="K135" s="66"/>
      <c r="L135" s="66"/>
      <c r="M135" s="66"/>
      <c r="N135" s="66"/>
    </row>
    <row r="136" spans="2:14">
      <c r="B136" s="85" t="s">
        <v>370</v>
      </c>
      <c r="C136" s="93"/>
      <c r="D136" s="93">
        <v>-51237804000</v>
      </c>
      <c r="E136" s="93">
        <v>-84427481000</v>
      </c>
      <c r="F136" s="93">
        <v>-41822256000</v>
      </c>
      <c r="G136" s="93">
        <v>-60061744000</v>
      </c>
      <c r="H136" s="93">
        <v>-74299245000</v>
      </c>
      <c r="I136" s="93">
        <v>-48114244000</v>
      </c>
      <c r="J136" s="93"/>
      <c r="K136" s="93"/>
      <c r="L136" s="93"/>
      <c r="M136" s="93"/>
      <c r="N136" s="93"/>
    </row>
    <row r="137" spans="2:14">
      <c r="B137" s="86" t="s">
        <v>372</v>
      </c>
      <c r="C137" s="120"/>
      <c r="D137" s="120">
        <v>-32439974000</v>
      </c>
      <c r="E137" s="64">
        <v>50053333000</v>
      </c>
      <c r="F137" s="120">
        <v>27333465000</v>
      </c>
      <c r="G137" s="120">
        <v>6639987000</v>
      </c>
      <c r="H137" s="120">
        <v>72566271000</v>
      </c>
      <c r="I137" s="120">
        <v>-105917104000</v>
      </c>
      <c r="J137" s="120"/>
      <c r="K137" s="120"/>
      <c r="L137" s="120"/>
      <c r="M137" s="120"/>
      <c r="N137" s="120"/>
    </row>
    <row r="138" spans="2:14">
      <c r="B138" s="85" t="s">
        <v>373</v>
      </c>
      <c r="C138" s="93"/>
      <c r="D138" s="93">
        <v>-42674974000</v>
      </c>
      <c r="E138" s="66">
        <v>-19191982000</v>
      </c>
      <c r="F138" s="93">
        <v>-20535370000</v>
      </c>
      <c r="G138" s="93">
        <v>-14676832000</v>
      </c>
      <c r="H138" s="93">
        <v>-14127025000</v>
      </c>
      <c r="I138" s="93">
        <v>-22224638000</v>
      </c>
      <c r="J138" s="93"/>
      <c r="K138" s="93"/>
      <c r="L138" s="93"/>
      <c r="M138" s="93"/>
      <c r="N138" s="93"/>
    </row>
    <row r="139" spans="2:14">
      <c r="B139" s="85" t="s">
        <v>437</v>
      </c>
      <c r="C139" s="93"/>
      <c r="D139" s="93">
        <v>-566705000</v>
      </c>
      <c r="E139" s="66">
        <v>-539491000</v>
      </c>
      <c r="F139" s="93">
        <v>-574112000</v>
      </c>
      <c r="G139" s="93">
        <v>-558781000</v>
      </c>
      <c r="H139" s="93">
        <v>-18941045000</v>
      </c>
      <c r="I139" s="93">
        <v>-26730142000</v>
      </c>
      <c r="J139" s="93"/>
      <c r="K139" s="93"/>
      <c r="L139" s="93"/>
      <c r="M139" s="93"/>
      <c r="N139" s="93"/>
    </row>
    <row r="140" spans="2:14">
      <c r="B140" s="86" t="s">
        <v>375</v>
      </c>
      <c r="C140" s="64"/>
      <c r="D140" s="64">
        <v>-23169126000</v>
      </c>
      <c r="E140" s="64">
        <v>41222314000</v>
      </c>
      <c r="F140" s="64">
        <v>49171680000</v>
      </c>
      <c r="G140" s="64">
        <v>-50807841000</v>
      </c>
      <c r="H140" s="64">
        <v>16993863000</v>
      </c>
      <c r="I140" s="64">
        <v>-5151107000</v>
      </c>
      <c r="J140" s="64"/>
      <c r="K140" s="64"/>
      <c r="L140" s="64"/>
      <c r="M140" s="64"/>
      <c r="N140" s="64"/>
    </row>
    <row r="141" spans="2:14">
      <c r="B141" s="85"/>
      <c r="C141" s="66"/>
      <c r="D141" s="66"/>
      <c r="E141" s="66"/>
      <c r="F141" s="66"/>
      <c r="G141" s="66"/>
      <c r="H141" s="66"/>
      <c r="I141" s="66"/>
      <c r="J141" s="66"/>
      <c r="K141" s="66"/>
      <c r="L141" s="66"/>
      <c r="M141" s="66"/>
      <c r="N141" s="66"/>
    </row>
    <row r="142" spans="2:14">
      <c r="B142" s="84" t="s">
        <v>376</v>
      </c>
      <c r="C142" s="131">
        <f t="shared" ref="C142:G142" si="59">+C134+C136+C139</f>
        <v>0</v>
      </c>
      <c r="D142" s="131">
        <f t="shared" si="59"/>
        <v>4186363000</v>
      </c>
      <c r="E142" s="131">
        <f t="shared" si="59"/>
        <v>-8824406000</v>
      </c>
      <c r="F142" s="131">
        <f t="shared" si="59"/>
        <v>22865333000</v>
      </c>
      <c r="G142" s="131">
        <f t="shared" si="59"/>
        <v>-59859636000</v>
      </c>
      <c r="H142" s="131">
        <f>+H134+H136+H139</f>
        <v>-71626702000</v>
      </c>
      <c r="I142" s="131">
        <f t="shared" ref="I142:M142" si="60">+I134+I136+I139</f>
        <v>72743995000</v>
      </c>
      <c r="J142" s="131">
        <f t="shared" si="60"/>
        <v>0</v>
      </c>
      <c r="K142" s="131">
        <f t="shared" si="60"/>
        <v>0</v>
      </c>
      <c r="L142" s="131">
        <f t="shared" si="60"/>
        <v>0</v>
      </c>
      <c r="M142" s="131">
        <f t="shared" si="60"/>
        <v>0</v>
      </c>
      <c r="N142" s="131"/>
    </row>
  </sheetData>
  <conditionalFormatting sqref="C60:H66 D67:H67 C68:H100">
    <cfRule type="cellIs" dxfId="181" priority="5" operator="lessThan">
      <formula>0</formula>
    </cfRule>
  </conditionalFormatting>
  <conditionalFormatting sqref="C102:N108">
    <cfRule type="cellIs" dxfId="180" priority="4" operator="lessThan">
      <formula>0</formula>
    </cfRule>
  </conditionalFormatting>
  <conditionalFormatting sqref="C112:N130">
    <cfRule type="cellIs" dxfId="179" priority="3" operator="lessThan">
      <formula>0</formula>
    </cfRule>
  </conditionalFormatting>
  <conditionalFormatting sqref="C134:N142">
    <cfRule type="cellIs" dxfId="178" priority="2" operator="lessThan">
      <formula>0</formula>
    </cfRule>
  </conditionalFormatting>
  <conditionalFormatting sqref="I60:N100">
    <cfRule type="cellIs" dxfId="177" priority="1" operator="lessThan">
      <formula>0</formula>
    </cfRule>
  </conditionalFormatting>
  <pageMargins left="0.7" right="0.7" top="0.75" bottom="0.75" header="0.3" footer="0.3"/>
  <pageSetup paperSize="9" orientation="portrait"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E6EB-8E4D-411E-B0EA-57F7E0C6DC33}">
  <sheetPr codeName="Hoja13"/>
  <dimension ref="B2:P146"/>
  <sheetViews>
    <sheetView zoomScale="80" zoomScaleNormal="80" workbookViewId="0">
      <pane xSplit="2" ySplit="6" topLeftCell="D119" activePane="bottomRight" state="frozen"/>
      <selection pane="bottomRight" activeCell="H7" sqref="H7"/>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3" width="33.28515625" customWidth="1"/>
    <col min="4" max="4" width="37" bestFit="1" customWidth="1"/>
    <col min="5" max="6" width="33.28515625" customWidth="1"/>
    <col min="7" max="7" width="36.28515625" customWidth="1"/>
    <col min="8" max="8" width="35.7109375" customWidth="1"/>
    <col min="9" max="9" width="35.7109375" bestFit="1" customWidth="1"/>
    <col min="10" max="10" width="34.5703125" bestFit="1" customWidth="1"/>
    <col min="11" max="14" width="27.28515625" customWidth="1"/>
  </cols>
  <sheetData>
    <row r="2" spans="2:14" ht="21">
      <c r="B2" s="313">
        <f ca="1">TODAY()-1</f>
        <v>46105</v>
      </c>
      <c r="C2" s="314"/>
      <c r="D2" s="344" t="s">
        <v>265</v>
      </c>
      <c r="E2" s="345" t="s">
        <v>266</v>
      </c>
    </row>
    <row r="3" spans="2:14" ht="25.5">
      <c r="B3" s="376" cm="1">
        <f t="array" aca="1" ref="B3" ca="1">_FV(B6,"Precio")</f>
        <v>1401</v>
      </c>
      <c r="C3" s="316"/>
      <c r="D3" s="346">
        <f>AVERAGE(G45:I45)</f>
        <v>50.238840000000003</v>
      </c>
      <c r="E3" s="346">
        <f>AVERAGE(G44:I44)</f>
        <v>102.53949333333333</v>
      </c>
    </row>
    <row r="4" spans="2:14" ht="28.5">
      <c r="B4" s="319"/>
      <c r="C4" s="320"/>
      <c r="D4" s="328"/>
      <c r="E4" s="328"/>
    </row>
    <row r="6" spans="2:14" ht="33.4">
      <c r="B6" s="3" t="e" vm="26">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+C67</f>
        <v>201095694000</v>
      </c>
      <c r="D7" s="5">
        <f t="shared" ref="D7:I7" si="0">+D67</f>
        <v>192358154000</v>
      </c>
      <c r="E7" s="5">
        <f t="shared" si="0"/>
        <v>222208479000</v>
      </c>
      <c r="F7" s="5">
        <f t="shared" si="0"/>
        <v>273962937000</v>
      </c>
      <c r="G7" s="5">
        <f t="shared" si="0"/>
        <v>313759632000</v>
      </c>
      <c r="H7" s="5">
        <f t="shared" si="0"/>
        <v>342657405000</v>
      </c>
      <c r="I7" s="5">
        <f t="shared" si="0"/>
        <v>447641303000</v>
      </c>
      <c r="J7" s="5">
        <f t="shared" ref="J7:N7" si="1">+J67</f>
        <v>414030382000</v>
      </c>
      <c r="K7" s="5">
        <f t="shared" si="1"/>
        <v>0</v>
      </c>
      <c r="L7" s="5">
        <f t="shared" si="1"/>
        <v>0</v>
      </c>
      <c r="M7" s="5">
        <f t="shared" si="1"/>
        <v>0</v>
      </c>
      <c r="N7" s="5">
        <f t="shared" si="1"/>
        <v>0</v>
      </c>
    </row>
    <row r="8" spans="2:14" ht="25.5">
      <c r="B8" s="146" t="s">
        <v>377</v>
      </c>
      <c r="C8" s="147">
        <f>+C71</f>
        <v>63233820000</v>
      </c>
      <c r="D8" s="147">
        <f t="shared" ref="D8:I8" si="2">+D71</f>
        <v>50099799000</v>
      </c>
      <c r="E8" s="147">
        <f t="shared" si="2"/>
        <v>60283534000</v>
      </c>
      <c r="F8" s="147">
        <f t="shared" si="2"/>
        <v>61759977000</v>
      </c>
      <c r="G8" s="147">
        <f t="shared" si="2"/>
        <v>98589324000</v>
      </c>
      <c r="H8" s="147">
        <f t="shared" si="2"/>
        <v>119826334000</v>
      </c>
      <c r="I8" s="147">
        <f t="shared" si="2"/>
        <v>141451763000</v>
      </c>
      <c r="J8" s="147">
        <f t="shared" ref="J8:N8" si="3">+J71</f>
        <v>145214242000</v>
      </c>
      <c r="K8" s="147">
        <f t="shared" si="3"/>
        <v>0</v>
      </c>
      <c r="L8" s="147">
        <f t="shared" si="3"/>
        <v>0</v>
      </c>
      <c r="M8" s="147">
        <f t="shared" si="3"/>
        <v>0</v>
      </c>
      <c r="N8" s="147">
        <f t="shared" si="3"/>
        <v>0</v>
      </c>
    </row>
    <row r="9" spans="2:14" ht="25.5">
      <c r="B9" s="146" t="s">
        <v>378</v>
      </c>
      <c r="C9" s="147">
        <f>+C73</f>
        <v>53813462000</v>
      </c>
      <c r="D9" s="147">
        <f t="shared" ref="D9:I9" si="4">+D73</f>
        <v>72853822000</v>
      </c>
      <c r="E9" s="147">
        <f t="shared" si="4"/>
        <v>82089606000</v>
      </c>
      <c r="F9" s="147">
        <f t="shared" si="4"/>
        <v>72783207000</v>
      </c>
      <c r="G9" s="147">
        <f t="shared" si="4"/>
        <v>99989405000</v>
      </c>
      <c r="H9" s="147">
        <f t="shared" si="4"/>
        <v>119815298000</v>
      </c>
      <c r="I9" s="147">
        <f t="shared" si="4"/>
        <v>121476979000</v>
      </c>
      <c r="J9" s="147">
        <f t="shared" ref="J9:N9" si="5">+J73</f>
        <v>148809198000</v>
      </c>
      <c r="K9" s="147">
        <f t="shared" si="5"/>
        <v>0</v>
      </c>
      <c r="L9" s="147">
        <f t="shared" si="5"/>
        <v>0</v>
      </c>
      <c r="M9" s="147">
        <f t="shared" si="5"/>
        <v>0</v>
      </c>
      <c r="N9" s="147">
        <f t="shared" si="5"/>
        <v>0</v>
      </c>
    </row>
    <row r="10" spans="2:14" ht="25.5">
      <c r="B10" s="4" t="s">
        <v>379</v>
      </c>
      <c r="C10" s="5">
        <f>+C76</f>
        <v>518480503000</v>
      </c>
      <c r="D10" s="5">
        <f t="shared" ref="D10:I10" si="6">+D76</f>
        <v>579011442000</v>
      </c>
      <c r="E10" s="5">
        <f t="shared" si="6"/>
        <v>636639674000</v>
      </c>
      <c r="F10" s="5">
        <f t="shared" si="6"/>
        <v>639313919000</v>
      </c>
      <c r="G10" s="5">
        <f t="shared" si="6"/>
        <v>728100855000</v>
      </c>
      <c r="H10" s="5">
        <f t="shared" si="6"/>
        <v>780999591000</v>
      </c>
      <c r="I10" s="5">
        <f t="shared" si="6"/>
        <v>812454969000</v>
      </c>
      <c r="J10" s="5">
        <f t="shared" ref="J10:N10" si="7">+J76</f>
        <v>877440940000</v>
      </c>
      <c r="K10" s="5">
        <f t="shared" si="7"/>
        <v>0</v>
      </c>
      <c r="L10" s="5">
        <f t="shared" si="7"/>
        <v>0</v>
      </c>
      <c r="M10" s="5">
        <f t="shared" si="7"/>
        <v>0</v>
      </c>
      <c r="N10" s="5">
        <f t="shared" si="7"/>
        <v>0</v>
      </c>
    </row>
    <row r="11" spans="2:14" ht="25.5">
      <c r="B11" s="8" t="s">
        <v>272</v>
      </c>
      <c r="C11" s="9">
        <f t="shared" ref="C11:I11" si="8">+C7+C10</f>
        <v>719576197000</v>
      </c>
      <c r="D11" s="9">
        <f t="shared" si="8"/>
        <v>771369596000</v>
      </c>
      <c r="E11" s="9">
        <f t="shared" si="8"/>
        <v>858848153000</v>
      </c>
      <c r="F11" s="9">
        <f t="shared" si="8"/>
        <v>913276856000</v>
      </c>
      <c r="G11" s="9">
        <f t="shared" si="8"/>
        <v>1041860487000</v>
      </c>
      <c r="H11" s="9">
        <f t="shared" si="8"/>
        <v>1123656996000</v>
      </c>
      <c r="I11" s="9">
        <f t="shared" si="8"/>
        <v>1260096272000</v>
      </c>
      <c r="J11" s="9">
        <f t="shared" ref="J11:N11" si="9">+J7+J10</f>
        <v>1291471322000</v>
      </c>
      <c r="K11" s="9">
        <f t="shared" si="9"/>
        <v>0</v>
      </c>
      <c r="L11" s="9">
        <f t="shared" si="9"/>
        <v>0</v>
      </c>
      <c r="M11" s="9">
        <f t="shared" si="9"/>
        <v>0</v>
      </c>
      <c r="N11" s="9">
        <f t="shared" si="9"/>
        <v>0</v>
      </c>
    </row>
    <row r="12" spans="2:14" ht="25.5">
      <c r="B12" s="10" t="s">
        <v>273</v>
      </c>
      <c r="C12" s="11">
        <f>+C90</f>
        <v>141231657000</v>
      </c>
      <c r="D12" s="11">
        <f t="shared" ref="D12:I12" si="10">+D90</f>
        <v>183871197000</v>
      </c>
      <c r="E12" s="11">
        <f t="shared" si="10"/>
        <v>212609540000</v>
      </c>
      <c r="F12" s="11">
        <f t="shared" si="10"/>
        <v>194411361000</v>
      </c>
      <c r="G12" s="11">
        <f t="shared" si="10"/>
        <v>317400986000</v>
      </c>
      <c r="H12" s="11">
        <f t="shared" si="10"/>
        <v>292987337000</v>
      </c>
      <c r="I12" s="11">
        <f t="shared" si="10"/>
        <v>345091270000</v>
      </c>
      <c r="J12" s="11">
        <f t="shared" ref="J12:N12" si="11">+J90</f>
        <v>317234594000</v>
      </c>
      <c r="K12" s="11">
        <f t="shared" si="11"/>
        <v>0</v>
      </c>
      <c r="L12" s="11">
        <f t="shared" si="11"/>
        <v>0</v>
      </c>
      <c r="M12" s="11">
        <f t="shared" si="11"/>
        <v>0</v>
      </c>
      <c r="N12" s="11">
        <f t="shared" si="11"/>
        <v>0</v>
      </c>
    </row>
    <row r="13" spans="2:14" ht="25.5">
      <c r="B13" s="10" t="s">
        <v>274</v>
      </c>
      <c r="C13" s="11">
        <f>+C100</f>
        <v>224761997000</v>
      </c>
      <c r="D13" s="11">
        <f t="shared" ref="D13:I13" si="12">+D100</f>
        <v>213303222000</v>
      </c>
      <c r="E13" s="11">
        <f t="shared" si="12"/>
        <v>256591241000</v>
      </c>
      <c r="F13" s="11">
        <f t="shared" si="12"/>
        <v>298924327000</v>
      </c>
      <c r="G13" s="11">
        <f t="shared" si="12"/>
        <v>293826642000</v>
      </c>
      <c r="H13" s="11">
        <f t="shared" si="12"/>
        <v>339896129000</v>
      </c>
      <c r="I13" s="11">
        <f t="shared" si="12"/>
        <v>385276014000</v>
      </c>
      <c r="J13" s="11">
        <f t="shared" ref="J13:N13" si="13">+J100</f>
        <v>391900581000</v>
      </c>
      <c r="K13" s="11">
        <f t="shared" si="13"/>
        <v>0</v>
      </c>
      <c r="L13" s="11">
        <f t="shared" si="13"/>
        <v>0</v>
      </c>
      <c r="M13" s="11">
        <f t="shared" si="13"/>
        <v>0</v>
      </c>
      <c r="N13" s="11">
        <f t="shared" si="13"/>
        <v>0</v>
      </c>
    </row>
    <row r="14" spans="2:14" ht="25.5">
      <c r="B14" s="12" t="s">
        <v>275</v>
      </c>
      <c r="C14" s="13">
        <f t="shared" ref="C14:I14" si="14">SUM(C12:C13)</f>
        <v>365993654000</v>
      </c>
      <c r="D14" s="13">
        <f t="shared" si="14"/>
        <v>397174419000</v>
      </c>
      <c r="E14" s="13">
        <f t="shared" si="14"/>
        <v>469200781000</v>
      </c>
      <c r="F14" s="13">
        <f t="shared" si="14"/>
        <v>493335688000</v>
      </c>
      <c r="G14" s="13">
        <f t="shared" si="14"/>
        <v>611227628000</v>
      </c>
      <c r="H14" s="13">
        <f t="shared" si="14"/>
        <v>632883466000</v>
      </c>
      <c r="I14" s="13">
        <f t="shared" si="14"/>
        <v>730367284000</v>
      </c>
      <c r="J14" s="13">
        <f t="shared" ref="J14:N14" si="15">SUM(J12:J13)</f>
        <v>709135175000</v>
      </c>
      <c r="K14" s="13">
        <f t="shared" si="15"/>
        <v>0</v>
      </c>
      <c r="L14" s="13">
        <f t="shared" si="15"/>
        <v>0</v>
      </c>
      <c r="M14" s="13">
        <f t="shared" si="15"/>
        <v>0</v>
      </c>
      <c r="N14" s="13">
        <f t="shared" si="15"/>
        <v>0</v>
      </c>
    </row>
    <row r="15" spans="2:14" ht="25.5">
      <c r="B15" s="14" t="s">
        <v>276</v>
      </c>
      <c r="C15" s="15">
        <f>+C113</f>
        <v>353571614000</v>
      </c>
      <c r="D15" s="15">
        <f t="shared" ref="D15:I15" si="16">+D113</f>
        <v>374184292000</v>
      </c>
      <c r="E15" s="15">
        <f t="shared" si="16"/>
        <v>389634601000</v>
      </c>
      <c r="F15" s="15">
        <f t="shared" si="16"/>
        <v>419927046000</v>
      </c>
      <c r="G15" s="15">
        <f t="shared" si="16"/>
        <v>430614308000</v>
      </c>
      <c r="H15" s="15">
        <f t="shared" si="16"/>
        <v>490750473000</v>
      </c>
      <c r="I15" s="15">
        <f t="shared" si="16"/>
        <v>529704211000</v>
      </c>
      <c r="J15" s="15">
        <f t="shared" ref="J15:N15" si="17">+J113</f>
        <v>582309097000</v>
      </c>
      <c r="K15" s="15">
        <f t="shared" si="17"/>
        <v>0</v>
      </c>
      <c r="L15" s="15">
        <f t="shared" si="17"/>
        <v>0</v>
      </c>
      <c r="M15" s="15">
        <f t="shared" si="17"/>
        <v>0</v>
      </c>
      <c r="N15" s="15">
        <f t="shared" si="17"/>
        <v>0</v>
      </c>
    </row>
    <row r="16" spans="2:14" ht="25.5">
      <c r="B16" s="79" t="s">
        <v>278</v>
      </c>
      <c r="C16" s="80">
        <v>510853230</v>
      </c>
      <c r="D16" s="80">
        <v>510853231</v>
      </c>
      <c r="E16" s="80">
        <v>510853232</v>
      </c>
      <c r="F16" s="80">
        <v>510853233</v>
      </c>
      <c r="G16" s="80">
        <v>510853234</v>
      </c>
      <c r="H16" s="80">
        <v>510853235</v>
      </c>
      <c r="I16" s="80">
        <v>510853236</v>
      </c>
      <c r="J16" s="80">
        <v>510853230</v>
      </c>
      <c r="K16" s="80"/>
      <c r="L16" s="80"/>
      <c r="M16" s="80"/>
      <c r="N16" s="80"/>
    </row>
    <row r="18" spans="2:14" ht="25.5">
      <c r="B18" s="18" t="s">
        <v>279</v>
      </c>
      <c r="C18" s="19">
        <f t="shared" ref="C18:I18" si="18">(C15/C16)</f>
        <v>692.11975815441156</v>
      </c>
      <c r="D18" s="19">
        <f t="shared" si="18"/>
        <v>732.46926767504385</v>
      </c>
      <c r="E18" s="19">
        <f t="shared" si="18"/>
        <v>762.71339123092798</v>
      </c>
      <c r="F18" s="19">
        <f t="shared" si="18"/>
        <v>822.01113524126413</v>
      </c>
      <c r="G18" s="19">
        <f t="shared" si="18"/>
        <v>842.93154929895184</v>
      </c>
      <c r="H18" s="19">
        <f t="shared" si="18"/>
        <v>960.64865479416994</v>
      </c>
      <c r="I18" s="19">
        <f t="shared" si="18"/>
        <v>1036.9009603376576</v>
      </c>
      <c r="J18" s="19">
        <f t="shared" ref="J18:N18" si="19">(J15/J16)</f>
        <v>1139.8755313732674</v>
      </c>
      <c r="K18" s="19" t="e">
        <f t="shared" si="19"/>
        <v>#DIV/0!</v>
      </c>
      <c r="L18" s="19" t="e">
        <f t="shared" si="19"/>
        <v>#DIV/0!</v>
      </c>
      <c r="M18" s="19" t="e">
        <f t="shared" si="19"/>
        <v>#DIV/0!</v>
      </c>
      <c r="N18" s="19" t="e">
        <f t="shared" si="19"/>
        <v>#DIV/0!</v>
      </c>
    </row>
    <row r="19" spans="2:14" ht="25.5">
      <c r="B19" s="76" t="s">
        <v>282</v>
      </c>
      <c r="C19" s="77">
        <v>1500</v>
      </c>
      <c r="D19" s="77">
        <v>1321.51</v>
      </c>
      <c r="E19" s="77">
        <v>1363</v>
      </c>
      <c r="F19" s="77">
        <v>1001</v>
      </c>
      <c r="G19" s="77">
        <v>830.2</v>
      </c>
      <c r="H19" s="101">
        <v>840</v>
      </c>
      <c r="I19" s="101">
        <v>911.34</v>
      </c>
      <c r="J19" s="101">
        <v>1219.0999999999999</v>
      </c>
      <c r="K19" s="101"/>
      <c r="L19" s="101"/>
      <c r="M19" s="101"/>
      <c r="N19" s="101"/>
    </row>
    <row r="20" spans="2:14" ht="25.5">
      <c r="B20" s="18" t="s">
        <v>283</v>
      </c>
      <c r="C20" s="22">
        <f>+C19/C40</f>
        <v>18.208302986161691</v>
      </c>
      <c r="D20" s="22">
        <f t="shared" ref="D20:I20" si="20">+D19/D40</f>
        <v>15.291714880814625</v>
      </c>
      <c r="E20" s="22">
        <f t="shared" si="20"/>
        <v>14.792706750596917</v>
      </c>
      <c r="F20" s="22">
        <f t="shared" si="20"/>
        <v>10.302593659942364</v>
      </c>
      <c r="G20" s="22">
        <f t="shared" si="20"/>
        <v>4.8709223187045296</v>
      </c>
      <c r="H20" s="22">
        <f t="shared" si="20"/>
        <v>4.9191848208011244</v>
      </c>
      <c r="I20" s="22">
        <f t="shared" si="20"/>
        <v>6.4767251794470893</v>
      </c>
      <c r="J20" s="22">
        <f t="shared" ref="J20:N20" si="21">+J19/J40</f>
        <v>8.3838800632693751</v>
      </c>
      <c r="K20" s="22" t="e">
        <f t="shared" si="21"/>
        <v>#DIV/0!</v>
      </c>
      <c r="L20" s="22" t="e">
        <f t="shared" si="21"/>
        <v>#DIV/0!</v>
      </c>
      <c r="M20" s="22" t="e">
        <f t="shared" si="21"/>
        <v>#DIV/0!</v>
      </c>
      <c r="N20" s="22" t="e">
        <f t="shared" si="21"/>
        <v>#DIV/0!</v>
      </c>
    </row>
    <row r="21" spans="2:14" ht="25.5">
      <c r="B21" s="18" t="s">
        <v>540</v>
      </c>
      <c r="C21" s="22">
        <f t="shared" ref="C21:I21" si="22">+C19/C18</f>
        <v>2.167254990667888</v>
      </c>
      <c r="D21" s="22">
        <f t="shared" si="22"/>
        <v>1.8041849103029957</v>
      </c>
      <c r="E21" s="22">
        <f t="shared" si="22"/>
        <v>1.7870408670815146</v>
      </c>
      <c r="F21" s="22">
        <f t="shared" si="22"/>
        <v>1.2177450609670899</v>
      </c>
      <c r="G21" s="22">
        <f t="shared" si="22"/>
        <v>0.98489610537232786</v>
      </c>
      <c r="H21" s="22">
        <f t="shared" si="22"/>
        <v>0.87440917739064516</v>
      </c>
      <c r="I21" s="22">
        <f t="shared" si="22"/>
        <v>0.87890747029806038</v>
      </c>
      <c r="J21" s="22">
        <f t="shared" ref="J21:N21" si="23">+J19/J18</f>
        <v>1.0695027364358691</v>
      </c>
      <c r="K21" s="22" t="e">
        <f t="shared" si="23"/>
        <v>#DIV/0!</v>
      </c>
      <c r="L21" s="22" t="e">
        <f t="shared" si="23"/>
        <v>#DIV/0!</v>
      </c>
      <c r="M21" s="22" t="e">
        <f t="shared" si="23"/>
        <v>#DIV/0!</v>
      </c>
      <c r="N21" s="22" t="e">
        <f t="shared" si="23"/>
        <v>#DIV/0!</v>
      </c>
    </row>
    <row r="22" spans="2:14" ht="25.5">
      <c r="B22" s="18" t="s">
        <v>541</v>
      </c>
      <c r="C22" s="22">
        <f>+C20*C21</f>
        <v>39.462035518351932</v>
      </c>
      <c r="D22" s="22">
        <f t="shared" ref="D22:I22" si="24">+D20*D21</f>
        <v>27.589081240621518</v>
      </c>
      <c r="E22" s="22">
        <f t="shared" si="24"/>
        <v>26.435171498069288</v>
      </c>
      <c r="F22" s="22">
        <f t="shared" si="24"/>
        <v>12.545932544545668</v>
      </c>
      <c r="G22" s="22">
        <f t="shared" si="24"/>
        <v>4.7973524212632404</v>
      </c>
      <c r="H22" s="22">
        <f t="shared" si="24"/>
        <v>4.3013803525892591</v>
      </c>
      <c r="I22" s="22">
        <f t="shared" si="24"/>
        <v>5.6924421432835928</v>
      </c>
      <c r="J22" s="22">
        <f t="shared" ref="J22:N22" si="25">+J20*J21</f>
        <v>8.9665826696167237</v>
      </c>
      <c r="K22" s="22" t="e">
        <f t="shared" si="25"/>
        <v>#DIV/0!</v>
      </c>
      <c r="L22" s="22" t="e">
        <f t="shared" si="25"/>
        <v>#DIV/0!</v>
      </c>
      <c r="M22" s="22" t="e">
        <f t="shared" si="25"/>
        <v>#DIV/0!</v>
      </c>
      <c r="N22" s="22" t="e">
        <f t="shared" si="25"/>
        <v>#DIV/0!</v>
      </c>
    </row>
    <row r="23" spans="2:14" ht="25.5">
      <c r="B23" s="23" t="s">
        <v>286</v>
      </c>
      <c r="C23" s="24">
        <f>IF(C41&lt;10%,0,IF(15%&lt;C41,2,1))</f>
        <v>1</v>
      </c>
      <c r="D23" s="24">
        <f>IF(D41&lt;10%,0,IF(15%&lt;D41,2,1))</f>
        <v>1</v>
      </c>
      <c r="E23" s="24">
        <f t="shared" ref="E23:F23" si="26">IF(E41&lt;10%,0,IF(15%&lt;E41,2,1))</f>
        <v>1</v>
      </c>
      <c r="F23" s="24">
        <f t="shared" si="26"/>
        <v>1</v>
      </c>
      <c r="G23" s="24">
        <v>2</v>
      </c>
      <c r="H23" s="24">
        <v>2</v>
      </c>
      <c r="I23" s="24">
        <v>2</v>
      </c>
      <c r="J23" s="24">
        <v>2</v>
      </c>
      <c r="K23" s="24">
        <v>2</v>
      </c>
      <c r="L23" s="24">
        <v>2</v>
      </c>
      <c r="M23" s="24">
        <v>2</v>
      </c>
      <c r="N23" s="24">
        <v>2</v>
      </c>
    </row>
    <row r="24" spans="2:14" ht="25.5">
      <c r="B24" s="23" t="s">
        <v>287</v>
      </c>
      <c r="C24" s="24">
        <f>IF(C41&lt;10%,1,IF(15%&lt;C41,2.5,2))</f>
        <v>2</v>
      </c>
      <c r="D24" s="24">
        <f t="shared" ref="D24:F24" si="27">IF(D41&lt;10%,1,IF(15%&lt;D41,2.5,2))</f>
        <v>2</v>
      </c>
      <c r="E24" s="24">
        <f t="shared" si="27"/>
        <v>2</v>
      </c>
      <c r="F24" s="24">
        <f t="shared" si="27"/>
        <v>2</v>
      </c>
      <c r="G24" s="24">
        <v>2.5</v>
      </c>
      <c r="H24" s="24">
        <v>2.5</v>
      </c>
      <c r="I24" s="24">
        <v>2.5</v>
      </c>
      <c r="J24" s="24">
        <v>2.5</v>
      </c>
      <c r="K24" s="24">
        <v>2.5</v>
      </c>
      <c r="L24" s="24">
        <v>2.5</v>
      </c>
      <c r="M24" s="24">
        <v>2.5</v>
      </c>
      <c r="N24" s="24">
        <v>2.5</v>
      </c>
    </row>
    <row r="25" spans="2:14" ht="25.5">
      <c r="B25" s="25" t="s">
        <v>288</v>
      </c>
      <c r="C25" s="26">
        <f t="shared" ref="C25:I25" si="28">+C23*C18</f>
        <v>692.11975815441156</v>
      </c>
      <c r="D25" s="26">
        <f t="shared" si="28"/>
        <v>732.46926767504385</v>
      </c>
      <c r="E25" s="26">
        <f t="shared" si="28"/>
        <v>762.71339123092798</v>
      </c>
      <c r="F25" s="26">
        <f t="shared" si="28"/>
        <v>822.01113524126413</v>
      </c>
      <c r="G25" s="26">
        <f t="shared" si="28"/>
        <v>1685.8630985979037</v>
      </c>
      <c r="H25" s="26">
        <f t="shared" si="28"/>
        <v>1921.2973095883399</v>
      </c>
      <c r="I25" s="26">
        <f t="shared" si="28"/>
        <v>2073.8019206753152</v>
      </c>
      <c r="J25" s="26">
        <f t="shared" ref="J25:N25" si="29">+J23*J18</f>
        <v>2279.7510627465349</v>
      </c>
      <c r="K25" s="26" t="e">
        <f t="shared" si="29"/>
        <v>#DIV/0!</v>
      </c>
      <c r="L25" s="26" t="e">
        <f t="shared" si="29"/>
        <v>#DIV/0!</v>
      </c>
      <c r="M25" s="26" t="e">
        <f t="shared" si="29"/>
        <v>#DIV/0!</v>
      </c>
      <c r="N25" s="26" t="e">
        <f t="shared" si="29"/>
        <v>#DIV/0!</v>
      </c>
    </row>
    <row r="26" spans="2:14" ht="25.5">
      <c r="B26" s="25" t="s">
        <v>289</v>
      </c>
      <c r="C26" s="26">
        <f>AVERAGE(C25,C27)</f>
        <v>1038.1796372316173</v>
      </c>
      <c r="D26" s="26">
        <f t="shared" ref="D26:I26" si="30">AVERAGE(D25,D27)</f>
        <v>1098.7039015125658</v>
      </c>
      <c r="E26" s="26">
        <f t="shared" si="30"/>
        <v>1144.0700868463919</v>
      </c>
      <c r="F26" s="26">
        <f t="shared" si="30"/>
        <v>1233.0167028618962</v>
      </c>
      <c r="G26" s="26">
        <f t="shared" si="30"/>
        <v>1896.5959859226418</v>
      </c>
      <c r="H26" s="26">
        <f t="shared" si="30"/>
        <v>2161.4594732868823</v>
      </c>
      <c r="I26" s="26">
        <f t="shared" si="30"/>
        <v>2333.0271607597297</v>
      </c>
      <c r="J26" s="26">
        <f t="shared" ref="J26:N26" si="31">AVERAGE(J25,J27)</f>
        <v>2564.7199455898517</v>
      </c>
      <c r="K26" s="26" t="e">
        <f t="shared" si="31"/>
        <v>#DIV/0!</v>
      </c>
      <c r="L26" s="26" t="e">
        <f t="shared" si="31"/>
        <v>#DIV/0!</v>
      </c>
      <c r="M26" s="26" t="e">
        <f t="shared" si="31"/>
        <v>#DIV/0!</v>
      </c>
      <c r="N26" s="26" t="e">
        <f t="shared" si="31"/>
        <v>#DIV/0!</v>
      </c>
    </row>
    <row r="27" spans="2:14" ht="25.5">
      <c r="B27" s="25" t="s">
        <v>290</v>
      </c>
      <c r="C27" s="26">
        <f t="shared" ref="C27:I27" si="32">+C18*C24</f>
        <v>1384.2395163088231</v>
      </c>
      <c r="D27" s="26">
        <f t="shared" si="32"/>
        <v>1464.9385353500877</v>
      </c>
      <c r="E27" s="26">
        <f t="shared" si="32"/>
        <v>1525.426782461856</v>
      </c>
      <c r="F27" s="26">
        <f t="shared" si="32"/>
        <v>1644.0222704825283</v>
      </c>
      <c r="G27" s="26">
        <f t="shared" si="32"/>
        <v>2107.3288732473798</v>
      </c>
      <c r="H27" s="26">
        <f t="shared" si="32"/>
        <v>2401.6216369854246</v>
      </c>
      <c r="I27" s="26">
        <f t="shared" si="32"/>
        <v>2592.2524008441442</v>
      </c>
      <c r="J27" s="26">
        <f t="shared" ref="J27:N27" si="33">+J18*J24</f>
        <v>2849.6888284331685</v>
      </c>
      <c r="K27" s="26" t="e">
        <f t="shared" si="33"/>
        <v>#DIV/0!</v>
      </c>
      <c r="L27" s="26" t="e">
        <f t="shared" si="33"/>
        <v>#DIV/0!</v>
      </c>
      <c r="M27" s="26" t="e">
        <f t="shared" si="33"/>
        <v>#DIV/0!</v>
      </c>
      <c r="N27" s="26" t="e">
        <f t="shared" si="33"/>
        <v>#DIV/0!</v>
      </c>
    </row>
    <row r="29" spans="2:14" ht="25.5">
      <c r="B29" s="27" t="s">
        <v>291</v>
      </c>
      <c r="C29" s="28">
        <f t="shared" ref="C29:I29" si="34">C7-C12</f>
        <v>59864037000</v>
      </c>
      <c r="D29" s="28">
        <f t="shared" si="34"/>
        <v>8486957000</v>
      </c>
      <c r="E29" s="28">
        <f t="shared" si="34"/>
        <v>9598939000</v>
      </c>
      <c r="F29" s="28">
        <f t="shared" si="34"/>
        <v>79551576000</v>
      </c>
      <c r="G29" s="28">
        <f t="shared" si="34"/>
        <v>-3641354000</v>
      </c>
      <c r="H29" s="28">
        <f t="shared" si="34"/>
        <v>49670068000</v>
      </c>
      <c r="I29" s="28">
        <f t="shared" si="34"/>
        <v>102550033000</v>
      </c>
      <c r="J29" s="28">
        <f t="shared" ref="J29:N29" si="35">J7-J12</f>
        <v>96795788000</v>
      </c>
      <c r="K29" s="28">
        <f t="shared" si="35"/>
        <v>0</v>
      </c>
      <c r="L29" s="28">
        <f t="shared" si="35"/>
        <v>0</v>
      </c>
      <c r="M29" s="28">
        <f t="shared" si="35"/>
        <v>0</v>
      </c>
      <c r="N29" s="28">
        <f t="shared" si="35"/>
        <v>0</v>
      </c>
    </row>
    <row r="30" spans="2:14" ht="25.5">
      <c r="B30" s="30" t="s">
        <v>149</v>
      </c>
      <c r="C30" s="31">
        <f t="shared" ref="C30:I30" si="36">C7/C12</f>
        <v>1.4238712358943717</v>
      </c>
      <c r="D30" s="31">
        <f t="shared" si="36"/>
        <v>1.0461570770108164</v>
      </c>
      <c r="E30" s="31">
        <f t="shared" si="36"/>
        <v>1.0451482045443492</v>
      </c>
      <c r="F30" s="31">
        <f t="shared" si="36"/>
        <v>1.4091920121890407</v>
      </c>
      <c r="G30" s="31">
        <f t="shared" si="36"/>
        <v>0.988527590774403</v>
      </c>
      <c r="H30" s="98">
        <f t="shared" si="36"/>
        <v>1.1695297431915974</v>
      </c>
      <c r="I30" s="98">
        <f t="shared" si="36"/>
        <v>1.2971678564919942</v>
      </c>
      <c r="J30" s="98">
        <f t="shared" ref="J30:N30" si="37">J7/J12</f>
        <v>1.3051236839573681</v>
      </c>
      <c r="K30" s="98" t="e">
        <f t="shared" si="37"/>
        <v>#DIV/0!</v>
      </c>
      <c r="L30" s="98" t="e">
        <f t="shared" si="37"/>
        <v>#DIV/0!</v>
      </c>
      <c r="M30" s="98" t="e">
        <f t="shared" si="37"/>
        <v>#DIV/0!</v>
      </c>
      <c r="N30" s="98" t="e">
        <f t="shared" si="37"/>
        <v>#DIV/0!</v>
      </c>
    </row>
    <row r="31" spans="2:14" ht="25.5">
      <c r="B31" s="30" t="s">
        <v>292</v>
      </c>
      <c r="C31" s="31">
        <f t="shared" ref="C31:I31" si="38">+(C7-C9)/C12</f>
        <v>1.0428414926831879</v>
      </c>
      <c r="D31" s="31">
        <f t="shared" si="38"/>
        <v>0.6499350303353929</v>
      </c>
      <c r="E31" s="31">
        <f t="shared" si="38"/>
        <v>0.65904320662186655</v>
      </c>
      <c r="F31" s="31">
        <f t="shared" si="38"/>
        <v>1.0348146783458811</v>
      </c>
      <c r="G31" s="31">
        <f t="shared" si="38"/>
        <v>0.67350208861670013</v>
      </c>
      <c r="H31" s="31">
        <f t="shared" si="38"/>
        <v>0.76058613755037474</v>
      </c>
      <c r="I31" s="31">
        <f t="shared" si="38"/>
        <v>0.94515379655938558</v>
      </c>
      <c r="J31" s="31">
        <f t="shared" ref="J31:N31" si="39">+(J7-J9)/J12</f>
        <v>0.83604117903988739</v>
      </c>
      <c r="K31" s="31" t="e">
        <f t="shared" si="39"/>
        <v>#DIV/0!</v>
      </c>
      <c r="L31" s="31" t="e">
        <f t="shared" si="39"/>
        <v>#DIV/0!</v>
      </c>
      <c r="M31" s="31" t="e">
        <f t="shared" si="39"/>
        <v>#DIV/0!</v>
      </c>
      <c r="N31" s="31" t="e">
        <f t="shared" si="39"/>
        <v>#DIV/0!</v>
      </c>
    </row>
    <row r="32" spans="2:14" ht="25.5">
      <c r="B32" s="32" t="s">
        <v>153</v>
      </c>
      <c r="C32" s="33">
        <f t="shared" ref="C32:I32" si="40">C14/C11</f>
        <v>0.5086239032445371</v>
      </c>
      <c r="D32" s="33">
        <f t="shared" si="40"/>
        <v>0.51489509187240512</v>
      </c>
      <c r="E32" s="33">
        <f t="shared" si="40"/>
        <v>0.54631401297314075</v>
      </c>
      <c r="F32" s="33">
        <f t="shared" si="40"/>
        <v>0.54018196646384742</v>
      </c>
      <c r="G32" s="33">
        <f t="shared" si="40"/>
        <v>0.58666936276661008</v>
      </c>
      <c r="H32" s="33">
        <f t="shared" si="40"/>
        <v>0.56323546086834486</v>
      </c>
      <c r="I32" s="33">
        <f t="shared" si="40"/>
        <v>0.57961228854425184</v>
      </c>
      <c r="J32" s="33">
        <f t="shared" ref="J32:N32" si="41">J14/J11</f>
        <v>0.54909091895421891</v>
      </c>
      <c r="K32" s="33" t="e">
        <f t="shared" si="41"/>
        <v>#DIV/0!</v>
      </c>
      <c r="L32" s="33" t="e">
        <f t="shared" si="41"/>
        <v>#DIV/0!</v>
      </c>
      <c r="M32" s="33" t="e">
        <f t="shared" si="41"/>
        <v>#DIV/0!</v>
      </c>
      <c r="N32" s="33" t="e">
        <f t="shared" si="41"/>
        <v>#DIV/0!</v>
      </c>
    </row>
    <row r="35" spans="2:14" ht="25.5">
      <c r="B35" s="35" t="s">
        <v>293</v>
      </c>
      <c r="C35" s="36">
        <f>+C117</f>
        <v>547010044000</v>
      </c>
      <c r="D35" s="36">
        <f t="shared" ref="D35:I35" si="42">+D117</f>
        <v>564387521000</v>
      </c>
      <c r="E35" s="36">
        <f t="shared" si="42"/>
        <v>623960268000</v>
      </c>
      <c r="F35" s="36">
        <f t="shared" si="42"/>
        <v>668221244000</v>
      </c>
      <c r="G35" s="36">
        <f t="shared" si="42"/>
        <v>934812880000</v>
      </c>
      <c r="H35" s="36">
        <f t="shared" si="42"/>
        <v>1113177503000</v>
      </c>
      <c r="I35" s="36">
        <f t="shared" si="42"/>
        <v>1201957961000</v>
      </c>
      <c r="J35" s="36">
        <f t="shared" ref="J35:N35" si="43">+J117</f>
        <v>1332494248000</v>
      </c>
      <c r="K35" s="36">
        <f t="shared" si="43"/>
        <v>0</v>
      </c>
      <c r="L35" s="36">
        <f t="shared" si="43"/>
        <v>0</v>
      </c>
      <c r="M35" s="36">
        <f t="shared" si="43"/>
        <v>0</v>
      </c>
      <c r="N35" s="36">
        <f t="shared" si="43"/>
        <v>0</v>
      </c>
    </row>
    <row r="36" spans="2:14" ht="25.5">
      <c r="B36" s="39" t="s">
        <v>156</v>
      </c>
      <c r="C36" s="40">
        <f>+C124</f>
        <v>72136967000</v>
      </c>
      <c r="D36" s="40">
        <f t="shared" ref="D36:I36" si="44">+D124</f>
        <v>70454050000</v>
      </c>
      <c r="E36" s="40">
        <f t="shared" si="44"/>
        <v>75867902000</v>
      </c>
      <c r="F36" s="40">
        <f t="shared" si="44"/>
        <v>81142610000</v>
      </c>
      <c r="G36" s="40">
        <f t="shared" si="44"/>
        <v>116147799000</v>
      </c>
      <c r="H36" s="40">
        <f t="shared" si="44"/>
        <v>126817341000</v>
      </c>
      <c r="I36" s="40">
        <f t="shared" si="44"/>
        <v>108500251000</v>
      </c>
      <c r="J36" s="40">
        <f t="shared" ref="J36:N36" si="45">+J124</f>
        <v>118117008000</v>
      </c>
      <c r="K36" s="40">
        <f t="shared" si="45"/>
        <v>0</v>
      </c>
      <c r="L36" s="40">
        <f t="shared" si="45"/>
        <v>0</v>
      </c>
      <c r="M36" s="40">
        <f t="shared" si="45"/>
        <v>0</v>
      </c>
      <c r="N36" s="40">
        <f t="shared" si="45"/>
        <v>0</v>
      </c>
    </row>
    <row r="37" spans="2:14" ht="25.5">
      <c r="B37" s="35" t="s">
        <v>381</v>
      </c>
      <c r="C37" s="41">
        <f>C36/C35</f>
        <v>0.13187503189612365</v>
      </c>
      <c r="D37" s="41">
        <f t="shared" ref="D37:I37" si="46">D36/D35</f>
        <v>0.1248327565343175</v>
      </c>
      <c r="E37" s="41">
        <f t="shared" si="46"/>
        <v>0.12159091834994852</v>
      </c>
      <c r="F37" s="41">
        <f t="shared" si="46"/>
        <v>0.12143075475164031</v>
      </c>
      <c r="G37" s="41">
        <f t="shared" si="46"/>
        <v>0.12424711028799688</v>
      </c>
      <c r="H37" s="41">
        <f t="shared" si="46"/>
        <v>0.11392373692266398</v>
      </c>
      <c r="I37" s="41">
        <f t="shared" si="46"/>
        <v>9.0269588887892896E-2</v>
      </c>
      <c r="J37" s="41">
        <f t="shared" ref="J37:N37" si="47">J36/J35</f>
        <v>8.8643540621122438E-2</v>
      </c>
      <c r="K37" s="41" t="e">
        <f t="shared" si="47"/>
        <v>#DIV/0!</v>
      </c>
      <c r="L37" s="41" t="e">
        <f t="shared" si="47"/>
        <v>#DIV/0!</v>
      </c>
      <c r="M37" s="41" t="e">
        <f t="shared" si="47"/>
        <v>#DIV/0!</v>
      </c>
      <c r="N37" s="41" t="e">
        <f t="shared" si="47"/>
        <v>#DIV/0!</v>
      </c>
    </row>
    <row r="38" spans="2:14" ht="25.5">
      <c r="B38" s="43" t="s">
        <v>295</v>
      </c>
      <c r="C38" s="44">
        <f>+C132</f>
        <v>42086748000</v>
      </c>
      <c r="D38" s="44">
        <f t="shared" ref="D38:I38" si="48">+D132</f>
        <v>44146590000</v>
      </c>
      <c r="E38" s="44">
        <f t="shared" si="48"/>
        <v>47072814000</v>
      </c>
      <c r="F38" s="44">
        <f t="shared" si="48"/>
        <v>48636737000</v>
      </c>
      <c r="G38" s="44">
        <f t="shared" si="48"/>
        <v>87072053000</v>
      </c>
      <c r="H38" s="44">
        <f t="shared" si="48"/>
        <v>87238834000</v>
      </c>
      <c r="I38" s="44">
        <f t="shared" si="48"/>
        <v>71886584000</v>
      </c>
      <c r="J38" s="44">
        <f t="shared" ref="J38:N38" si="49">+J132</f>
        <v>74284662000</v>
      </c>
      <c r="K38" s="44">
        <f t="shared" si="49"/>
        <v>0</v>
      </c>
      <c r="L38" s="44">
        <f t="shared" si="49"/>
        <v>0</v>
      </c>
      <c r="M38" s="44">
        <f t="shared" si="49"/>
        <v>0</v>
      </c>
      <c r="N38" s="44">
        <f t="shared" si="49"/>
        <v>0</v>
      </c>
    </row>
    <row r="39" spans="2:14" ht="25.5">
      <c r="B39" s="30" t="s">
        <v>296</v>
      </c>
      <c r="C39" s="45">
        <f>C38/C35</f>
        <v>7.6939625627788291E-2</v>
      </c>
      <c r="D39" s="45">
        <f t="shared" ref="D39:I39" si="50">D38/D35</f>
        <v>7.8220351013040909E-2</v>
      </c>
      <c r="E39" s="45">
        <f t="shared" si="50"/>
        <v>7.5442005547699392E-2</v>
      </c>
      <c r="F39" s="45">
        <f t="shared" si="50"/>
        <v>7.2785379747669327E-2</v>
      </c>
      <c r="G39" s="45">
        <f t="shared" si="50"/>
        <v>9.3143831094839008E-2</v>
      </c>
      <c r="H39" s="45">
        <f t="shared" si="50"/>
        <v>7.8369203262635467E-2</v>
      </c>
      <c r="I39" s="45">
        <f t="shared" si="50"/>
        <v>5.9807902050244832E-2</v>
      </c>
      <c r="J39" s="45">
        <f t="shared" ref="J39:N39" si="51">J38/J35</f>
        <v>5.5748579861787141E-2</v>
      </c>
      <c r="K39" s="45" t="e">
        <f t="shared" si="51"/>
        <v>#DIV/0!</v>
      </c>
      <c r="L39" s="45" t="e">
        <f t="shared" si="51"/>
        <v>#DIV/0!</v>
      </c>
      <c r="M39" s="45" t="e">
        <f t="shared" si="51"/>
        <v>#DIV/0!</v>
      </c>
      <c r="N39" s="45" t="e">
        <f t="shared" si="51"/>
        <v>#DIV/0!</v>
      </c>
    </row>
    <row r="40" spans="2:14" ht="25.5">
      <c r="B40" s="46" t="s">
        <v>159</v>
      </c>
      <c r="C40" s="121">
        <f>+C134</f>
        <v>82.38</v>
      </c>
      <c r="D40" s="121">
        <f t="shared" ref="D40:I40" si="52">+D134</f>
        <v>86.42</v>
      </c>
      <c r="E40" s="121">
        <f t="shared" si="52"/>
        <v>92.14</v>
      </c>
      <c r="F40" s="121">
        <f t="shared" si="52"/>
        <v>97.16</v>
      </c>
      <c r="G40" s="121">
        <f t="shared" si="52"/>
        <v>170.44</v>
      </c>
      <c r="H40" s="121">
        <f t="shared" si="52"/>
        <v>170.76</v>
      </c>
      <c r="I40" s="121">
        <f t="shared" si="52"/>
        <v>140.71</v>
      </c>
      <c r="J40" s="121">
        <f t="shared" ref="J40:N40" si="53">+J134</f>
        <v>145.41</v>
      </c>
      <c r="K40" s="121">
        <f t="shared" si="53"/>
        <v>0</v>
      </c>
      <c r="L40" s="121">
        <f t="shared" si="53"/>
        <v>0</v>
      </c>
      <c r="M40" s="121">
        <f t="shared" si="53"/>
        <v>0</v>
      </c>
      <c r="N40" s="121">
        <f t="shared" si="53"/>
        <v>0</v>
      </c>
    </row>
    <row r="41" spans="2:14" ht="25.5">
      <c r="B41" s="48" t="s">
        <v>160</v>
      </c>
      <c r="C41" s="49">
        <f t="shared" ref="C41:I41" si="54">C38/C15</f>
        <v>0.11903316424038497</v>
      </c>
      <c r="D41" s="49">
        <f t="shared" si="54"/>
        <v>0.11798087451517072</v>
      </c>
      <c r="E41" s="49">
        <f t="shared" si="54"/>
        <v>0.12081271498780469</v>
      </c>
      <c r="F41" s="49">
        <f t="shared" si="54"/>
        <v>0.11582187302124855</v>
      </c>
      <c r="G41" s="49">
        <f t="shared" si="54"/>
        <v>0.20220427278510217</v>
      </c>
      <c r="H41" s="49">
        <f t="shared" si="54"/>
        <v>0.17776617405318323</v>
      </c>
      <c r="I41" s="49">
        <f t="shared" si="54"/>
        <v>0.13571080332604718</v>
      </c>
      <c r="J41" s="49">
        <f t="shared" ref="J41:N41" si="55">J38/J15</f>
        <v>0.12756912502776854</v>
      </c>
      <c r="K41" s="49" t="e">
        <f t="shared" si="55"/>
        <v>#DIV/0!</v>
      </c>
      <c r="L41" s="49" t="e">
        <f t="shared" si="55"/>
        <v>#DIV/0!</v>
      </c>
      <c r="M41" s="49" t="e">
        <f t="shared" si="55"/>
        <v>#DIV/0!</v>
      </c>
      <c r="N41" s="49" t="e">
        <f t="shared" si="55"/>
        <v>#DIV/0!</v>
      </c>
    </row>
    <row r="42" spans="2:14" ht="25.5">
      <c r="B42" s="48" t="s">
        <v>382</v>
      </c>
      <c r="C42" s="49">
        <f>AVERAGE(G41:I41)</f>
        <v>0.17189375005477756</v>
      </c>
      <c r="D42" s="49"/>
      <c r="E42" s="49"/>
      <c r="F42" s="49"/>
      <c r="G42" s="49"/>
      <c r="H42" s="49"/>
      <c r="I42" s="49"/>
      <c r="J42" s="49"/>
      <c r="K42" s="49"/>
      <c r="L42" s="49"/>
      <c r="M42" s="49"/>
      <c r="N42" s="49"/>
    </row>
    <row r="43" spans="2:14" ht="25.5">
      <c r="B43" s="48" t="s">
        <v>298</v>
      </c>
      <c r="C43" s="50">
        <f>+C146</f>
        <v>16821065000</v>
      </c>
      <c r="D43" s="50">
        <f t="shared" ref="D43:I43" si="56">+D146</f>
        <v>34194779000</v>
      </c>
      <c r="E43" s="50">
        <f t="shared" si="56"/>
        <v>22441929000</v>
      </c>
      <c r="F43" s="50">
        <f t="shared" si="56"/>
        <v>49628157000</v>
      </c>
      <c r="G43" s="50">
        <f t="shared" si="56"/>
        <v>74254938000</v>
      </c>
      <c r="H43" s="50">
        <f t="shared" si="56"/>
        <v>13787262000</v>
      </c>
      <c r="I43" s="50">
        <f t="shared" si="56"/>
        <v>28400408000</v>
      </c>
      <c r="J43" s="50">
        <f t="shared" ref="J43:N43" si="57">+J146</f>
        <v>33836433000</v>
      </c>
      <c r="K43" s="50">
        <f t="shared" si="57"/>
        <v>0</v>
      </c>
      <c r="L43" s="50">
        <f t="shared" si="57"/>
        <v>0</v>
      </c>
      <c r="M43" s="50">
        <f t="shared" si="57"/>
        <v>0</v>
      </c>
      <c r="N43" s="50">
        <f t="shared" si="57"/>
        <v>0</v>
      </c>
    </row>
    <row r="44" spans="2:14" ht="25.5">
      <c r="B44" s="51" t="s">
        <v>111</v>
      </c>
      <c r="C44" s="51">
        <f>SUM(C46:C49)</f>
        <v>57.143000000000001</v>
      </c>
      <c r="D44" s="51">
        <f t="shared" ref="D44:F44" si="58">SUM(D46:D49)</f>
        <v>59.048000000000002</v>
      </c>
      <c r="E44" s="51">
        <f t="shared" si="58"/>
        <v>85.713999999999999</v>
      </c>
      <c r="F44" s="51">
        <f t="shared" si="58"/>
        <v>49.524000000000001</v>
      </c>
      <c r="G44" s="51">
        <f>SUM(G46:G49)</f>
        <v>134.285</v>
      </c>
      <c r="H44" s="51">
        <f>SUM(H46:H49)</f>
        <v>97.143000000000001</v>
      </c>
      <c r="I44" s="51">
        <f t="shared" ref="I44:N44" si="59">SUM(I46:I49)</f>
        <v>76.190480000000008</v>
      </c>
      <c r="J44" s="51">
        <f t="shared" si="59"/>
        <v>59.047619999999995</v>
      </c>
      <c r="K44" s="51">
        <f t="shared" si="59"/>
        <v>0</v>
      </c>
      <c r="L44" s="51">
        <f t="shared" si="59"/>
        <v>0</v>
      </c>
      <c r="M44" s="51">
        <f t="shared" si="59"/>
        <v>0</v>
      </c>
      <c r="N44" s="51">
        <f t="shared" si="59"/>
        <v>0</v>
      </c>
    </row>
    <row r="45" spans="2:14" ht="25.5">
      <c r="B45" s="51" t="s">
        <v>112</v>
      </c>
      <c r="C45" s="51">
        <f>+C46+C47</f>
        <v>23.178000000000001</v>
      </c>
      <c r="D45" s="51">
        <f t="shared" ref="D45:I45" si="60">+D46+D47</f>
        <v>24.087</v>
      </c>
      <c r="E45" s="51">
        <f t="shared" si="60"/>
        <v>50.027999999999999</v>
      </c>
      <c r="F45" s="51">
        <f t="shared" si="60"/>
        <v>26.940999999999999</v>
      </c>
      <c r="G45" s="51">
        <f t="shared" si="60"/>
        <v>3.6459999999999999</v>
      </c>
      <c r="H45" s="51">
        <f t="shared" si="60"/>
        <v>97.143000000000001</v>
      </c>
      <c r="I45" s="51">
        <f t="shared" si="60"/>
        <v>49.927520000000001</v>
      </c>
      <c r="J45" s="51">
        <f t="shared" ref="J45:N45" si="61">+J46+J47</f>
        <v>22.093810000000001</v>
      </c>
      <c r="K45" s="51">
        <f t="shared" si="61"/>
        <v>0</v>
      </c>
      <c r="L45" s="51">
        <f t="shared" si="61"/>
        <v>0</v>
      </c>
      <c r="M45" s="51">
        <f t="shared" si="61"/>
        <v>0</v>
      </c>
      <c r="N45" s="51">
        <f t="shared" si="61"/>
        <v>0</v>
      </c>
    </row>
    <row r="46" spans="2:14" ht="18">
      <c r="B46" s="135" t="s">
        <v>114</v>
      </c>
      <c r="C46" s="94">
        <v>23.178000000000001</v>
      </c>
      <c r="D46" s="94">
        <v>24.087</v>
      </c>
      <c r="E46" s="94">
        <v>25.265999999999998</v>
      </c>
      <c r="F46" s="94">
        <v>2.1789999999999998</v>
      </c>
      <c r="G46" s="94">
        <v>3.6459999999999999</v>
      </c>
      <c r="H46" s="94">
        <v>78.094999999999999</v>
      </c>
      <c r="I46" s="515">
        <v>30.879899999999999</v>
      </c>
      <c r="J46" s="155">
        <v>22.093810000000001</v>
      </c>
      <c r="K46" s="155"/>
      <c r="L46" s="155"/>
      <c r="M46" s="155"/>
      <c r="N46" s="155"/>
    </row>
    <row r="47" spans="2:14" ht="18">
      <c r="B47" s="135" t="s">
        <v>115</v>
      </c>
      <c r="C47" s="94"/>
      <c r="D47" s="94"/>
      <c r="E47" s="94">
        <v>24.762</v>
      </c>
      <c r="F47" s="94">
        <v>24.762</v>
      </c>
      <c r="G47" s="94"/>
      <c r="H47" s="94">
        <v>19.047999999999998</v>
      </c>
      <c r="I47" s="515">
        <v>19.047619999999998</v>
      </c>
      <c r="J47" s="155"/>
      <c r="K47" s="155"/>
      <c r="L47" s="155"/>
      <c r="M47" s="155"/>
      <c r="N47" s="155"/>
    </row>
    <row r="48" spans="2:14" ht="18">
      <c r="B48" s="135" t="s">
        <v>116</v>
      </c>
      <c r="C48" s="94">
        <v>33.965000000000003</v>
      </c>
      <c r="D48" s="94"/>
      <c r="E48" s="94">
        <v>35.686</v>
      </c>
      <c r="F48" s="94">
        <v>22.582999999999998</v>
      </c>
      <c r="G48" s="94">
        <v>38.259</v>
      </c>
      <c r="H48" s="94"/>
      <c r="I48" s="515">
        <v>26.26296</v>
      </c>
      <c r="J48" s="155">
        <v>36.953809999999997</v>
      </c>
      <c r="K48" s="155"/>
      <c r="L48" s="155"/>
      <c r="M48" s="155"/>
      <c r="N48" s="155"/>
    </row>
    <row r="49" spans="2:16" ht="18">
      <c r="B49" s="135" t="s">
        <v>117</v>
      </c>
      <c r="C49" s="94"/>
      <c r="D49" s="94">
        <v>34.960999999999999</v>
      </c>
      <c r="E49" s="94"/>
      <c r="F49" s="94"/>
      <c r="G49" s="94">
        <v>92.38</v>
      </c>
      <c r="H49" s="94"/>
      <c r="I49" s="94"/>
      <c r="J49" s="94"/>
      <c r="K49" s="94"/>
      <c r="L49" s="94"/>
      <c r="M49" s="94"/>
      <c r="N49" s="94"/>
    </row>
    <row r="50" spans="2:16" ht="25.5">
      <c r="B50" s="51" t="s">
        <v>119</v>
      </c>
      <c r="C50" s="51">
        <f t="shared" ref="C50:N50" si="62">SUM(C52:C55)</f>
        <v>59.048109999999994</v>
      </c>
      <c r="D50" s="51">
        <f t="shared" si="62"/>
        <v>60.951999999999998</v>
      </c>
      <c r="E50" s="51">
        <f t="shared" si="62"/>
        <v>49.524000000000001</v>
      </c>
      <c r="F50" s="51">
        <f t="shared" si="62"/>
        <v>66.667000000000002</v>
      </c>
      <c r="G50" s="51">
        <f t="shared" si="62"/>
        <v>170.476</v>
      </c>
      <c r="H50" s="51">
        <f t="shared" si="62"/>
        <v>49.927999999999997</v>
      </c>
      <c r="I50" s="51">
        <f t="shared" si="62"/>
        <v>104.35899999999999</v>
      </c>
      <c r="J50" s="51">
        <f t="shared" si="62"/>
        <v>81.905000000000001</v>
      </c>
      <c r="K50" s="51">
        <f t="shared" si="62"/>
        <v>0</v>
      </c>
      <c r="L50" s="51">
        <f t="shared" si="62"/>
        <v>0</v>
      </c>
      <c r="M50" s="51">
        <f t="shared" si="62"/>
        <v>0</v>
      </c>
      <c r="N50" s="51">
        <f t="shared" si="62"/>
        <v>0</v>
      </c>
    </row>
    <row r="51" spans="2:16" ht="25.5">
      <c r="B51" s="51" t="s">
        <v>120</v>
      </c>
      <c r="C51" s="51">
        <f t="shared" ref="C51:N51" si="63">+C52+C53</f>
        <v>24.087109999999999</v>
      </c>
      <c r="D51" s="51">
        <f t="shared" si="63"/>
        <v>25.265999999999998</v>
      </c>
      <c r="E51" s="51">
        <f t="shared" si="63"/>
        <v>26.940999999999999</v>
      </c>
      <c r="F51" s="51">
        <f t="shared" si="63"/>
        <v>28.408000000000001</v>
      </c>
      <c r="G51" s="51">
        <f t="shared" si="63"/>
        <v>78.094999999999999</v>
      </c>
      <c r="H51" s="51">
        <f t="shared" si="63"/>
        <v>49.927999999999997</v>
      </c>
      <c r="I51" s="51">
        <f t="shared" si="63"/>
        <v>41.141999999999996</v>
      </c>
      <c r="J51" s="51">
        <f t="shared" si="63"/>
        <v>42.514000000000003</v>
      </c>
      <c r="K51" s="51">
        <f t="shared" si="63"/>
        <v>0</v>
      </c>
      <c r="L51" s="51">
        <f t="shared" si="63"/>
        <v>0</v>
      </c>
      <c r="M51" s="51">
        <f t="shared" si="63"/>
        <v>0</v>
      </c>
      <c r="N51" s="51">
        <f t="shared" si="63"/>
        <v>0</v>
      </c>
    </row>
    <row r="52" spans="2:16" ht="18">
      <c r="B52" s="135" t="s">
        <v>121</v>
      </c>
      <c r="C52" s="94">
        <v>24.087109999999999</v>
      </c>
      <c r="D52" s="94">
        <v>25.265999999999998</v>
      </c>
      <c r="E52" s="94">
        <v>2.1789999999999998</v>
      </c>
      <c r="F52" s="94">
        <v>3.6459999999999999</v>
      </c>
      <c r="G52" s="94">
        <v>78.094999999999999</v>
      </c>
      <c r="H52" s="94">
        <v>30.88</v>
      </c>
      <c r="I52" s="94">
        <v>22.094000000000001</v>
      </c>
      <c r="J52" s="94">
        <v>2.5139999999999998</v>
      </c>
      <c r="K52" s="94"/>
      <c r="L52" s="94"/>
      <c r="M52" s="94"/>
      <c r="N52" s="94"/>
    </row>
    <row r="53" spans="2:16" ht="18">
      <c r="B53" s="135" t="s">
        <v>122</v>
      </c>
      <c r="C53" s="94"/>
      <c r="D53" s="94"/>
      <c r="E53" s="94">
        <v>24.762</v>
      </c>
      <c r="F53" s="94">
        <v>24.762</v>
      </c>
      <c r="G53" s="94"/>
      <c r="H53" s="94">
        <v>19.047999999999998</v>
      </c>
      <c r="I53" s="94">
        <v>19.047999999999998</v>
      </c>
      <c r="J53" s="94">
        <v>40</v>
      </c>
      <c r="K53" s="94"/>
      <c r="L53" s="94"/>
      <c r="M53" s="94"/>
      <c r="N53" s="94"/>
    </row>
    <row r="54" spans="2:16" ht="18">
      <c r="B54" s="135" t="s">
        <v>123</v>
      </c>
      <c r="C54" s="94"/>
      <c r="D54" s="94">
        <v>35.686</v>
      </c>
      <c r="E54" s="94">
        <v>22.582999999999998</v>
      </c>
      <c r="F54" s="94">
        <v>38.259</v>
      </c>
      <c r="G54" s="94"/>
      <c r="H54" s="94"/>
      <c r="I54" s="94">
        <f>26.263 +  36.954</f>
        <v>63.216999999999999</v>
      </c>
      <c r="J54" s="94">
        <v>39.390999999999998</v>
      </c>
      <c r="K54" s="94"/>
      <c r="L54" s="94"/>
      <c r="M54" s="94"/>
      <c r="N54" s="94"/>
    </row>
    <row r="55" spans="2:16" ht="18">
      <c r="B55" s="135" t="s">
        <v>124</v>
      </c>
      <c r="C55" s="94">
        <v>34.960999999999999</v>
      </c>
      <c r="D55" s="94"/>
      <c r="E55" s="94"/>
      <c r="F55" s="94"/>
      <c r="G55" s="94">
        <v>92.381</v>
      </c>
      <c r="H55" s="94"/>
      <c r="I55" s="94"/>
      <c r="J55" s="94"/>
      <c r="K55" s="94"/>
      <c r="L55" s="94"/>
      <c r="M55" s="94"/>
      <c r="N55" s="94"/>
    </row>
    <row r="56" spans="2:16" ht="25.5">
      <c r="B56" s="541" t="s">
        <v>167</v>
      </c>
      <c r="C56" s="99">
        <f t="shared" ref="C56:N56" si="64">(C53+C54+C52)/C40</f>
        <v>0.29239026462733675</v>
      </c>
      <c r="D56" s="99">
        <f t="shared" si="64"/>
        <v>0.70529969914371671</v>
      </c>
      <c r="E56" s="99">
        <f t="shared" si="64"/>
        <v>0.53748643368786631</v>
      </c>
      <c r="F56" s="99">
        <f t="shared" si="64"/>
        <v>0.68615685467270482</v>
      </c>
      <c r="G56" s="99">
        <f t="shared" si="64"/>
        <v>0.45819643276226241</v>
      </c>
      <c r="H56" s="99">
        <f t="shared" si="64"/>
        <v>0.29238697587256968</v>
      </c>
      <c r="I56" s="99">
        <f t="shared" si="64"/>
        <v>0.74166015208585034</v>
      </c>
      <c r="J56" s="99">
        <f t="shared" si="64"/>
        <v>0.56326937624647544</v>
      </c>
      <c r="K56" s="99" t="e">
        <f t="shared" si="64"/>
        <v>#DIV/0!</v>
      </c>
      <c r="L56" s="99" t="e">
        <f t="shared" si="64"/>
        <v>#DIV/0!</v>
      </c>
      <c r="M56" s="99" t="e">
        <f t="shared" si="64"/>
        <v>#DIV/0!</v>
      </c>
      <c r="N56" s="99" t="e">
        <f t="shared" si="64"/>
        <v>#DIV/0!</v>
      </c>
    </row>
    <row r="57" spans="2:16" ht="28.5">
      <c r="B57" s="540" t="s">
        <v>303</v>
      </c>
      <c r="C57" s="54">
        <f>AVERAGE(G56:I56)</f>
        <v>0.49741452024022753</v>
      </c>
      <c r="D57" s="54"/>
      <c r="E57" s="54"/>
      <c r="F57" s="54"/>
      <c r="G57" s="54"/>
      <c r="H57" s="54"/>
      <c r="I57" s="54"/>
      <c r="J57" s="54"/>
      <c r="K57" s="54"/>
      <c r="L57" s="54"/>
      <c r="M57" s="54"/>
      <c r="N57" s="54"/>
    </row>
    <row r="58" spans="2:16" ht="25.5">
      <c r="B58" s="541" t="s">
        <v>299</v>
      </c>
      <c r="C58" s="99">
        <f t="shared" ref="C58:N58" si="65">+C44/C19</f>
        <v>3.8095333333333335E-2</v>
      </c>
      <c r="D58" s="99">
        <f t="shared" si="65"/>
        <v>4.4682219582144668E-2</v>
      </c>
      <c r="E58" s="99">
        <f t="shared" si="65"/>
        <v>6.2886280264123254E-2</v>
      </c>
      <c r="F58" s="99">
        <f t="shared" si="65"/>
        <v>4.9474525474525473E-2</v>
      </c>
      <c r="G58" s="99">
        <f t="shared" si="65"/>
        <v>0.16175018067935437</v>
      </c>
      <c r="H58" s="99">
        <f t="shared" si="65"/>
        <v>0.11564642857142857</v>
      </c>
      <c r="I58" s="99">
        <f t="shared" si="65"/>
        <v>8.3602694932736421E-2</v>
      </c>
      <c r="J58" s="99">
        <f t="shared" si="65"/>
        <v>4.8435419571815276E-2</v>
      </c>
      <c r="K58" s="99" t="e">
        <f t="shared" si="65"/>
        <v>#DIV/0!</v>
      </c>
      <c r="L58" s="99" t="e">
        <f t="shared" si="65"/>
        <v>#DIV/0!</v>
      </c>
      <c r="M58" s="99" t="e">
        <f t="shared" si="65"/>
        <v>#DIV/0!</v>
      </c>
      <c r="N58" s="99" t="e">
        <f t="shared" si="65"/>
        <v>#DIV/0!</v>
      </c>
    </row>
    <row r="59" spans="2:16" ht="25.5">
      <c r="B59" s="542" t="s">
        <v>384</v>
      </c>
      <c r="C59" s="534">
        <f>AVERAGE(G58:I58)</f>
        <v>0.12033310139450644</v>
      </c>
      <c r="D59" s="534"/>
      <c r="E59" s="534"/>
      <c r="F59" s="534"/>
      <c r="G59" s="534"/>
      <c r="H59" s="534"/>
      <c r="I59" s="534"/>
      <c r="J59" s="534"/>
      <c r="K59" s="534"/>
      <c r="L59" s="534"/>
      <c r="M59" s="534"/>
      <c r="N59" s="534"/>
      <c r="O59" s="534"/>
      <c r="P59" s="534"/>
    </row>
    <row r="60" spans="2:16" ht="25.5">
      <c r="B60" s="543" t="s">
        <v>176</v>
      </c>
      <c r="C60" s="355">
        <f>+C41*(100%-C56)</f>
        <v>8.4229025848709574E-2</v>
      </c>
      <c r="D60" s="355">
        <f t="shared" ref="D60:I60" si="66">+D41*(100%-D56)</f>
        <v>3.4768999214908218E-2</v>
      </c>
      <c r="E60" s="355">
        <f t="shared" si="66"/>
        <v>5.587751966486091E-2</v>
      </c>
      <c r="F60" s="549">
        <f t="shared" si="66"/>
        <v>3.6349900926687238E-2</v>
      </c>
      <c r="G60" s="355">
        <f t="shared" si="66"/>
        <v>0.10955499630568094</v>
      </c>
      <c r="H60" s="355">
        <f t="shared" si="66"/>
        <v>0.12578966000933611</v>
      </c>
      <c r="I60" s="355">
        <f t="shared" si="66"/>
        <v>3.5059508291558107E-2</v>
      </c>
      <c r="J60" s="355">
        <f t="shared" ref="J60:N60" si="67">+J41*(100%-J56)</f>
        <v>5.5713343545068718E-2</v>
      </c>
      <c r="K60" s="355" t="e">
        <f t="shared" si="67"/>
        <v>#DIV/0!</v>
      </c>
      <c r="L60" s="355" t="e">
        <f t="shared" si="67"/>
        <v>#DIV/0!</v>
      </c>
      <c r="M60" s="355" t="e">
        <f t="shared" si="67"/>
        <v>#DIV/0!</v>
      </c>
      <c r="N60" s="355" t="e">
        <f t="shared" si="67"/>
        <v>#DIV/0!</v>
      </c>
    </row>
    <row r="61" spans="2:16" ht="25.5">
      <c r="B61" s="542" t="s">
        <v>306</v>
      </c>
      <c r="C61" s="534">
        <f>AVERAGE(G60:I60)</f>
        <v>9.0134721535525056E-2</v>
      </c>
      <c r="D61" s="534"/>
      <c r="E61" s="534"/>
      <c r="F61" s="534"/>
      <c r="G61" s="534"/>
      <c r="H61" s="534"/>
      <c r="I61" s="534"/>
      <c r="J61" s="534"/>
      <c r="K61" s="534"/>
      <c r="L61" s="534"/>
      <c r="M61" s="534"/>
      <c r="N61" s="534"/>
      <c r="O61" s="534"/>
    </row>
    <row r="62" spans="2:16" ht="25.5">
      <c r="B62" s="543" t="s">
        <v>300</v>
      </c>
      <c r="C62" s="725">
        <f ca="1">B3</f>
        <v>1401</v>
      </c>
      <c r="D62" s="534"/>
      <c r="E62" s="534"/>
      <c r="F62" s="534"/>
      <c r="G62" s="534"/>
      <c r="H62" s="534"/>
      <c r="I62" s="534"/>
      <c r="J62" s="534"/>
      <c r="K62" s="534"/>
      <c r="L62" s="534"/>
      <c r="M62" s="534"/>
      <c r="N62" s="534"/>
    </row>
    <row r="63" spans="2:16">
      <c r="B63" s="75" t="s">
        <v>307</v>
      </c>
    </row>
    <row r="64" spans="2:16" ht="14.65" thickBot="1"/>
    <row r="65" spans="2:14">
      <c r="B65" s="57" t="s">
        <v>385</v>
      </c>
      <c r="C65" s="158">
        <v>2017</v>
      </c>
      <c r="D65" s="158">
        <v>2018</v>
      </c>
      <c r="E65" s="158">
        <v>2019</v>
      </c>
      <c r="F65" s="158">
        <v>2020</v>
      </c>
      <c r="G65" s="158">
        <v>2021</v>
      </c>
      <c r="H65" s="158">
        <v>2022</v>
      </c>
      <c r="I65" s="158">
        <v>2023</v>
      </c>
      <c r="J65" s="158">
        <v>2024</v>
      </c>
      <c r="K65" s="158">
        <v>2025</v>
      </c>
      <c r="L65" s="158">
        <v>2026</v>
      </c>
      <c r="M65" s="158">
        <v>2027</v>
      </c>
      <c r="N65" s="158">
        <v>2028</v>
      </c>
    </row>
    <row r="66" spans="2:14">
      <c r="B66" s="157" t="s">
        <v>309</v>
      </c>
      <c r="C66" s="66"/>
      <c r="D66" s="66"/>
      <c r="E66" s="66"/>
      <c r="F66" s="66"/>
      <c r="G66" s="66"/>
      <c r="H66" s="66"/>
      <c r="I66" s="66"/>
      <c r="J66" s="66"/>
      <c r="K66" s="66"/>
      <c r="L66" s="66"/>
      <c r="M66" s="66"/>
      <c r="N66" s="66"/>
    </row>
    <row r="67" spans="2:14">
      <c r="B67" s="58" t="s">
        <v>310</v>
      </c>
      <c r="C67" s="64">
        <v>201095694000</v>
      </c>
      <c r="D67" s="64">
        <v>192358154000</v>
      </c>
      <c r="E67" s="64">
        <v>222208479000</v>
      </c>
      <c r="F67" s="159">
        <v>273962937000</v>
      </c>
      <c r="G67" s="64">
        <v>313759632000</v>
      </c>
      <c r="H67" s="141">
        <v>342657405000</v>
      </c>
      <c r="I67" s="64">
        <v>447641303000</v>
      </c>
      <c r="J67" s="64">
        <v>414030382000</v>
      </c>
      <c r="K67" s="64"/>
      <c r="L67" s="64"/>
      <c r="M67" s="64"/>
      <c r="N67" s="64"/>
    </row>
    <row r="68" spans="2:14">
      <c r="B68" s="59" t="s">
        <v>386</v>
      </c>
      <c r="C68" s="66">
        <v>72143020000</v>
      </c>
      <c r="D68" s="66">
        <v>58779300000</v>
      </c>
      <c r="E68" s="66">
        <v>67376852000</v>
      </c>
      <c r="F68" s="66">
        <v>61267008000</v>
      </c>
      <c r="G68" s="66">
        <v>61641406000</v>
      </c>
      <c r="H68" s="160">
        <v>87653229000</v>
      </c>
      <c r="I68" s="66">
        <v>83718776000</v>
      </c>
      <c r="J68" s="66">
        <v>92557622000</v>
      </c>
      <c r="K68" s="66"/>
      <c r="L68" s="66"/>
      <c r="M68" s="66"/>
      <c r="N68" s="66"/>
    </row>
    <row r="69" spans="2:14">
      <c r="B69" s="59" t="s">
        <v>387</v>
      </c>
      <c r="C69" s="66">
        <v>1235577000</v>
      </c>
      <c r="D69" s="66">
        <v>0</v>
      </c>
      <c r="E69" s="66">
        <v>0</v>
      </c>
      <c r="F69" s="66">
        <v>70783553000</v>
      </c>
      <c r="G69" s="66">
        <v>47447816000</v>
      </c>
      <c r="H69" s="160">
        <v>0</v>
      </c>
      <c r="I69" s="66">
        <v>87561735000</v>
      </c>
      <c r="J69" s="66">
        <v>16891531000</v>
      </c>
      <c r="K69" s="66"/>
      <c r="L69" s="66"/>
      <c r="M69" s="66"/>
      <c r="N69" s="66"/>
    </row>
    <row r="70" spans="2:14">
      <c r="B70" s="59" t="s">
        <v>388</v>
      </c>
      <c r="C70" s="66">
        <v>1101706000</v>
      </c>
      <c r="D70" s="66">
        <v>1447638000</v>
      </c>
      <c r="E70" s="66">
        <v>3163034000</v>
      </c>
      <c r="F70" s="66">
        <v>2139044000</v>
      </c>
      <c r="G70" s="66">
        <v>2813531000</v>
      </c>
      <c r="H70" s="160">
        <v>3994658000</v>
      </c>
      <c r="I70" s="66">
        <v>4139869000</v>
      </c>
      <c r="J70" s="66">
        <v>4353847000</v>
      </c>
      <c r="K70" s="66"/>
      <c r="L70" s="66"/>
      <c r="M70" s="66"/>
      <c r="N70" s="66"/>
    </row>
    <row r="71" spans="2:14">
      <c r="B71" s="59" t="s">
        <v>389</v>
      </c>
      <c r="C71" s="66">
        <v>63233820000</v>
      </c>
      <c r="D71" s="66">
        <v>50099799000</v>
      </c>
      <c r="E71" s="66">
        <v>60283534000</v>
      </c>
      <c r="F71" s="66">
        <v>61759977000</v>
      </c>
      <c r="G71" s="66">
        <v>98589324000</v>
      </c>
      <c r="H71" s="160">
        <v>119826334000</v>
      </c>
      <c r="I71" s="66">
        <v>141451763000</v>
      </c>
      <c r="J71" s="66">
        <v>145214242000</v>
      </c>
      <c r="K71" s="66"/>
      <c r="L71" s="66"/>
      <c r="M71" s="66"/>
      <c r="N71" s="66"/>
    </row>
    <row r="72" spans="2:14">
      <c r="B72" s="59" t="s">
        <v>390</v>
      </c>
      <c r="C72" s="66">
        <v>647258000</v>
      </c>
      <c r="D72" s="66">
        <v>574090000</v>
      </c>
      <c r="E72" s="66">
        <v>556963000</v>
      </c>
      <c r="F72" s="66">
        <v>671098000</v>
      </c>
      <c r="G72" s="66">
        <v>578930000</v>
      </c>
      <c r="H72" s="160">
        <v>1034784000</v>
      </c>
      <c r="I72" s="66">
        <v>2797151000</v>
      </c>
      <c r="J72" s="66">
        <v>1232942000</v>
      </c>
      <c r="K72" s="66"/>
      <c r="L72" s="66"/>
      <c r="M72" s="66"/>
      <c r="N72" s="66"/>
    </row>
    <row r="73" spans="2:14">
      <c r="B73" s="59" t="s">
        <v>391</v>
      </c>
      <c r="C73" s="161">
        <v>53813462000</v>
      </c>
      <c r="D73" s="66">
        <v>72853822000</v>
      </c>
      <c r="E73" s="66">
        <v>82089606000</v>
      </c>
      <c r="F73" s="66">
        <v>72783207000</v>
      </c>
      <c r="G73" s="66">
        <v>99989405000</v>
      </c>
      <c r="H73" s="160">
        <v>119815298000</v>
      </c>
      <c r="I73" s="66">
        <v>121476979000</v>
      </c>
      <c r="J73" s="66">
        <v>148809198000</v>
      </c>
      <c r="K73" s="66"/>
      <c r="L73" s="66"/>
      <c r="M73" s="66"/>
      <c r="N73" s="66"/>
    </row>
    <row r="74" spans="2:14">
      <c r="B74" s="59" t="s">
        <v>392</v>
      </c>
      <c r="C74" s="66">
        <v>5458310000</v>
      </c>
      <c r="D74" s="66">
        <v>5140984000</v>
      </c>
      <c r="E74" s="66">
        <v>5085359000</v>
      </c>
      <c r="F74" s="66">
        <v>4559050000</v>
      </c>
      <c r="G74" s="66">
        <v>2699220000</v>
      </c>
      <c r="H74" s="160">
        <v>10333102000</v>
      </c>
      <c r="I74" s="66">
        <v>6495030000</v>
      </c>
      <c r="J74" s="66">
        <v>4971000000</v>
      </c>
      <c r="K74" s="66"/>
      <c r="L74" s="66"/>
      <c r="M74" s="66"/>
      <c r="N74" s="66"/>
    </row>
    <row r="75" spans="2:14">
      <c r="B75" s="59" t="s">
        <v>318</v>
      </c>
      <c r="C75" s="66">
        <f t="shared" ref="C75:N75" si="68">+C67-C68-C73-C74-C72-C71-C70-C69</f>
        <v>3462541000</v>
      </c>
      <c r="D75" s="66">
        <f t="shared" si="68"/>
        <v>3462521000</v>
      </c>
      <c r="E75" s="66">
        <f t="shared" si="68"/>
        <v>3653131000</v>
      </c>
      <c r="F75" s="66">
        <f t="shared" si="68"/>
        <v>0</v>
      </c>
      <c r="G75" s="66">
        <f t="shared" si="68"/>
        <v>0</v>
      </c>
      <c r="H75" s="66">
        <f t="shared" si="68"/>
        <v>0</v>
      </c>
      <c r="I75" s="66">
        <f t="shared" si="68"/>
        <v>0</v>
      </c>
      <c r="J75" s="66">
        <f t="shared" si="68"/>
        <v>0</v>
      </c>
      <c r="K75" s="66">
        <f t="shared" si="68"/>
        <v>0</v>
      </c>
      <c r="L75" s="66">
        <f t="shared" si="68"/>
        <v>0</v>
      </c>
      <c r="M75" s="66">
        <f t="shared" si="68"/>
        <v>0</v>
      </c>
      <c r="N75" s="66">
        <f t="shared" si="68"/>
        <v>0</v>
      </c>
    </row>
    <row r="76" spans="2:14">
      <c r="B76" s="58" t="s">
        <v>319</v>
      </c>
      <c r="C76" s="64">
        <v>518480503000</v>
      </c>
      <c r="D76" s="64">
        <v>579011442000</v>
      </c>
      <c r="E76" s="64">
        <v>636639674000</v>
      </c>
      <c r="F76" s="159">
        <v>639313919000</v>
      </c>
      <c r="G76" s="64">
        <v>728100855000</v>
      </c>
      <c r="H76" s="141">
        <v>780999591000</v>
      </c>
      <c r="I76" s="64">
        <v>812454969000</v>
      </c>
      <c r="J76" s="64">
        <v>877440940000</v>
      </c>
      <c r="K76" s="64"/>
      <c r="L76" s="64"/>
      <c r="M76" s="64"/>
      <c r="N76" s="64"/>
    </row>
    <row r="77" spans="2:14">
      <c r="B77" s="59" t="s">
        <v>393</v>
      </c>
      <c r="C77" s="66">
        <v>905058000</v>
      </c>
      <c r="D77" s="66">
        <v>1223135000</v>
      </c>
      <c r="E77" s="66">
        <v>888306000</v>
      </c>
      <c r="F77" s="66">
        <v>417700000</v>
      </c>
      <c r="G77" s="66">
        <v>17789875000</v>
      </c>
      <c r="H77" s="160">
        <v>16877414000</v>
      </c>
      <c r="I77" s="66">
        <v>24170010000</v>
      </c>
      <c r="J77" s="66">
        <v>27254814000</v>
      </c>
      <c r="K77" s="66"/>
      <c r="L77" s="66"/>
      <c r="M77" s="66"/>
      <c r="N77" s="66"/>
    </row>
    <row r="78" spans="2:14">
      <c r="B78" s="59" t="s">
        <v>394</v>
      </c>
      <c r="C78" s="66">
        <v>481132000</v>
      </c>
      <c r="D78" s="66">
        <v>635309000</v>
      </c>
      <c r="E78" s="66">
        <v>548921000</v>
      </c>
      <c r="F78" s="66">
        <v>379552000</v>
      </c>
      <c r="G78" s="66">
        <v>619502000</v>
      </c>
      <c r="H78" s="160">
        <v>1454933000</v>
      </c>
      <c r="I78" s="66">
        <v>1088348000</v>
      </c>
      <c r="J78" s="66">
        <v>1334284000</v>
      </c>
      <c r="K78" s="66"/>
      <c r="L78" s="66"/>
      <c r="M78" s="66"/>
      <c r="N78" s="66"/>
    </row>
    <row r="79" spans="2:14">
      <c r="B79" s="59" t="s">
        <v>395</v>
      </c>
      <c r="C79" s="66">
        <v>0</v>
      </c>
      <c r="D79" s="66">
        <v>702911000</v>
      </c>
      <c r="E79" s="66">
        <v>48605378000</v>
      </c>
      <c r="F79" s="66">
        <v>49976178000</v>
      </c>
      <c r="G79" s="66">
        <v>55227388000</v>
      </c>
      <c r="H79" s="160">
        <v>59462495000</v>
      </c>
      <c r="I79" s="66">
        <v>62170750000</v>
      </c>
      <c r="J79" s="66">
        <v>65246333000</v>
      </c>
      <c r="K79" s="66"/>
      <c r="L79" s="66"/>
      <c r="M79" s="66"/>
      <c r="N79" s="66"/>
    </row>
    <row r="80" spans="2:14">
      <c r="B80" s="59" t="s">
        <v>396</v>
      </c>
      <c r="C80" s="66">
        <v>44254151000</v>
      </c>
      <c r="D80" s="66">
        <v>48137934000</v>
      </c>
      <c r="E80" s="66">
        <v>144477536000</v>
      </c>
      <c r="F80" s="66">
        <v>144477536000</v>
      </c>
      <c r="G80" s="66">
        <v>144477536000</v>
      </c>
      <c r="H80" s="160">
        <v>144477536000</v>
      </c>
      <c r="I80" s="66">
        <v>144477536000</v>
      </c>
      <c r="J80" s="66">
        <v>144477536000</v>
      </c>
      <c r="K80" s="66"/>
      <c r="L80" s="66"/>
      <c r="M80" s="66"/>
      <c r="N80" s="66"/>
    </row>
    <row r="81" spans="2:14">
      <c r="B81" s="59" t="s">
        <v>397</v>
      </c>
      <c r="C81" s="66">
        <v>144477536000</v>
      </c>
      <c r="D81" s="66">
        <v>144477536000</v>
      </c>
      <c r="E81" s="66">
        <v>4368624000</v>
      </c>
      <c r="F81" s="66">
        <v>4269820000</v>
      </c>
      <c r="G81" s="66">
        <v>4519709000</v>
      </c>
      <c r="H81" s="160">
        <v>4572390000</v>
      </c>
      <c r="I81" s="66">
        <v>5255740000</v>
      </c>
      <c r="J81" s="66">
        <v>5473268000</v>
      </c>
      <c r="K81" s="66"/>
      <c r="L81" s="66"/>
      <c r="M81" s="66"/>
      <c r="N81" s="66"/>
    </row>
    <row r="82" spans="2:14">
      <c r="B82" s="59" t="s">
        <v>398</v>
      </c>
      <c r="C82" s="66">
        <v>4143193000</v>
      </c>
      <c r="D82" s="66">
        <v>4278363000</v>
      </c>
      <c r="E82" s="66">
        <v>397850436000</v>
      </c>
      <c r="F82" s="66">
        <v>395009785000</v>
      </c>
      <c r="G82" s="66">
        <v>452870420000</v>
      </c>
      <c r="H82" s="160">
        <v>504157671000</v>
      </c>
      <c r="I82" s="66">
        <v>525347495000</v>
      </c>
      <c r="J82" s="66">
        <v>580104574</v>
      </c>
      <c r="K82" s="66"/>
      <c r="L82" s="66"/>
      <c r="M82" s="66"/>
      <c r="N82" s="66"/>
    </row>
    <row r="83" spans="2:14">
      <c r="B83" s="59" t="s">
        <v>399</v>
      </c>
      <c r="C83" s="66">
        <v>284112646000</v>
      </c>
      <c r="D83" s="66">
        <v>343188007000</v>
      </c>
      <c r="E83" s="66">
        <v>1413566000</v>
      </c>
      <c r="F83" s="66">
        <v>1406454000</v>
      </c>
      <c r="G83" s="66">
        <v>1399342000</v>
      </c>
      <c r="H83" s="160">
        <v>0</v>
      </c>
      <c r="I83" s="66"/>
      <c r="J83" s="66">
        <v>0</v>
      </c>
      <c r="K83" s="66"/>
      <c r="L83" s="66"/>
      <c r="M83" s="66"/>
      <c r="N83" s="66"/>
    </row>
    <row r="84" spans="2:14">
      <c r="B84" s="59" t="s">
        <v>400</v>
      </c>
      <c r="C84" s="66">
        <v>998785000</v>
      </c>
      <c r="D84" s="66">
        <v>991673000</v>
      </c>
      <c r="E84" s="66">
        <v>3834061000</v>
      </c>
      <c r="F84" s="161">
        <v>4644501000</v>
      </c>
      <c r="G84" s="66">
        <v>2938963000</v>
      </c>
      <c r="H84" s="160">
        <v>3315105000</v>
      </c>
      <c r="I84" s="66">
        <v>3222870000</v>
      </c>
      <c r="J84" s="66">
        <v>3650885000</v>
      </c>
      <c r="K84" s="66"/>
      <c r="L84" s="66"/>
      <c r="M84" s="66"/>
      <c r="N84" s="66"/>
    </row>
    <row r="85" spans="2:14">
      <c r="B85" s="59" t="s">
        <v>401</v>
      </c>
      <c r="C85" s="66">
        <v>39108002000</v>
      </c>
      <c r="D85" s="66">
        <v>35376574000</v>
      </c>
      <c r="E85" s="66">
        <v>34652846000</v>
      </c>
      <c r="F85" s="66">
        <v>38732393000</v>
      </c>
      <c r="G85" s="66">
        <v>48258120000</v>
      </c>
      <c r="H85" s="160">
        <v>46682047000</v>
      </c>
      <c r="I85" s="66">
        <v>46722220000</v>
      </c>
      <c r="J85" s="66">
        <v>49899246000</v>
      </c>
      <c r="K85" s="66"/>
      <c r="L85" s="66"/>
      <c r="M85" s="66"/>
      <c r="N85" s="66"/>
    </row>
    <row r="86" spans="2:14">
      <c r="B86" s="59" t="s">
        <v>328</v>
      </c>
      <c r="C86" s="66">
        <f t="shared" ref="C86:N86" si="69">+C76-C83-C84-C82-C77-C85-C81-C80-C79-C78</f>
        <v>0</v>
      </c>
      <c r="D86" s="66">
        <f t="shared" si="69"/>
        <v>0</v>
      </c>
      <c r="E86" s="66">
        <f t="shared" si="69"/>
        <v>0</v>
      </c>
      <c r="F86" s="66">
        <f t="shared" si="69"/>
        <v>0</v>
      </c>
      <c r="G86" s="66">
        <f t="shared" si="69"/>
        <v>0</v>
      </c>
      <c r="H86" s="66">
        <f t="shared" si="69"/>
        <v>0</v>
      </c>
      <c r="I86" s="66">
        <f t="shared" si="69"/>
        <v>0</v>
      </c>
      <c r="J86" s="66">
        <f t="shared" si="69"/>
        <v>579524469426</v>
      </c>
      <c r="K86" s="66">
        <f t="shared" si="69"/>
        <v>0</v>
      </c>
      <c r="L86" s="66">
        <f t="shared" si="69"/>
        <v>0</v>
      </c>
      <c r="M86" s="66">
        <f t="shared" si="69"/>
        <v>0</v>
      </c>
      <c r="N86" s="66">
        <f t="shared" si="69"/>
        <v>0</v>
      </c>
    </row>
    <row r="87" spans="2:14" ht="14.65" thickBot="1">
      <c r="B87" s="60" t="s">
        <v>329</v>
      </c>
      <c r="C87" s="70">
        <f t="shared" ref="C87:N87" si="70">+C76+C67</f>
        <v>719576197000</v>
      </c>
      <c r="D87" s="70">
        <f t="shared" si="70"/>
        <v>771369596000</v>
      </c>
      <c r="E87" s="70">
        <f t="shared" si="70"/>
        <v>858848153000</v>
      </c>
      <c r="F87" s="70">
        <f t="shared" si="70"/>
        <v>913276856000</v>
      </c>
      <c r="G87" s="70">
        <f t="shared" si="70"/>
        <v>1041860487000</v>
      </c>
      <c r="H87" s="162">
        <f t="shared" si="70"/>
        <v>1123656996000</v>
      </c>
      <c r="I87" s="162">
        <f t="shared" si="70"/>
        <v>1260096272000</v>
      </c>
      <c r="J87" s="162">
        <f t="shared" si="70"/>
        <v>1291471322000</v>
      </c>
      <c r="K87" s="162">
        <f t="shared" si="70"/>
        <v>0</v>
      </c>
      <c r="L87" s="162">
        <f t="shared" si="70"/>
        <v>0</v>
      </c>
      <c r="M87" s="162">
        <f t="shared" si="70"/>
        <v>0</v>
      </c>
      <c r="N87" s="162">
        <f t="shared" si="70"/>
        <v>0</v>
      </c>
    </row>
    <row r="88" spans="2:14" ht="14.65" thickBot="1">
      <c r="B88" s="61"/>
      <c r="C88" s="72"/>
      <c r="D88" s="72"/>
      <c r="E88" s="72"/>
      <c r="F88" s="72"/>
      <c r="G88" s="72"/>
      <c r="H88" s="163"/>
      <c r="I88" s="72"/>
      <c r="J88" s="72"/>
      <c r="K88" s="72"/>
      <c r="L88" s="72"/>
      <c r="M88" s="72"/>
      <c r="N88" s="72"/>
    </row>
    <row r="89" spans="2:14">
      <c r="B89" s="57" t="s">
        <v>330</v>
      </c>
      <c r="C89" s="62"/>
      <c r="D89" s="62"/>
      <c r="E89" s="62"/>
      <c r="F89" s="62"/>
      <c r="G89" s="62"/>
      <c r="H89" s="164"/>
      <c r="I89" s="62"/>
      <c r="J89" s="62"/>
      <c r="K89" s="62"/>
      <c r="L89" s="62"/>
      <c r="M89" s="62"/>
      <c r="N89" s="62"/>
    </row>
    <row r="90" spans="2:14">
      <c r="B90" s="58" t="s">
        <v>310</v>
      </c>
      <c r="C90" s="64">
        <v>141231657000</v>
      </c>
      <c r="D90" s="64">
        <v>183871197000</v>
      </c>
      <c r="E90" s="64">
        <v>212609540000</v>
      </c>
      <c r="F90" s="64">
        <v>194411361000</v>
      </c>
      <c r="G90" s="64">
        <v>317400986000</v>
      </c>
      <c r="H90" s="141">
        <v>292987337000</v>
      </c>
      <c r="I90" s="64">
        <v>345091270000</v>
      </c>
      <c r="J90" s="64">
        <v>317234594000</v>
      </c>
      <c r="K90" s="64"/>
      <c r="L90" s="64"/>
      <c r="M90" s="64"/>
      <c r="N90" s="64"/>
    </row>
    <row r="91" spans="2:14">
      <c r="B91" s="59" t="s">
        <v>402</v>
      </c>
      <c r="C91" s="66">
        <v>18657492000</v>
      </c>
      <c r="D91" s="66">
        <v>35179760000</v>
      </c>
      <c r="E91" s="66">
        <v>33417579000</v>
      </c>
      <c r="F91" s="66">
        <v>30134093000</v>
      </c>
      <c r="G91" s="66">
        <v>51601748000</v>
      </c>
      <c r="H91" s="160">
        <v>27602276000</v>
      </c>
      <c r="I91" s="66">
        <v>89710728000</v>
      </c>
      <c r="J91" s="66">
        <v>63470147000</v>
      </c>
      <c r="K91" s="66"/>
      <c r="L91" s="66"/>
      <c r="M91" s="66"/>
      <c r="N91" s="66"/>
    </row>
    <row r="92" spans="2:14">
      <c r="B92" s="59" t="s">
        <v>403</v>
      </c>
      <c r="C92" s="66"/>
      <c r="D92" s="66"/>
      <c r="E92" s="66">
        <v>2477263000</v>
      </c>
      <c r="F92" s="66">
        <v>2027424000</v>
      </c>
      <c r="G92" s="66">
        <v>2185556000</v>
      </c>
      <c r="H92" s="160">
        <v>2951332000</v>
      </c>
      <c r="I92" s="66">
        <v>3289780000</v>
      </c>
      <c r="J92" s="66">
        <v>3668598000</v>
      </c>
      <c r="K92" s="66"/>
      <c r="L92" s="66"/>
      <c r="M92" s="66"/>
      <c r="N92" s="66"/>
    </row>
    <row r="93" spans="2:14">
      <c r="B93" s="59" t="s">
        <v>404</v>
      </c>
      <c r="C93" s="66">
        <v>7135156000</v>
      </c>
      <c r="D93" s="66">
        <v>9230647000</v>
      </c>
      <c r="E93" s="66">
        <v>7922676000</v>
      </c>
      <c r="F93" s="66">
        <v>8415653000</v>
      </c>
      <c r="G93" s="66">
        <v>10047812000</v>
      </c>
      <c r="H93" s="160">
        <v>10934912000</v>
      </c>
      <c r="I93" s="66">
        <v>6793583000</v>
      </c>
      <c r="J93" s="66">
        <v>8132532000</v>
      </c>
      <c r="K93" s="66"/>
      <c r="L93" s="66"/>
      <c r="M93" s="66"/>
      <c r="N93" s="66"/>
    </row>
    <row r="94" spans="2:14">
      <c r="B94" s="59" t="s">
        <v>405</v>
      </c>
      <c r="C94" s="66">
        <v>90225239000</v>
      </c>
      <c r="D94" s="66">
        <v>113488856000</v>
      </c>
      <c r="E94" s="66">
        <v>137731938000</v>
      </c>
      <c r="F94" s="66">
        <v>134952340000</v>
      </c>
      <c r="G94" s="66">
        <v>204117155000</v>
      </c>
      <c r="H94" s="160">
        <v>207869982000</v>
      </c>
      <c r="I94" s="66">
        <v>207193037000</v>
      </c>
      <c r="J94" s="66">
        <v>214249736000</v>
      </c>
      <c r="K94" s="66"/>
      <c r="L94" s="66"/>
      <c r="M94" s="66"/>
      <c r="N94" s="66"/>
    </row>
    <row r="95" spans="2:14">
      <c r="B95" s="59" t="s">
        <v>406</v>
      </c>
      <c r="C95" s="66">
        <v>6602908000</v>
      </c>
      <c r="D95" s="66">
        <v>7210675000</v>
      </c>
      <c r="E95" s="66">
        <v>9889788000</v>
      </c>
      <c r="F95" s="66">
        <v>5769475000</v>
      </c>
      <c r="G95" s="66">
        <v>7008309000</v>
      </c>
      <c r="H95" s="160">
        <v>16987627000</v>
      </c>
      <c r="I95" s="66">
        <v>12922384000</v>
      </c>
      <c r="J95" s="66">
        <v>11375796000</v>
      </c>
      <c r="K95" s="66"/>
      <c r="L95" s="66"/>
      <c r="M95" s="66"/>
      <c r="N95" s="66"/>
    </row>
    <row r="96" spans="2:14">
      <c r="B96" s="59" t="s">
        <v>407</v>
      </c>
      <c r="C96" s="66">
        <v>12625860000</v>
      </c>
      <c r="D96" s="66">
        <v>13243963000</v>
      </c>
      <c r="E96" s="66">
        <v>14121500000</v>
      </c>
      <c r="F96" s="66">
        <v>1910962000</v>
      </c>
      <c r="G96" s="66">
        <v>26120331000</v>
      </c>
      <c r="H96" s="160">
        <v>16186464000</v>
      </c>
      <c r="I96" s="66">
        <v>11581020000</v>
      </c>
      <c r="J96" s="66">
        <v>1317699000</v>
      </c>
      <c r="K96" s="66"/>
      <c r="L96" s="66"/>
      <c r="M96" s="66"/>
      <c r="N96" s="66"/>
    </row>
    <row r="97" spans="2:14">
      <c r="B97" s="59" t="s">
        <v>408</v>
      </c>
      <c r="C97" s="66">
        <v>1063337000</v>
      </c>
      <c r="D97" s="66">
        <v>389233000</v>
      </c>
      <c r="E97" s="66">
        <v>949896000</v>
      </c>
      <c r="F97" s="66">
        <v>2556307000</v>
      </c>
      <c r="G97" s="66">
        <v>9081736000</v>
      </c>
      <c r="H97" s="160">
        <v>1128957000</v>
      </c>
      <c r="I97" s="66">
        <v>2917790000</v>
      </c>
      <c r="J97" s="66">
        <v>2458975000</v>
      </c>
      <c r="K97" s="66"/>
      <c r="L97" s="66"/>
      <c r="M97" s="66"/>
      <c r="N97" s="66"/>
    </row>
    <row r="98" spans="2:14">
      <c r="B98" s="59" t="s">
        <v>409</v>
      </c>
      <c r="C98" s="66">
        <v>4921665000</v>
      </c>
      <c r="D98" s="66">
        <v>5128063000</v>
      </c>
      <c r="E98" s="66">
        <v>6098900000</v>
      </c>
      <c r="F98" s="66">
        <v>8645107000</v>
      </c>
      <c r="G98" s="66">
        <v>7238339000</v>
      </c>
      <c r="H98" s="160">
        <v>9325787000</v>
      </c>
      <c r="I98" s="66">
        <v>10682948000</v>
      </c>
      <c r="J98" s="66">
        <v>12561111</v>
      </c>
      <c r="K98" s="66"/>
      <c r="L98" s="66"/>
      <c r="M98" s="66"/>
      <c r="N98" s="66"/>
    </row>
    <row r="99" spans="2:14">
      <c r="B99" s="59" t="s">
        <v>410</v>
      </c>
      <c r="C99" s="66">
        <f t="shared" ref="C99:N99" si="71">+C90-C91-C97-C98-C96-C95-C94-C93-C92</f>
        <v>0</v>
      </c>
      <c r="D99" s="66">
        <f t="shared" si="71"/>
        <v>0</v>
      </c>
      <c r="E99" s="66">
        <f t="shared" si="71"/>
        <v>0</v>
      </c>
      <c r="F99" s="66">
        <f t="shared" si="71"/>
        <v>0</v>
      </c>
      <c r="G99" s="66">
        <f t="shared" si="71"/>
        <v>0</v>
      </c>
      <c r="H99" s="66">
        <f t="shared" si="71"/>
        <v>0</v>
      </c>
      <c r="I99" s="66">
        <f t="shared" si="71"/>
        <v>0</v>
      </c>
      <c r="J99" s="66">
        <f t="shared" si="71"/>
        <v>12548549889</v>
      </c>
      <c r="K99" s="66">
        <f t="shared" si="71"/>
        <v>0</v>
      </c>
      <c r="L99" s="66">
        <f t="shared" si="71"/>
        <v>0</v>
      </c>
      <c r="M99" s="66">
        <f t="shared" si="71"/>
        <v>0</v>
      </c>
      <c r="N99" s="66">
        <f t="shared" si="71"/>
        <v>0</v>
      </c>
    </row>
    <row r="100" spans="2:14">
      <c r="B100" s="58" t="s">
        <v>319</v>
      </c>
      <c r="C100" s="64">
        <v>224761997000</v>
      </c>
      <c r="D100" s="64">
        <v>213303222000</v>
      </c>
      <c r="E100" s="64">
        <v>256591241000</v>
      </c>
      <c r="F100" s="64">
        <v>298924327000</v>
      </c>
      <c r="G100" s="64">
        <v>293826642000</v>
      </c>
      <c r="H100" s="141">
        <v>339896129000</v>
      </c>
      <c r="I100" s="64">
        <v>385276014000</v>
      </c>
      <c r="J100" s="64">
        <v>391900581000</v>
      </c>
      <c r="K100" s="64"/>
      <c r="L100" s="64"/>
      <c r="M100" s="64"/>
      <c r="N100" s="64"/>
    </row>
    <row r="101" spans="2:14">
      <c r="B101" s="59" t="s">
        <v>411</v>
      </c>
      <c r="C101" s="66">
        <v>205839880000</v>
      </c>
      <c r="D101" s="66">
        <v>188271586000</v>
      </c>
      <c r="E101" s="66">
        <v>232152700000</v>
      </c>
      <c r="F101" s="66">
        <v>274432872000</v>
      </c>
      <c r="G101" s="66">
        <v>267424069000</v>
      </c>
      <c r="H101" s="160">
        <v>313303014000</v>
      </c>
      <c r="I101" s="66">
        <v>357756519000</v>
      </c>
      <c r="J101" s="66">
        <v>362536302000</v>
      </c>
      <c r="K101" s="66"/>
      <c r="L101" s="66"/>
      <c r="M101" s="66"/>
      <c r="N101" s="66"/>
    </row>
    <row r="102" spans="2:14">
      <c r="B102" s="59" t="s">
        <v>412</v>
      </c>
      <c r="C102" s="66">
        <v>0</v>
      </c>
      <c r="D102" s="66">
        <v>3770990000</v>
      </c>
      <c r="E102" s="66">
        <v>1529415000</v>
      </c>
      <c r="F102" s="66">
        <v>2718949000</v>
      </c>
      <c r="G102" s="66">
        <v>904001000</v>
      </c>
      <c r="H102" s="160">
        <v>468944000</v>
      </c>
      <c r="I102" s="66">
        <v>0</v>
      </c>
      <c r="J102" s="66">
        <v>0</v>
      </c>
      <c r="K102" s="66"/>
      <c r="L102" s="66"/>
      <c r="M102" s="66"/>
      <c r="N102" s="66"/>
    </row>
    <row r="103" spans="2:14">
      <c r="B103" s="59" t="s">
        <v>413</v>
      </c>
      <c r="C103" s="66">
        <v>18922117000</v>
      </c>
      <c r="D103" s="66">
        <v>21260646000</v>
      </c>
      <c r="E103" s="66">
        <v>22909126000</v>
      </c>
      <c r="F103" s="66">
        <v>21772506000</v>
      </c>
      <c r="G103" s="66">
        <v>0</v>
      </c>
      <c r="H103" s="160">
        <v>315182000</v>
      </c>
      <c r="I103" s="66">
        <v>251914000</v>
      </c>
      <c r="J103" s="66">
        <v>219046000</v>
      </c>
      <c r="K103" s="66"/>
      <c r="L103" s="66"/>
      <c r="M103" s="66"/>
      <c r="N103" s="66"/>
    </row>
    <row r="104" spans="2:14">
      <c r="B104" s="59" t="s">
        <v>414</v>
      </c>
      <c r="C104" s="66"/>
      <c r="D104" s="66"/>
      <c r="E104" s="66"/>
      <c r="F104" s="66"/>
      <c r="G104" s="66">
        <v>25498572000</v>
      </c>
      <c r="H104" s="160">
        <v>25808989000</v>
      </c>
      <c r="I104" s="66">
        <v>27267581000</v>
      </c>
      <c r="J104" s="66">
        <v>29145233000</v>
      </c>
      <c r="K104" s="66"/>
      <c r="L104" s="66"/>
      <c r="M104" s="66"/>
      <c r="N104" s="66"/>
    </row>
    <row r="105" spans="2:14">
      <c r="B105" s="59" t="s">
        <v>341</v>
      </c>
      <c r="C105" s="66">
        <f t="shared" ref="C105:N105" si="72">+C100-C101-C103-C104-C102</f>
        <v>0</v>
      </c>
      <c r="D105" s="66">
        <f t="shared" si="72"/>
        <v>0</v>
      </c>
      <c r="E105" s="66">
        <f t="shared" si="72"/>
        <v>0</v>
      </c>
      <c r="F105" s="66">
        <f t="shared" si="72"/>
        <v>0</v>
      </c>
      <c r="G105" s="66">
        <f t="shared" si="72"/>
        <v>0</v>
      </c>
      <c r="H105" s="66">
        <f t="shared" si="72"/>
        <v>0</v>
      </c>
      <c r="I105" s="66">
        <f t="shared" si="72"/>
        <v>0</v>
      </c>
      <c r="J105" s="66">
        <f t="shared" si="72"/>
        <v>0</v>
      </c>
      <c r="K105" s="66">
        <f t="shared" si="72"/>
        <v>0</v>
      </c>
      <c r="L105" s="66">
        <f t="shared" si="72"/>
        <v>0</v>
      </c>
      <c r="M105" s="66">
        <f t="shared" si="72"/>
        <v>0</v>
      </c>
      <c r="N105" s="66">
        <f t="shared" si="72"/>
        <v>0</v>
      </c>
    </row>
    <row r="106" spans="2:14" ht="14.65" thickBot="1">
      <c r="B106" s="60" t="s">
        <v>342</v>
      </c>
      <c r="C106" s="70">
        <f t="shared" ref="C106:N106" si="73">+C100+C90</f>
        <v>365993654000</v>
      </c>
      <c r="D106" s="70">
        <f t="shared" si="73"/>
        <v>397174419000</v>
      </c>
      <c r="E106" s="70">
        <f t="shared" si="73"/>
        <v>469200781000</v>
      </c>
      <c r="F106" s="70">
        <f t="shared" si="73"/>
        <v>493335688000</v>
      </c>
      <c r="G106" s="70">
        <f t="shared" si="73"/>
        <v>611227628000</v>
      </c>
      <c r="H106" s="162">
        <f t="shared" si="73"/>
        <v>632883466000</v>
      </c>
      <c r="I106" s="162">
        <f t="shared" si="73"/>
        <v>730367284000</v>
      </c>
      <c r="J106" s="162">
        <f t="shared" si="73"/>
        <v>709135175000</v>
      </c>
      <c r="K106" s="162">
        <f t="shared" si="73"/>
        <v>0</v>
      </c>
      <c r="L106" s="162">
        <f t="shared" si="73"/>
        <v>0</v>
      </c>
      <c r="M106" s="162">
        <f t="shared" si="73"/>
        <v>0</v>
      </c>
      <c r="N106" s="162">
        <f t="shared" si="73"/>
        <v>0</v>
      </c>
    </row>
    <row r="107" spans="2:14" ht="14.65" thickBot="1">
      <c r="B107" s="61"/>
      <c r="C107" s="61"/>
      <c r="D107" s="61"/>
      <c r="E107" s="61"/>
      <c r="F107" s="61"/>
      <c r="G107" s="61"/>
      <c r="H107" s="61"/>
      <c r="I107" s="61"/>
      <c r="J107" s="61"/>
      <c r="K107" s="61"/>
      <c r="L107" s="61"/>
      <c r="M107" s="61"/>
      <c r="N107" s="61"/>
    </row>
    <row r="108" spans="2:14">
      <c r="B108" s="57" t="s">
        <v>343</v>
      </c>
      <c r="C108" s="62"/>
      <c r="D108" s="62"/>
      <c r="E108" s="62"/>
      <c r="F108" s="62"/>
      <c r="G108" s="62"/>
      <c r="H108" s="164"/>
      <c r="I108" s="62"/>
      <c r="J108" s="62"/>
      <c r="K108" s="62"/>
      <c r="L108" s="62"/>
      <c r="M108" s="62"/>
      <c r="N108" s="62"/>
    </row>
    <row r="109" spans="2:14">
      <c r="B109" s="59" t="s">
        <v>415</v>
      </c>
      <c r="C109" s="160">
        <v>160519729000</v>
      </c>
      <c r="D109" s="160">
        <v>160519729000</v>
      </c>
      <c r="E109" s="160">
        <v>160519729000</v>
      </c>
      <c r="F109" s="160">
        <v>160519729000</v>
      </c>
      <c r="G109" s="160">
        <v>160519729000</v>
      </c>
      <c r="H109" s="160">
        <v>160519729000</v>
      </c>
      <c r="I109" s="160">
        <v>160519729000</v>
      </c>
      <c r="J109" s="160">
        <v>160519729000</v>
      </c>
      <c r="K109" s="160"/>
      <c r="L109" s="160"/>
      <c r="M109" s="160"/>
      <c r="N109" s="160"/>
    </row>
    <row r="110" spans="2:14">
      <c r="B110" s="59" t="s">
        <v>416</v>
      </c>
      <c r="C110" s="66">
        <v>170689706000</v>
      </c>
      <c r="D110" s="66">
        <v>182702486000</v>
      </c>
      <c r="E110" s="66">
        <v>184719720000</v>
      </c>
      <c r="F110" s="66">
        <v>220633469000</v>
      </c>
      <c r="G110" s="66">
        <v>212889718000</v>
      </c>
      <c r="H110" s="160">
        <v>259308702000</v>
      </c>
      <c r="I110" s="66">
        <v>296193619000</v>
      </c>
      <c r="J110" s="66">
        <v>328847194000</v>
      </c>
      <c r="K110" s="66"/>
      <c r="L110" s="66"/>
      <c r="M110" s="66"/>
      <c r="N110" s="66"/>
    </row>
    <row r="111" spans="2:14">
      <c r="B111" s="59" t="s">
        <v>345</v>
      </c>
      <c r="C111" s="66">
        <v>22362179000</v>
      </c>
      <c r="D111" s="66">
        <v>30962077000</v>
      </c>
      <c r="E111" s="66">
        <v>44395152000</v>
      </c>
      <c r="F111" s="66">
        <v>38773848000</v>
      </c>
      <c r="G111" s="66">
        <v>57204861000</v>
      </c>
      <c r="H111" s="160">
        <v>70922042000</v>
      </c>
      <c r="I111" s="66">
        <v>72990863000</v>
      </c>
      <c r="J111" s="66">
        <v>92942174000</v>
      </c>
      <c r="K111" s="66"/>
      <c r="L111" s="66"/>
      <c r="M111" s="66"/>
      <c r="N111" s="66"/>
    </row>
    <row r="112" spans="2:14">
      <c r="B112" s="59" t="s">
        <v>419</v>
      </c>
      <c r="C112" s="66">
        <v>10929000</v>
      </c>
      <c r="D112" s="66">
        <v>10885000</v>
      </c>
      <c r="E112" s="66">
        <v>12771000</v>
      </c>
      <c r="F112" s="66">
        <v>14122000</v>
      </c>
      <c r="G112" s="66">
        <v>18551000</v>
      </c>
      <c r="H112" s="160">
        <v>23057000</v>
      </c>
      <c r="I112" s="66">
        <v>24777000</v>
      </c>
      <c r="J112" s="66">
        <v>27050000</v>
      </c>
      <c r="K112" s="66"/>
      <c r="L112" s="66"/>
      <c r="M112" s="66"/>
      <c r="N112" s="66"/>
    </row>
    <row r="113" spans="2:14" ht="14.65" thickBot="1">
      <c r="B113" s="60" t="s">
        <v>347</v>
      </c>
      <c r="C113" s="70">
        <f t="shared" ref="C113:F113" si="74">+C109+C111+C110</f>
        <v>353571614000</v>
      </c>
      <c r="D113" s="70">
        <f t="shared" si="74"/>
        <v>374184292000</v>
      </c>
      <c r="E113" s="70">
        <f t="shared" si="74"/>
        <v>389634601000</v>
      </c>
      <c r="F113" s="70">
        <f t="shared" si="74"/>
        <v>419927046000</v>
      </c>
      <c r="G113" s="70">
        <f>+G109+G111+G110</f>
        <v>430614308000</v>
      </c>
      <c r="H113" s="70">
        <f>+H109+H111+H110</f>
        <v>490750473000</v>
      </c>
      <c r="I113" s="70">
        <f>+I109+I111+I110</f>
        <v>529704211000</v>
      </c>
      <c r="J113" s="70">
        <f>+J109+J111+J110</f>
        <v>582309097000</v>
      </c>
      <c r="K113" s="70"/>
      <c r="L113" s="70"/>
      <c r="M113" s="70"/>
      <c r="N113" s="70"/>
    </row>
    <row r="115" spans="2:14" ht="14.65" thickBot="1">
      <c r="B115" s="75" t="s">
        <v>348</v>
      </c>
    </row>
    <row r="116" spans="2:14" ht="14.65" thickBot="1">
      <c r="B116" s="82" t="s">
        <v>308</v>
      </c>
      <c r="C116" s="88">
        <v>2017</v>
      </c>
      <c r="D116" s="88">
        <v>2018</v>
      </c>
      <c r="E116" s="88">
        <v>2019</v>
      </c>
      <c r="F116" s="88">
        <v>2020</v>
      </c>
      <c r="G116" s="88">
        <v>2021</v>
      </c>
      <c r="H116" s="88">
        <v>2022</v>
      </c>
      <c r="I116" s="88">
        <v>2023</v>
      </c>
      <c r="J116" s="88">
        <v>2024</v>
      </c>
      <c r="K116" s="88">
        <v>2025</v>
      </c>
      <c r="L116" s="88">
        <v>2026</v>
      </c>
      <c r="M116" s="88">
        <v>2027</v>
      </c>
      <c r="N116" s="88">
        <v>2028</v>
      </c>
    </row>
    <row r="117" spans="2:14">
      <c r="B117" s="83" t="s">
        <v>349</v>
      </c>
      <c r="C117" s="90">
        <v>547010044000</v>
      </c>
      <c r="D117" s="90">
        <v>564387521000</v>
      </c>
      <c r="E117" s="90">
        <v>623960268000</v>
      </c>
      <c r="F117" s="90">
        <v>668221244000</v>
      </c>
      <c r="G117" s="90">
        <v>934812880000</v>
      </c>
      <c r="H117" s="90">
        <v>1113177503000</v>
      </c>
      <c r="I117" s="90">
        <v>1201957961000</v>
      </c>
      <c r="J117" s="90">
        <v>1332494248000</v>
      </c>
      <c r="K117" s="90"/>
      <c r="L117" s="90"/>
      <c r="M117" s="90"/>
      <c r="N117" s="90"/>
    </row>
    <row r="118" spans="2:14">
      <c r="B118" s="85" t="s">
        <v>534</v>
      </c>
      <c r="C118" s="66">
        <v>-318891050000</v>
      </c>
      <c r="D118" s="66">
        <v>-324723729000</v>
      </c>
      <c r="E118" s="66">
        <v>-356235068000</v>
      </c>
      <c r="F118" s="66">
        <v>-381852127000</v>
      </c>
      <c r="G118" s="66">
        <v>-569020018000</v>
      </c>
      <c r="H118" s="66">
        <v>-693053832000</v>
      </c>
      <c r="I118" s="66">
        <v>-755570081000</v>
      </c>
      <c r="J118" s="66">
        <v>-839760380000</v>
      </c>
      <c r="K118" s="66"/>
      <c r="L118" s="66"/>
      <c r="M118" s="66"/>
      <c r="N118" s="66"/>
    </row>
    <row r="119" spans="2:14">
      <c r="B119" s="86" t="s">
        <v>422</v>
      </c>
      <c r="C119" s="64">
        <f t="shared" ref="C119:F119" si="75">+C117+C118</f>
        <v>228118994000</v>
      </c>
      <c r="D119" s="64">
        <f>+D117+D118</f>
        <v>239663792000</v>
      </c>
      <c r="E119" s="64">
        <f t="shared" si="75"/>
        <v>267725200000</v>
      </c>
      <c r="F119" s="64">
        <f t="shared" si="75"/>
        <v>286369117000</v>
      </c>
      <c r="G119" s="64">
        <f>+G117+G118</f>
        <v>365792862000</v>
      </c>
      <c r="H119" s="64">
        <f t="shared" ref="H119:J119" si="76">+H117+H118</f>
        <v>420123671000</v>
      </c>
      <c r="I119" s="64">
        <f t="shared" si="76"/>
        <v>446387880000</v>
      </c>
      <c r="J119" s="64">
        <f t="shared" si="76"/>
        <v>492733868000</v>
      </c>
      <c r="K119" s="64"/>
      <c r="L119" s="64"/>
      <c r="M119" s="64"/>
      <c r="N119" s="64"/>
    </row>
    <row r="120" spans="2:14">
      <c r="B120" s="85" t="s">
        <v>592</v>
      </c>
      <c r="C120" s="64">
        <v>422218000</v>
      </c>
      <c r="D120" s="64">
        <v>202779000</v>
      </c>
      <c r="E120" s="64">
        <v>498552000</v>
      </c>
      <c r="F120" s="117">
        <v>517908000</v>
      </c>
      <c r="G120" s="117">
        <v>692982000</v>
      </c>
      <c r="H120" s="117">
        <v>984770000</v>
      </c>
      <c r="I120" s="117">
        <v>577014000</v>
      </c>
      <c r="J120" s="117">
        <v>1594906000</v>
      </c>
      <c r="K120" s="117"/>
      <c r="L120" s="117"/>
      <c r="M120" s="117"/>
      <c r="N120" s="117"/>
    </row>
    <row r="121" spans="2:14">
      <c r="B121" s="85" t="s">
        <v>711</v>
      </c>
      <c r="C121" s="64">
        <v>-126392878000</v>
      </c>
      <c r="D121" s="64">
        <v>-139082052000</v>
      </c>
      <c r="E121" s="64">
        <v>-154987964000</v>
      </c>
      <c r="F121" s="117">
        <v>-165628473000</v>
      </c>
      <c r="G121" s="117">
        <v>-208850320000</v>
      </c>
      <c r="H121" s="117">
        <v>-246360337000</v>
      </c>
      <c r="I121" s="117">
        <v>-282128808000</v>
      </c>
      <c r="J121" s="117">
        <v>-313978137000</v>
      </c>
      <c r="K121" s="117"/>
      <c r="L121" s="117"/>
      <c r="M121" s="117"/>
      <c r="N121" s="117"/>
    </row>
    <row r="122" spans="2:14">
      <c r="B122" s="85" t="s">
        <v>537</v>
      </c>
      <c r="C122" s="64">
        <v>-30486100000</v>
      </c>
      <c r="D122" s="64">
        <v>-31320452000</v>
      </c>
      <c r="E122" s="64">
        <v>-36550734000</v>
      </c>
      <c r="F122" s="117">
        <v>-39601609000</v>
      </c>
      <c r="G122" s="117">
        <v>-40150969000</v>
      </c>
      <c r="H122" s="117">
        <v>-46740040000</v>
      </c>
      <c r="I122" s="117">
        <v>-56265532000</v>
      </c>
      <c r="J122" s="117">
        <v>-60556720000</v>
      </c>
      <c r="K122" s="117"/>
      <c r="L122" s="117"/>
      <c r="M122" s="117"/>
      <c r="N122" s="117"/>
    </row>
    <row r="123" spans="2:14">
      <c r="B123" s="85" t="s">
        <v>427</v>
      </c>
      <c r="C123" s="66">
        <v>474733000</v>
      </c>
      <c r="D123" s="66">
        <v>989983000</v>
      </c>
      <c r="E123" s="66">
        <v>-817152000</v>
      </c>
      <c r="F123" s="117">
        <v>-514333000</v>
      </c>
      <c r="G123" s="117">
        <v>-1336756000</v>
      </c>
      <c r="H123" s="117">
        <v>-1190723000</v>
      </c>
      <c r="I123" s="117">
        <v>-70303000</v>
      </c>
      <c r="J123" s="117">
        <v>-1676909000</v>
      </c>
      <c r="K123" s="117"/>
      <c r="L123" s="117"/>
      <c r="M123" s="117"/>
      <c r="N123" s="117"/>
    </row>
    <row r="124" spans="2:14">
      <c r="B124" s="86" t="s">
        <v>542</v>
      </c>
      <c r="C124" s="64">
        <f t="shared" ref="C124:G124" si="77">+C119+C123+C120+C121+C122</f>
        <v>72136967000</v>
      </c>
      <c r="D124" s="64">
        <f t="shared" si="77"/>
        <v>70454050000</v>
      </c>
      <c r="E124" s="64">
        <f t="shared" si="77"/>
        <v>75867902000</v>
      </c>
      <c r="F124" s="64">
        <f t="shared" si="77"/>
        <v>81142610000</v>
      </c>
      <c r="G124" s="64">
        <f t="shared" si="77"/>
        <v>116147799000</v>
      </c>
      <c r="H124" s="64">
        <f>+H119+H123+H120+H121+H122</f>
        <v>126817341000</v>
      </c>
      <c r="I124" s="64">
        <f>+I119+I123+I120+I121+I122</f>
        <v>108500251000</v>
      </c>
      <c r="J124" s="64">
        <f>+J119+J123+J120+J121+J122</f>
        <v>118117008000</v>
      </c>
      <c r="K124" s="64"/>
      <c r="L124" s="64"/>
      <c r="M124" s="64"/>
      <c r="N124" s="64"/>
    </row>
    <row r="125" spans="2:14">
      <c r="B125" s="85" t="s">
        <v>429</v>
      </c>
      <c r="C125" s="66">
        <v>712614000</v>
      </c>
      <c r="D125" s="66">
        <v>1073172000</v>
      </c>
      <c r="E125" s="66">
        <v>863686000</v>
      </c>
      <c r="F125" s="66">
        <v>584659000</v>
      </c>
      <c r="G125" s="131">
        <v>636717000</v>
      </c>
      <c r="H125" s="131">
        <v>1792404000</v>
      </c>
      <c r="I125" s="131">
        <v>6464261000</v>
      </c>
      <c r="J125" s="131">
        <v>7329298000</v>
      </c>
      <c r="K125" s="131"/>
      <c r="L125" s="131"/>
      <c r="M125" s="131"/>
      <c r="N125" s="131"/>
    </row>
    <row r="126" spans="2:14">
      <c r="B126" s="85" t="s">
        <v>430</v>
      </c>
      <c r="C126" s="66">
        <v>-11189165000</v>
      </c>
      <c r="D126" s="66">
        <v>-11048966000</v>
      </c>
      <c r="E126" s="66">
        <v>-13328178000</v>
      </c>
      <c r="F126" s="66">
        <v>-15383731000</v>
      </c>
      <c r="G126" s="131">
        <v>-13034897000</v>
      </c>
      <c r="H126" s="131">
        <v>-15971622000</v>
      </c>
      <c r="I126" s="131">
        <v>-17131418000</v>
      </c>
      <c r="J126" s="131">
        <v>-20125444000</v>
      </c>
      <c r="K126" s="131"/>
      <c r="L126" s="131"/>
      <c r="M126" s="131"/>
      <c r="N126" s="131"/>
    </row>
    <row r="127" spans="2:14">
      <c r="B127" s="85" t="s">
        <v>431</v>
      </c>
      <c r="C127" s="66">
        <v>1615613000</v>
      </c>
      <c r="D127" s="66">
        <v>877263000</v>
      </c>
      <c r="E127" s="66">
        <v>1649152000</v>
      </c>
      <c r="F127" s="66">
        <v>2455345000</v>
      </c>
      <c r="G127" s="131">
        <v>4345218000</v>
      </c>
      <c r="H127" s="131">
        <v>4284437000</v>
      </c>
      <c r="I127" s="131">
        <v>2942144000</v>
      </c>
      <c r="J127" s="131">
        <v>2099440000</v>
      </c>
      <c r="K127" s="131"/>
      <c r="L127" s="131"/>
      <c r="M127" s="131"/>
      <c r="N127" s="131"/>
    </row>
    <row r="128" spans="2:14">
      <c r="B128" s="85" t="s">
        <v>432</v>
      </c>
      <c r="C128" s="66">
        <v>-467135000</v>
      </c>
      <c r="D128" s="66">
        <v>2089159000</v>
      </c>
      <c r="E128" s="66">
        <v>-124735000</v>
      </c>
      <c r="F128" s="66">
        <v>-2934416000</v>
      </c>
      <c r="G128" s="131">
        <v>1769482000</v>
      </c>
      <c r="H128" s="131">
        <v>-1104212000</v>
      </c>
      <c r="I128" s="131">
        <v>-715362000</v>
      </c>
      <c r="J128" s="131">
        <v>-621346000</v>
      </c>
      <c r="K128" s="131"/>
      <c r="L128" s="131"/>
      <c r="M128" s="131"/>
      <c r="N128" s="131"/>
    </row>
    <row r="129" spans="2:14">
      <c r="B129" s="85" t="s">
        <v>433</v>
      </c>
      <c r="C129" s="66">
        <v>-1365282000</v>
      </c>
      <c r="D129" s="66">
        <v>-2321872000</v>
      </c>
      <c r="E129" s="66">
        <v>-703825000</v>
      </c>
      <c r="F129" s="66">
        <v>-1021586000</v>
      </c>
      <c r="G129" s="131">
        <v>-2636499000</v>
      </c>
      <c r="H129" s="131">
        <v>-5927642000</v>
      </c>
      <c r="I129" s="131">
        <v>-2021622000</v>
      </c>
      <c r="J129" s="131">
        <v>-4662062000</v>
      </c>
      <c r="K129" s="131"/>
      <c r="L129" s="131"/>
      <c r="M129" s="131"/>
      <c r="N129" s="131"/>
    </row>
    <row r="130" spans="2:14">
      <c r="B130" s="86" t="s">
        <v>362</v>
      </c>
      <c r="C130" s="64">
        <f t="shared" ref="C130:E130" si="78">+C124+C125+C126+C127+C128+C129</f>
        <v>61443612000</v>
      </c>
      <c r="D130" s="64">
        <f t="shared" si="78"/>
        <v>61122806000</v>
      </c>
      <c r="E130" s="64">
        <f t="shared" si="78"/>
        <v>64224002000</v>
      </c>
      <c r="F130" s="64">
        <f>+F124+F125+F126+F127+F128+F129</f>
        <v>64842881000</v>
      </c>
      <c r="G130" s="64">
        <f t="shared" ref="G130:J130" si="79">+G124+G125+G126+G127+G128+G129</f>
        <v>107227820000</v>
      </c>
      <c r="H130" s="64">
        <f t="shared" si="79"/>
        <v>109890706000</v>
      </c>
      <c r="I130" s="64">
        <f t="shared" si="79"/>
        <v>98038254000</v>
      </c>
      <c r="J130" s="64">
        <f t="shared" si="79"/>
        <v>102136894000</v>
      </c>
      <c r="K130" s="64"/>
      <c r="L130" s="64"/>
      <c r="M130" s="64"/>
      <c r="N130" s="64"/>
    </row>
    <row r="131" spans="2:14">
      <c r="B131" s="85" t="s">
        <v>363</v>
      </c>
      <c r="C131" s="66">
        <v>-19356864000</v>
      </c>
      <c r="D131" s="66">
        <v>-16976216000</v>
      </c>
      <c r="E131" s="66">
        <v>-17151188000</v>
      </c>
      <c r="F131" s="66">
        <v>-16206144000</v>
      </c>
      <c r="G131" s="91">
        <v>-20155767000</v>
      </c>
      <c r="H131" s="91">
        <v>-22651872000</v>
      </c>
      <c r="I131" s="91">
        <v>-26151670000</v>
      </c>
      <c r="J131" s="91">
        <v>-27852232000</v>
      </c>
      <c r="K131" s="91"/>
      <c r="L131" s="91"/>
      <c r="M131" s="91"/>
      <c r="N131" s="91"/>
    </row>
    <row r="132" spans="2:14">
      <c r="B132" s="84" t="s">
        <v>365</v>
      </c>
      <c r="C132" s="130">
        <f t="shared" ref="C132:G132" si="80">+C130+C131</f>
        <v>42086748000</v>
      </c>
      <c r="D132" s="130">
        <f t="shared" si="80"/>
        <v>44146590000</v>
      </c>
      <c r="E132" s="130">
        <f t="shared" si="80"/>
        <v>47072814000</v>
      </c>
      <c r="F132" s="130">
        <f t="shared" si="80"/>
        <v>48636737000</v>
      </c>
      <c r="G132" s="130">
        <f t="shared" si="80"/>
        <v>87072053000</v>
      </c>
      <c r="H132" s="130">
        <f>+H130+H131</f>
        <v>87238834000</v>
      </c>
      <c r="I132" s="130">
        <f>+I130+I131</f>
        <v>71886584000</v>
      </c>
      <c r="J132" s="130">
        <f>+J130+J131</f>
        <v>74284662000</v>
      </c>
      <c r="K132" s="130"/>
      <c r="L132" s="130"/>
      <c r="M132" s="130"/>
      <c r="N132" s="130"/>
    </row>
    <row r="133" spans="2:14" ht="28.5">
      <c r="B133" s="87" t="s">
        <v>435</v>
      </c>
      <c r="C133" s="66">
        <v>547000</v>
      </c>
      <c r="D133" s="66">
        <v>48000</v>
      </c>
      <c r="E133" s="66">
        <v>1553000</v>
      </c>
      <c r="F133" s="66">
        <v>1641000</v>
      </c>
      <c r="G133" s="91">
        <v>4385000</v>
      </c>
      <c r="H133" s="91">
        <v>3009000</v>
      </c>
      <c r="I133" s="91">
        <v>2241000</v>
      </c>
      <c r="J133" s="91">
        <v>2356000</v>
      </c>
      <c r="K133" s="91"/>
      <c r="L133" s="91"/>
      <c r="M133" s="91"/>
      <c r="N133" s="91"/>
    </row>
    <row r="134" spans="2:14">
      <c r="B134" s="84" t="s">
        <v>366</v>
      </c>
      <c r="C134" s="111">
        <v>82.38</v>
      </c>
      <c r="D134" s="111">
        <v>86.42</v>
      </c>
      <c r="E134" s="111">
        <v>92.14</v>
      </c>
      <c r="F134" s="134">
        <v>97.16</v>
      </c>
      <c r="G134" s="134">
        <v>170.44</v>
      </c>
      <c r="H134" s="134">
        <v>170.76</v>
      </c>
      <c r="I134" s="134">
        <v>140.71</v>
      </c>
      <c r="J134" s="134">
        <v>145.41</v>
      </c>
      <c r="K134" s="134"/>
      <c r="L134" s="134"/>
      <c r="M134" s="134"/>
      <c r="N134" s="134"/>
    </row>
    <row r="136" spans="2:14" ht="14.65" thickBot="1">
      <c r="B136" s="75" t="s">
        <v>367</v>
      </c>
    </row>
    <row r="137" spans="2:14" ht="14.65" thickBot="1">
      <c r="B137" s="82" t="s">
        <v>308</v>
      </c>
      <c r="C137" s="88">
        <v>2017</v>
      </c>
      <c r="D137" s="88">
        <v>2018</v>
      </c>
      <c r="E137" s="88">
        <v>2019</v>
      </c>
      <c r="F137" s="88">
        <v>2020</v>
      </c>
      <c r="G137" s="88">
        <v>2021</v>
      </c>
      <c r="H137" s="88">
        <v>2022</v>
      </c>
      <c r="I137" s="88">
        <v>2023</v>
      </c>
      <c r="J137" s="88">
        <v>2024</v>
      </c>
      <c r="K137" s="88">
        <v>2025</v>
      </c>
      <c r="L137" s="88">
        <v>2026</v>
      </c>
      <c r="M137" s="88">
        <v>2027</v>
      </c>
      <c r="N137" s="88">
        <v>2028</v>
      </c>
    </row>
    <row r="138" spans="2:14">
      <c r="B138" s="83" t="s">
        <v>368</v>
      </c>
      <c r="C138" s="90">
        <v>88984052000</v>
      </c>
      <c r="D138" s="90">
        <v>95887239000</v>
      </c>
      <c r="E138" s="90">
        <v>103038328000</v>
      </c>
      <c r="F138" s="90">
        <v>117111119000</v>
      </c>
      <c r="G138" s="90">
        <v>140701576000</v>
      </c>
      <c r="H138" s="90">
        <v>104018831000</v>
      </c>
      <c r="I138" s="90">
        <v>122783350000</v>
      </c>
      <c r="J138" s="90">
        <v>120159853000</v>
      </c>
      <c r="K138" s="90"/>
      <c r="L138" s="90"/>
      <c r="M138" s="90"/>
      <c r="N138" s="90"/>
    </row>
    <row r="139" spans="2:14">
      <c r="B139" s="86" t="s">
        <v>369</v>
      </c>
      <c r="C139" s="91">
        <v>-68213519000</v>
      </c>
      <c r="D139" s="93">
        <v>-55307550000</v>
      </c>
      <c r="E139" s="93">
        <v>-68269201000</v>
      </c>
      <c r="F139" s="66">
        <v>-124026650000</v>
      </c>
      <c r="G139" s="93">
        <v>-37561084000</v>
      </c>
      <c r="H139" s="66">
        <v>-23755540000</v>
      </c>
      <c r="I139" s="66">
        <v>-167991469000</v>
      </c>
      <c r="J139" s="66">
        <v>6936198000</v>
      </c>
      <c r="K139" s="66"/>
      <c r="L139" s="66"/>
      <c r="M139" s="66"/>
      <c r="N139" s="66"/>
    </row>
    <row r="140" spans="2:14">
      <c r="B140" s="85" t="s">
        <v>370</v>
      </c>
      <c r="C140" s="93">
        <v>-62618840000</v>
      </c>
      <c r="D140" s="93">
        <v>-50484260000</v>
      </c>
      <c r="E140" s="93">
        <v>-69269852000</v>
      </c>
      <c r="F140" s="93">
        <v>-54259543000</v>
      </c>
      <c r="G140" s="93">
        <v>-53952734000</v>
      </c>
      <c r="H140" s="93">
        <v>-75310442000</v>
      </c>
      <c r="I140" s="93">
        <v>-78698767000</v>
      </c>
      <c r="J140" s="93">
        <v>-69420648000</v>
      </c>
      <c r="K140" s="93"/>
      <c r="L140" s="93"/>
      <c r="M140" s="93"/>
      <c r="N140" s="93"/>
    </row>
    <row r="141" spans="2:14">
      <c r="B141" s="86" t="s">
        <v>372</v>
      </c>
      <c r="C141" s="120">
        <v>-15269964000</v>
      </c>
      <c r="D141" s="120">
        <v>-59417394000</v>
      </c>
      <c r="E141" s="64">
        <v>-27422041000</v>
      </c>
      <c r="F141" s="120">
        <v>4085097000</v>
      </c>
      <c r="G141" s="120">
        <v>-106969018000</v>
      </c>
      <c r="H141" s="120">
        <v>-55517248000</v>
      </c>
      <c r="I141" s="120">
        <v>-36578755000</v>
      </c>
      <c r="J141" s="120">
        <v>-130313235000</v>
      </c>
      <c r="K141" s="120"/>
      <c r="L141" s="120"/>
      <c r="M141" s="120"/>
      <c r="N141" s="120"/>
    </row>
    <row r="142" spans="2:14">
      <c r="B142" s="85" t="s">
        <v>373</v>
      </c>
      <c r="C142" s="93">
        <v>-29952850000</v>
      </c>
      <c r="D142" s="93">
        <v>-30951277000</v>
      </c>
      <c r="E142" s="66">
        <v>-44929272000</v>
      </c>
      <c r="F142" s="93">
        <v>-25959134000</v>
      </c>
      <c r="G142" s="93">
        <v>-70389194000</v>
      </c>
      <c r="H142" s="93">
        <v>-50919844000</v>
      </c>
      <c r="I142" s="93">
        <v>-39937133000</v>
      </c>
      <c r="J142" s="93">
        <v>-51918271000</v>
      </c>
      <c r="K142" s="93"/>
      <c r="L142" s="93"/>
      <c r="M142" s="93"/>
      <c r="N142" s="93"/>
    </row>
    <row r="143" spans="2:14">
      <c r="B143" s="85" t="s">
        <v>437</v>
      </c>
      <c r="C143" s="93">
        <v>-9544147000</v>
      </c>
      <c r="D143" s="93">
        <v>-11208200000</v>
      </c>
      <c r="E143" s="66">
        <v>-11326547000</v>
      </c>
      <c r="F143" s="93">
        <v>-13223419000</v>
      </c>
      <c r="G143" s="93">
        <v>-12493904000</v>
      </c>
      <c r="H143" s="93">
        <v>-14921127000</v>
      </c>
      <c r="I143" s="93">
        <v>-15684175000</v>
      </c>
      <c r="J143" s="93">
        <v>-16902772000</v>
      </c>
      <c r="K143" s="93"/>
      <c r="L143" s="93"/>
      <c r="M143" s="93"/>
      <c r="N143" s="93"/>
    </row>
    <row r="144" spans="2:14">
      <c r="B144" s="86" t="s">
        <v>375</v>
      </c>
      <c r="C144" s="64">
        <v>72143020000</v>
      </c>
      <c r="D144" s="64">
        <v>58779300000</v>
      </c>
      <c r="E144" s="64">
        <v>67376852000</v>
      </c>
      <c r="F144" s="64">
        <v>61267008000</v>
      </c>
      <c r="G144" s="64">
        <v>61641406000</v>
      </c>
      <c r="H144" s="64">
        <v>87653229000</v>
      </c>
      <c r="I144" s="64">
        <v>83718776000</v>
      </c>
      <c r="J144" s="64">
        <v>92557622</v>
      </c>
      <c r="K144" s="64"/>
      <c r="L144" s="64"/>
      <c r="M144" s="64"/>
      <c r="N144" s="64"/>
    </row>
    <row r="145" spans="2:14">
      <c r="B145" s="85"/>
      <c r="C145" s="66"/>
      <c r="D145" s="66"/>
      <c r="E145" s="66"/>
      <c r="F145" s="66"/>
      <c r="G145" s="66"/>
      <c r="H145" s="66"/>
      <c r="I145" s="66"/>
      <c r="J145" s="66"/>
      <c r="K145" s="66"/>
      <c r="L145" s="66"/>
      <c r="M145" s="66"/>
      <c r="N145" s="66"/>
    </row>
    <row r="146" spans="2:14">
      <c r="B146" s="84" t="s">
        <v>376</v>
      </c>
      <c r="C146" s="131">
        <f t="shared" ref="C146:G146" si="81">+C138+C140+C143</f>
        <v>16821065000</v>
      </c>
      <c r="D146" s="131">
        <f t="shared" si="81"/>
        <v>34194779000</v>
      </c>
      <c r="E146" s="131">
        <f t="shared" si="81"/>
        <v>22441929000</v>
      </c>
      <c r="F146" s="131">
        <f t="shared" si="81"/>
        <v>49628157000</v>
      </c>
      <c r="G146" s="131">
        <f t="shared" si="81"/>
        <v>74254938000</v>
      </c>
      <c r="H146" s="131">
        <f>+H138+H140+H143</f>
        <v>13787262000</v>
      </c>
      <c r="I146" s="131">
        <f>+I138+I140+I143</f>
        <v>28400408000</v>
      </c>
      <c r="J146" s="131">
        <f>+J138+J140+J143</f>
        <v>33836433000</v>
      </c>
      <c r="K146" s="131"/>
      <c r="L146" s="131"/>
      <c r="M146" s="131"/>
      <c r="N146" s="131"/>
    </row>
  </sheetData>
  <conditionalFormatting sqref="C66:H72 D73:H73 C74:H106">
    <cfRule type="cellIs" dxfId="176" priority="23" operator="lessThan">
      <formula>0</formula>
    </cfRule>
  </conditionalFormatting>
  <conditionalFormatting sqref="C117:N134">
    <cfRule type="cellIs" dxfId="175" priority="2" operator="lessThan">
      <formula>0</formula>
    </cfRule>
  </conditionalFormatting>
  <conditionalFormatting sqref="C138:N146">
    <cfRule type="cellIs" dxfId="174" priority="1" operator="lessThan">
      <formula>0</formula>
    </cfRule>
  </conditionalFormatting>
  <conditionalFormatting sqref="I66:N106 C108:N113">
    <cfRule type="cellIs" dxfId="173" priority="3" operator="lessThan">
      <formula>0</formula>
    </cfRule>
  </conditionalFormatting>
  <pageMargins left="0.7" right="0.7" top="0.75" bottom="0.75" header="0.3" footer="0.3"/>
  <pageSetup paperSize="9" orientation="portrait"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D5CFE-2B57-4622-B39B-05CD4E2D61E8}">
  <dimension ref="B2:P145"/>
  <sheetViews>
    <sheetView zoomScale="80" zoomScaleNormal="80" workbookViewId="0">
      <pane xSplit="2" ySplit="6" topLeftCell="F31" activePane="bottomRight" state="frozen"/>
      <selection pane="bottomRight" activeCell="I8" sqref="I8"/>
      <selection pane="bottomLeft" activeCell="A7" sqref="A7"/>
      <selection pane="topRight" activeCell="C1" sqref="C1"/>
    </sheetView>
  </sheetViews>
  <sheetFormatPr defaultColWidth="10.7109375" defaultRowHeight="14.25"/>
  <cols>
    <col min="1" max="1" width="4.42578125" customWidth="1"/>
    <col min="2" max="2" width="47.28515625" customWidth="1"/>
    <col min="3" max="3" width="33.7109375" bestFit="1" customWidth="1"/>
    <col min="4" max="6" width="35.5703125" bestFit="1" customWidth="1"/>
    <col min="7" max="7" width="36.28515625" customWidth="1"/>
    <col min="8" max="8" width="35.7109375" customWidth="1"/>
    <col min="9" max="9" width="37.5703125" customWidth="1"/>
    <col min="10" max="14" width="25.42578125" bestFit="1" customWidth="1"/>
  </cols>
  <sheetData>
    <row r="2" spans="2:14" ht="21">
      <c r="B2" s="313">
        <f ca="1">TODAY()-1</f>
        <v>46105</v>
      </c>
      <c r="C2" s="314"/>
      <c r="D2" s="344" t="s">
        <v>518</v>
      </c>
      <c r="E2" s="345" t="s">
        <v>266</v>
      </c>
      <c r="G2" t="s">
        <v>584</v>
      </c>
      <c r="H2" s="524">
        <v>1000000</v>
      </c>
    </row>
    <row r="3" spans="2:14" ht="25.5">
      <c r="B3" s="376" cm="1">
        <f t="array" aca="1" ref="B3" ca="1">_FV(B6,"Precio")</f>
        <v>474</v>
      </c>
      <c r="C3" s="316"/>
      <c r="D3" s="365">
        <f>AVERAGE(C45:J45)</f>
        <v>5.8354999999999997</v>
      </c>
      <c r="E3" s="365">
        <f>AVERAGE(C44:J44)</f>
        <v>5.8354999999999997</v>
      </c>
    </row>
    <row r="4" spans="2:14" ht="28.5">
      <c r="B4" s="319"/>
      <c r="C4" s="320"/>
      <c r="D4" s="328"/>
      <c r="E4" s="328"/>
    </row>
    <row r="6" spans="2:14" ht="33.4">
      <c r="B6" s="3" t="e" vm="27">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204261450000</v>
      </c>
      <c r="D7" s="5">
        <f t="shared" ref="D7:N7" si="0">+D61</f>
        <v>190722990000</v>
      </c>
      <c r="E7" s="5">
        <f t="shared" si="0"/>
        <v>242643340000</v>
      </c>
      <c r="F7" s="5">
        <f t="shared" si="0"/>
        <v>253082120000</v>
      </c>
      <c r="G7" s="5">
        <f t="shared" si="0"/>
        <v>305050770000</v>
      </c>
      <c r="H7" s="5">
        <f t="shared" si="0"/>
        <v>321789230000</v>
      </c>
      <c r="I7" s="5">
        <f>+I61</f>
        <v>362823880000</v>
      </c>
      <c r="J7" s="5">
        <f t="shared" si="0"/>
        <v>0</v>
      </c>
      <c r="K7" s="5">
        <f t="shared" si="0"/>
        <v>0</v>
      </c>
      <c r="L7" s="5">
        <f t="shared" si="0"/>
        <v>0</v>
      </c>
      <c r="M7" s="5">
        <f t="shared" si="0"/>
        <v>0</v>
      </c>
      <c r="N7" s="5">
        <f t="shared" si="0"/>
        <v>0</v>
      </c>
    </row>
    <row r="8" spans="2:14" ht="25.5">
      <c r="B8" s="146" t="s">
        <v>377</v>
      </c>
      <c r="C8" s="147">
        <f>+C65</f>
        <v>58001180000</v>
      </c>
      <c r="D8" s="147">
        <f t="shared" ref="D8:N8" si="1">+D65</f>
        <v>52834850000</v>
      </c>
      <c r="E8" s="147">
        <f t="shared" si="1"/>
        <v>51286990000</v>
      </c>
      <c r="F8" s="147">
        <f t="shared" si="1"/>
        <v>24519970000</v>
      </c>
      <c r="G8" s="147">
        <f t="shared" si="1"/>
        <v>46904650000</v>
      </c>
      <c r="H8" s="147">
        <f t="shared" si="1"/>
        <v>52599260000</v>
      </c>
      <c r="I8" s="147">
        <f t="shared" si="1"/>
        <v>55568130000</v>
      </c>
      <c r="J8" s="147">
        <f t="shared" si="1"/>
        <v>0</v>
      </c>
      <c r="K8" s="147">
        <f t="shared" si="1"/>
        <v>0</v>
      </c>
      <c r="L8" s="147">
        <f t="shared" si="1"/>
        <v>0</v>
      </c>
      <c r="M8" s="147">
        <f t="shared" si="1"/>
        <v>0</v>
      </c>
      <c r="N8" s="147">
        <f t="shared" si="1"/>
        <v>0</v>
      </c>
    </row>
    <row r="9" spans="2:14" ht="25.5">
      <c r="B9" s="146" t="s">
        <v>378</v>
      </c>
      <c r="C9" s="147">
        <f>+C67</f>
        <v>48165560000</v>
      </c>
      <c r="D9" s="147">
        <f t="shared" ref="D9:N9" si="2">+D67</f>
        <v>34666050000</v>
      </c>
      <c r="E9" s="147">
        <f t="shared" si="2"/>
        <v>39847160000</v>
      </c>
      <c r="F9" s="147">
        <f t="shared" si="2"/>
        <v>59801160000</v>
      </c>
      <c r="G9" s="147">
        <f t="shared" si="2"/>
        <v>73263860000</v>
      </c>
      <c r="H9" s="147">
        <f t="shared" si="2"/>
        <v>107089080000</v>
      </c>
      <c r="I9" s="147">
        <f t="shared" si="2"/>
        <v>140871610000</v>
      </c>
      <c r="J9" s="147">
        <f t="shared" si="2"/>
        <v>0</v>
      </c>
      <c r="K9" s="147">
        <f t="shared" si="2"/>
        <v>0</v>
      </c>
      <c r="L9" s="147">
        <f t="shared" si="2"/>
        <v>0</v>
      </c>
      <c r="M9" s="147">
        <f t="shared" si="2"/>
        <v>0</v>
      </c>
      <c r="N9" s="147">
        <f t="shared" si="2"/>
        <v>0</v>
      </c>
    </row>
    <row r="10" spans="2:14" ht="25.5">
      <c r="B10" s="4" t="s">
        <v>379</v>
      </c>
      <c r="C10" s="5">
        <f>+C70</f>
        <v>97486359999.999985</v>
      </c>
      <c r="D10" s="5">
        <f t="shared" ref="D10:N10" si="3">+D70</f>
        <v>86650210000.000015</v>
      </c>
      <c r="E10" s="5">
        <f t="shared" si="3"/>
        <v>164173199999.99997</v>
      </c>
      <c r="F10" s="5">
        <f t="shared" si="3"/>
        <v>144404440000</v>
      </c>
      <c r="G10" s="5">
        <f t="shared" si="3"/>
        <v>159675019999.99997</v>
      </c>
      <c r="H10" s="5">
        <f t="shared" si="3"/>
        <v>164261580000.00003</v>
      </c>
      <c r="I10" s="5">
        <f t="shared" si="3"/>
        <v>165801140000</v>
      </c>
      <c r="J10" s="5">
        <f t="shared" si="3"/>
        <v>0</v>
      </c>
      <c r="K10" s="5">
        <f t="shared" si="3"/>
        <v>0</v>
      </c>
      <c r="L10" s="5">
        <f t="shared" si="3"/>
        <v>0</v>
      </c>
      <c r="M10" s="5">
        <f t="shared" si="3"/>
        <v>0</v>
      </c>
      <c r="N10" s="5">
        <f t="shared" si="3"/>
        <v>0</v>
      </c>
    </row>
    <row r="11" spans="2:14" ht="25.5">
      <c r="B11" s="8" t="s">
        <v>272</v>
      </c>
      <c r="C11" s="9">
        <f>+C10+C7</f>
        <v>301747810000</v>
      </c>
      <c r="D11" s="9">
        <f t="shared" ref="D11:N11" si="4">+D10+D7</f>
        <v>277373200000</v>
      </c>
      <c r="E11" s="9">
        <f t="shared" si="4"/>
        <v>406816540000</v>
      </c>
      <c r="F11" s="9">
        <f t="shared" si="4"/>
        <v>397486560000</v>
      </c>
      <c r="G11" s="9">
        <f t="shared" si="4"/>
        <v>464725790000</v>
      </c>
      <c r="H11" s="9">
        <f t="shared" si="4"/>
        <v>486050810000</v>
      </c>
      <c r="I11" s="9">
        <f t="shared" si="4"/>
        <v>528625020000</v>
      </c>
      <c r="J11" s="9">
        <f t="shared" si="4"/>
        <v>0</v>
      </c>
      <c r="K11" s="9">
        <f t="shared" si="4"/>
        <v>0</v>
      </c>
      <c r="L11" s="9">
        <f t="shared" si="4"/>
        <v>0</v>
      </c>
      <c r="M11" s="9">
        <f t="shared" si="4"/>
        <v>0</v>
      </c>
      <c r="N11" s="9">
        <f t="shared" si="4"/>
        <v>0</v>
      </c>
    </row>
    <row r="12" spans="2:14" ht="25.5">
      <c r="B12" s="10" t="s">
        <v>273</v>
      </c>
      <c r="C12" s="11">
        <f>+C84</f>
        <v>163646880000</v>
      </c>
      <c r="D12" s="11">
        <f t="shared" ref="D12:N12" si="5">+D84</f>
        <v>133699530000</v>
      </c>
      <c r="E12" s="11">
        <f t="shared" si="5"/>
        <v>188739250000</v>
      </c>
      <c r="F12" s="11">
        <f t="shared" si="5"/>
        <v>189784740000</v>
      </c>
      <c r="G12" s="11">
        <f t="shared" si="5"/>
        <v>261097300000</v>
      </c>
      <c r="H12" s="11">
        <f t="shared" si="5"/>
        <v>282118420000</v>
      </c>
      <c r="I12" s="11">
        <f>+I84</f>
        <v>324615500000</v>
      </c>
      <c r="J12" s="11">
        <f t="shared" si="5"/>
        <v>0</v>
      </c>
      <c r="K12" s="11">
        <f t="shared" si="5"/>
        <v>0</v>
      </c>
      <c r="L12" s="11">
        <f t="shared" si="5"/>
        <v>0</v>
      </c>
      <c r="M12" s="11">
        <f t="shared" si="5"/>
        <v>0</v>
      </c>
      <c r="N12" s="11">
        <f t="shared" si="5"/>
        <v>0</v>
      </c>
    </row>
    <row r="13" spans="2:14" ht="25.5">
      <c r="B13" s="10" t="s">
        <v>274</v>
      </c>
      <c r="C13" s="11">
        <f>+C94</f>
        <v>23750220000</v>
      </c>
      <c r="D13" s="11">
        <f t="shared" ref="D13:N13" si="6">+D94</f>
        <v>30321980000.000011</v>
      </c>
      <c r="E13" s="11">
        <f t="shared" si="6"/>
        <v>91146239999.999985</v>
      </c>
      <c r="F13" s="11">
        <f t="shared" si="6"/>
        <v>78166320000</v>
      </c>
      <c r="G13" s="11">
        <f t="shared" si="6"/>
        <v>70171070000</v>
      </c>
      <c r="H13" s="11">
        <f t="shared" si="6"/>
        <v>66445090000.000023</v>
      </c>
      <c r="I13" s="11">
        <f t="shared" si="6"/>
        <v>58483489999.999992</v>
      </c>
      <c r="J13" s="11">
        <f t="shared" si="6"/>
        <v>0</v>
      </c>
      <c r="K13" s="11">
        <f t="shared" si="6"/>
        <v>0</v>
      </c>
      <c r="L13" s="11">
        <f t="shared" si="6"/>
        <v>0</v>
      </c>
      <c r="M13" s="11">
        <f t="shared" si="6"/>
        <v>0</v>
      </c>
      <c r="N13" s="11">
        <f t="shared" si="6"/>
        <v>0</v>
      </c>
    </row>
    <row r="14" spans="2:14" ht="25.5">
      <c r="B14" s="12" t="s">
        <v>275</v>
      </c>
      <c r="C14" s="13">
        <f>+C12+C13</f>
        <v>187397100000</v>
      </c>
      <c r="D14" s="13">
        <f t="shared" ref="D14:N14" si="7">+D12+D13</f>
        <v>164021510000</v>
      </c>
      <c r="E14" s="13">
        <f t="shared" si="7"/>
        <v>279885490000</v>
      </c>
      <c r="F14" s="13">
        <f t="shared" si="7"/>
        <v>267951060000</v>
      </c>
      <c r="G14" s="13">
        <f t="shared" si="7"/>
        <v>331268370000</v>
      </c>
      <c r="H14" s="13">
        <f t="shared" si="7"/>
        <v>348563510000</v>
      </c>
      <c r="I14" s="13">
        <f t="shared" si="7"/>
        <v>383098990000</v>
      </c>
      <c r="J14" s="13">
        <f t="shared" si="7"/>
        <v>0</v>
      </c>
      <c r="K14" s="13">
        <f t="shared" si="7"/>
        <v>0</v>
      </c>
      <c r="L14" s="13">
        <f t="shared" si="7"/>
        <v>0</v>
      </c>
      <c r="M14" s="13">
        <f t="shared" si="7"/>
        <v>0</v>
      </c>
      <c r="N14" s="13">
        <f t="shared" si="7"/>
        <v>0</v>
      </c>
    </row>
    <row r="15" spans="2:14" ht="25.5">
      <c r="B15" s="14" t="s">
        <v>276</v>
      </c>
      <c r="C15" s="15">
        <f>+C109</f>
        <v>108014230000</v>
      </c>
      <c r="D15" s="15">
        <f t="shared" ref="D15:N15" si="8">+D109</f>
        <v>109229510000</v>
      </c>
      <c r="E15" s="15">
        <f t="shared" si="8"/>
        <v>119721340000</v>
      </c>
      <c r="F15" s="15">
        <f t="shared" si="8"/>
        <v>122493670000</v>
      </c>
      <c r="G15" s="15">
        <f t="shared" si="8"/>
        <v>129033650000</v>
      </c>
      <c r="H15" s="15">
        <f t="shared" si="8"/>
        <v>132882750000</v>
      </c>
      <c r="I15" s="15">
        <f t="shared" si="8"/>
        <v>143034050000</v>
      </c>
      <c r="J15" s="15">
        <f t="shared" si="8"/>
        <v>0</v>
      </c>
      <c r="K15" s="15">
        <f t="shared" si="8"/>
        <v>0</v>
      </c>
      <c r="L15" s="15">
        <f t="shared" si="8"/>
        <v>0</v>
      </c>
      <c r="M15" s="15">
        <f t="shared" si="8"/>
        <v>0</v>
      </c>
      <c r="N15" s="15">
        <f t="shared" si="8"/>
        <v>0</v>
      </c>
    </row>
    <row r="16" spans="2:14" ht="25.5">
      <c r="B16" s="79" t="s">
        <v>278</v>
      </c>
      <c r="C16" s="180">
        <v>599560933</v>
      </c>
      <c r="D16" s="180">
        <v>600013358</v>
      </c>
      <c r="E16" s="180">
        <v>601497100</v>
      </c>
      <c r="F16" s="531">
        <v>599311203</v>
      </c>
      <c r="G16" s="531">
        <v>599311203</v>
      </c>
      <c r="H16" s="531">
        <v>599311203</v>
      </c>
      <c r="I16" s="531">
        <v>599311203</v>
      </c>
      <c r="J16" s="80"/>
      <c r="K16" s="80"/>
      <c r="L16" s="80"/>
      <c r="M16" s="80"/>
      <c r="N16" s="80"/>
    </row>
    <row r="18" spans="2:14" ht="25.5">
      <c r="B18" s="18" t="s">
        <v>279</v>
      </c>
      <c r="C18" s="19">
        <f t="shared" ref="C18:N18" si="9">(C15/C16)</f>
        <v>180.155550595222</v>
      </c>
      <c r="D18" s="19">
        <f t="shared" si="9"/>
        <v>182.0451304019135</v>
      </c>
      <c r="E18" s="19">
        <f t="shared" si="9"/>
        <v>199.03893135976881</v>
      </c>
      <c r="F18" s="19">
        <f t="shared" si="9"/>
        <v>204.39075623286823</v>
      </c>
      <c r="G18" s="19">
        <f t="shared" si="9"/>
        <v>215.3032503882628</v>
      </c>
      <c r="H18" s="19">
        <f t="shared" si="9"/>
        <v>221.72579009840402</v>
      </c>
      <c r="I18" s="19">
        <f t="shared" si="9"/>
        <v>238.66406849064023</v>
      </c>
      <c r="J18" s="19" t="e">
        <f t="shared" si="9"/>
        <v>#DIV/0!</v>
      </c>
      <c r="K18" s="19" t="e">
        <f t="shared" si="9"/>
        <v>#DIV/0!</v>
      </c>
      <c r="L18" s="19" t="e">
        <f t="shared" si="9"/>
        <v>#DIV/0!</v>
      </c>
      <c r="M18" s="19" t="e">
        <f t="shared" si="9"/>
        <v>#DIV/0!</v>
      </c>
      <c r="N18" s="19" t="e">
        <f t="shared" si="9"/>
        <v>#DIV/0!</v>
      </c>
    </row>
    <row r="19" spans="2:14" ht="25.5">
      <c r="B19" s="76" t="s">
        <v>282</v>
      </c>
      <c r="C19" s="77">
        <v>285</v>
      </c>
      <c r="D19" s="77">
        <v>270</v>
      </c>
      <c r="E19" s="77">
        <v>237</v>
      </c>
      <c r="F19" s="77">
        <v>198</v>
      </c>
      <c r="G19" s="77">
        <v>107</v>
      </c>
      <c r="H19" s="101">
        <v>69</v>
      </c>
      <c r="I19" s="101">
        <v>155</v>
      </c>
      <c r="J19" s="78"/>
      <c r="K19" s="78"/>
      <c r="L19" s="78"/>
      <c r="M19" s="78"/>
      <c r="N19" s="78"/>
    </row>
    <row r="20" spans="2:14" ht="25.5">
      <c r="B20" s="18" t="s">
        <v>283</v>
      </c>
      <c r="C20" s="22">
        <f>+C19/C40</f>
        <v>172.72727272727275</v>
      </c>
      <c r="D20" s="22">
        <f t="shared" ref="D20:N20" si="10">+D19/D40</f>
        <v>14.925373134328359</v>
      </c>
      <c r="E20" s="22">
        <f t="shared" si="10"/>
        <v>10.886541111621497</v>
      </c>
      <c r="F20" s="22">
        <f t="shared" si="10"/>
        <v>19.979818365287588</v>
      </c>
      <c r="G20" s="22">
        <f t="shared" si="10"/>
        <v>7.7705156136528686</v>
      </c>
      <c r="H20" s="22">
        <f t="shared" si="10"/>
        <v>3.643083421330517</v>
      </c>
      <c r="I20" s="22">
        <f t="shared" si="10"/>
        <v>5.2311846101923729</v>
      </c>
      <c r="J20" s="22" t="e">
        <f t="shared" si="10"/>
        <v>#DIV/0!</v>
      </c>
      <c r="K20" s="22" t="e">
        <f t="shared" si="10"/>
        <v>#DIV/0!</v>
      </c>
      <c r="L20" s="22" t="e">
        <f t="shared" si="10"/>
        <v>#DIV/0!</v>
      </c>
      <c r="M20" s="22" t="e">
        <f t="shared" si="10"/>
        <v>#DIV/0!</v>
      </c>
      <c r="N20" s="22" t="e">
        <f t="shared" si="10"/>
        <v>#DIV/0!</v>
      </c>
    </row>
    <row r="21" spans="2:14" ht="25.5">
      <c r="B21" s="18" t="s">
        <v>380</v>
      </c>
      <c r="C21" s="22">
        <f t="shared" ref="C21:N21" si="11">+C19/C18</f>
        <v>1.5819662456048613</v>
      </c>
      <c r="D21" s="22">
        <f t="shared" si="11"/>
        <v>1.4831487082565873</v>
      </c>
      <c r="E21" s="22">
        <f t="shared" si="11"/>
        <v>1.1907218270360156</v>
      </c>
      <c r="F21" s="22">
        <f t="shared" si="11"/>
        <v>0.96873265527924823</v>
      </c>
      <c r="G21" s="22">
        <f t="shared" si="11"/>
        <v>0.49697345398661513</v>
      </c>
      <c r="H21" s="22">
        <f t="shared" si="11"/>
        <v>0.31119519280719282</v>
      </c>
      <c r="I21" s="22">
        <f t="shared" si="11"/>
        <v>0.64944841081546667</v>
      </c>
      <c r="J21" s="22" t="e">
        <f t="shared" si="11"/>
        <v>#DIV/0!</v>
      </c>
      <c r="K21" s="22" t="e">
        <f t="shared" si="11"/>
        <v>#DIV/0!</v>
      </c>
      <c r="L21" s="22" t="e">
        <f t="shared" si="11"/>
        <v>#DIV/0!</v>
      </c>
      <c r="M21" s="22" t="e">
        <f t="shared" si="11"/>
        <v>#DIV/0!</v>
      </c>
      <c r="N21" s="22" t="e">
        <f t="shared" si="11"/>
        <v>#DIV/0!</v>
      </c>
    </row>
    <row r="22" spans="2:14" ht="25.5">
      <c r="B22" s="18" t="s">
        <v>285</v>
      </c>
      <c r="C22" s="22">
        <f>+C20*C21</f>
        <v>273.2487151499306</v>
      </c>
      <c r="D22" s="22">
        <f t="shared" ref="D22:N22" si="12">+D20*D21</f>
        <v>22.136547884426676</v>
      </c>
      <c r="E22" s="22">
        <f t="shared" si="12"/>
        <v>12.962842122532646</v>
      </c>
      <c r="F22" s="22">
        <f t="shared" si="12"/>
        <v>19.355102497002136</v>
      </c>
      <c r="G22" s="22">
        <f t="shared" si="12"/>
        <v>3.8617399837739885</v>
      </c>
      <c r="H22" s="22">
        <f t="shared" si="12"/>
        <v>1.1337100477136379</v>
      </c>
      <c r="I22" s="22">
        <f t="shared" si="12"/>
        <v>3.3973845317717632</v>
      </c>
      <c r="J22" s="22" t="e">
        <f t="shared" si="12"/>
        <v>#DIV/0!</v>
      </c>
      <c r="K22" s="22" t="e">
        <f t="shared" si="12"/>
        <v>#DIV/0!</v>
      </c>
      <c r="L22" s="22" t="e">
        <f t="shared" si="12"/>
        <v>#DIV/0!</v>
      </c>
      <c r="M22" s="22" t="e">
        <f t="shared" si="12"/>
        <v>#DIV/0!</v>
      </c>
      <c r="N22" s="22" t="e">
        <f t="shared" si="12"/>
        <v>#DIV/0!</v>
      </c>
    </row>
    <row r="23" spans="2:14" ht="25.5">
      <c r="B23" s="23" t="s">
        <v>286</v>
      </c>
      <c r="C23" s="24">
        <f>IF(C41&lt;10%,0,IF(15%&lt;C41,2,1))</f>
        <v>0</v>
      </c>
      <c r="D23" s="24">
        <f>IF(D41&lt;10%,0,IF(15%&lt;D41,2,1))</f>
        <v>0</v>
      </c>
      <c r="E23" s="24">
        <f t="shared" ref="E23:N23" si="13">IF(E41&lt;10%,0,IF(15%&lt;E41,2,1))</f>
        <v>1</v>
      </c>
      <c r="F23" s="24">
        <f t="shared" si="13"/>
        <v>0</v>
      </c>
      <c r="G23" s="24">
        <f t="shared" si="13"/>
        <v>0</v>
      </c>
      <c r="H23" s="24">
        <f t="shared" si="13"/>
        <v>0</v>
      </c>
      <c r="I23" s="24">
        <f t="shared" si="13"/>
        <v>1</v>
      </c>
      <c r="J23" s="24" t="e">
        <f t="shared" si="13"/>
        <v>#DIV/0!</v>
      </c>
      <c r="K23" s="24" t="e">
        <f t="shared" si="13"/>
        <v>#DIV/0!</v>
      </c>
      <c r="L23" s="24" t="e">
        <f t="shared" si="13"/>
        <v>#DIV/0!</v>
      </c>
      <c r="M23" s="24" t="e">
        <f t="shared" si="13"/>
        <v>#DIV/0!</v>
      </c>
      <c r="N23" s="24" t="e">
        <f t="shared" si="13"/>
        <v>#DIV/0!</v>
      </c>
    </row>
    <row r="24" spans="2:14" ht="25.5">
      <c r="B24" s="23" t="s">
        <v>287</v>
      </c>
      <c r="C24" s="24">
        <f>IF(C41&lt;10%,1,IF(15%&lt;C41,2.5,2))</f>
        <v>1</v>
      </c>
      <c r="D24" s="24">
        <f t="shared" ref="D24:N24" si="14">IF(D41&lt;10%,1,IF(15%&lt;D41,2.5,2))</f>
        <v>1</v>
      </c>
      <c r="E24" s="24">
        <f t="shared" si="14"/>
        <v>2</v>
      </c>
      <c r="F24" s="24">
        <f t="shared" si="14"/>
        <v>1</v>
      </c>
      <c r="G24" s="24">
        <f t="shared" si="14"/>
        <v>1</v>
      </c>
      <c r="H24" s="24">
        <f t="shared" si="14"/>
        <v>1</v>
      </c>
      <c r="I24" s="24">
        <f t="shared" si="14"/>
        <v>2</v>
      </c>
      <c r="J24" s="24" t="e">
        <f t="shared" si="14"/>
        <v>#DIV/0!</v>
      </c>
      <c r="K24" s="24" t="e">
        <f t="shared" si="14"/>
        <v>#DIV/0!</v>
      </c>
      <c r="L24" s="24" t="e">
        <f t="shared" si="14"/>
        <v>#DIV/0!</v>
      </c>
      <c r="M24" s="24" t="e">
        <f t="shared" si="14"/>
        <v>#DIV/0!</v>
      </c>
      <c r="N24" s="24" t="e">
        <f t="shared" si="14"/>
        <v>#DIV/0!</v>
      </c>
    </row>
    <row r="25" spans="2:14" ht="25.5">
      <c r="B25" s="25" t="s">
        <v>288</v>
      </c>
      <c r="C25" s="26">
        <f t="shared" ref="C25:N25" si="15">+C23*C18</f>
        <v>0</v>
      </c>
      <c r="D25" s="26">
        <f t="shared" si="15"/>
        <v>0</v>
      </c>
      <c r="E25" s="26">
        <f t="shared" si="15"/>
        <v>199.03893135976881</v>
      </c>
      <c r="F25" s="26">
        <f t="shared" si="15"/>
        <v>0</v>
      </c>
      <c r="G25" s="26">
        <f t="shared" si="15"/>
        <v>0</v>
      </c>
      <c r="H25" s="26">
        <f t="shared" si="15"/>
        <v>0</v>
      </c>
      <c r="I25" s="26">
        <f t="shared" si="15"/>
        <v>238.66406849064023</v>
      </c>
      <c r="J25" s="26" t="e">
        <f t="shared" si="15"/>
        <v>#DIV/0!</v>
      </c>
      <c r="K25" s="26" t="e">
        <f t="shared" si="15"/>
        <v>#DIV/0!</v>
      </c>
      <c r="L25" s="26" t="e">
        <f t="shared" si="15"/>
        <v>#DIV/0!</v>
      </c>
      <c r="M25" s="26" t="e">
        <f t="shared" si="15"/>
        <v>#DIV/0!</v>
      </c>
      <c r="N25" s="26" t="e">
        <f t="shared" si="15"/>
        <v>#DIV/0!</v>
      </c>
    </row>
    <row r="26" spans="2:14" ht="25.5">
      <c r="B26" s="25" t="s">
        <v>289</v>
      </c>
      <c r="C26" s="26">
        <f>AVERAGE(C25,C27)</f>
        <v>90.077775297610998</v>
      </c>
      <c r="D26" s="26">
        <f t="shared" ref="D26:N26" si="16">AVERAGE(D25,D27)</f>
        <v>91.022565200956748</v>
      </c>
      <c r="E26" s="26">
        <f t="shared" si="16"/>
        <v>298.55839703965319</v>
      </c>
      <c r="F26" s="26">
        <f t="shared" si="16"/>
        <v>102.19537811643411</v>
      </c>
      <c r="G26" s="26">
        <f t="shared" si="16"/>
        <v>107.6516251941314</v>
      </c>
      <c r="H26" s="26">
        <f t="shared" si="16"/>
        <v>110.86289504920201</v>
      </c>
      <c r="I26" s="26">
        <f t="shared" si="16"/>
        <v>357.99610273596033</v>
      </c>
      <c r="J26" s="26" t="e">
        <f t="shared" si="16"/>
        <v>#DIV/0!</v>
      </c>
      <c r="K26" s="26" t="e">
        <f t="shared" si="16"/>
        <v>#DIV/0!</v>
      </c>
      <c r="L26" s="26" t="e">
        <f t="shared" si="16"/>
        <v>#DIV/0!</v>
      </c>
      <c r="M26" s="26" t="e">
        <f t="shared" si="16"/>
        <v>#DIV/0!</v>
      </c>
      <c r="N26" s="26" t="e">
        <f t="shared" si="16"/>
        <v>#DIV/0!</v>
      </c>
    </row>
    <row r="27" spans="2:14" ht="25.5">
      <c r="B27" s="25" t="s">
        <v>290</v>
      </c>
      <c r="C27" s="26">
        <f t="shared" ref="C27:N27" si="17">+C18*C24</f>
        <v>180.155550595222</v>
      </c>
      <c r="D27" s="26">
        <f t="shared" si="17"/>
        <v>182.0451304019135</v>
      </c>
      <c r="E27" s="26">
        <f t="shared" si="17"/>
        <v>398.07786271953762</v>
      </c>
      <c r="F27" s="26">
        <f t="shared" si="17"/>
        <v>204.39075623286823</v>
      </c>
      <c r="G27" s="26">
        <f t="shared" si="17"/>
        <v>215.3032503882628</v>
      </c>
      <c r="H27" s="26">
        <f t="shared" si="17"/>
        <v>221.72579009840402</v>
      </c>
      <c r="I27" s="26">
        <f t="shared" si="17"/>
        <v>477.32813698128047</v>
      </c>
      <c r="J27" s="26" t="e">
        <f t="shared" si="17"/>
        <v>#DIV/0!</v>
      </c>
      <c r="K27" s="26" t="e">
        <f t="shared" si="17"/>
        <v>#DIV/0!</v>
      </c>
      <c r="L27" s="26" t="e">
        <f t="shared" si="17"/>
        <v>#DIV/0!</v>
      </c>
      <c r="M27" s="26" t="e">
        <f t="shared" si="17"/>
        <v>#DIV/0!</v>
      </c>
      <c r="N27" s="26" t="e">
        <f t="shared" si="17"/>
        <v>#DIV/0!</v>
      </c>
    </row>
    <row r="29" spans="2:14" ht="25.5">
      <c r="B29" s="243" t="s">
        <v>291</v>
      </c>
      <c r="C29" s="81">
        <f t="shared" ref="C29:N29" si="18">C7-C12</f>
        <v>40614570000</v>
      </c>
      <c r="D29" s="81">
        <f t="shared" si="18"/>
        <v>57023460000</v>
      </c>
      <c r="E29" s="81">
        <f t="shared" si="18"/>
        <v>53904090000</v>
      </c>
      <c r="F29" s="81">
        <f t="shared" si="18"/>
        <v>63297380000</v>
      </c>
      <c r="G29" s="81">
        <f t="shared" si="18"/>
        <v>43953470000</v>
      </c>
      <c r="H29" s="81">
        <f t="shared" si="18"/>
        <v>39670810000</v>
      </c>
      <c r="I29" s="81">
        <f t="shared" si="18"/>
        <v>38208380000</v>
      </c>
      <c r="J29" s="81">
        <f t="shared" si="18"/>
        <v>0</v>
      </c>
      <c r="K29" s="81">
        <f t="shared" si="18"/>
        <v>0</v>
      </c>
      <c r="L29" s="81">
        <f t="shared" si="18"/>
        <v>0</v>
      </c>
      <c r="M29" s="81">
        <f t="shared" si="18"/>
        <v>0</v>
      </c>
      <c r="N29" s="81">
        <f t="shared" si="18"/>
        <v>0</v>
      </c>
    </row>
    <row r="30" spans="2:14" ht="25.5">
      <c r="B30" s="30" t="s">
        <v>149</v>
      </c>
      <c r="C30" s="241">
        <f t="shared" ref="C30:N30" si="19">C7/C12</f>
        <v>1.2481842000287449</v>
      </c>
      <c r="D30" s="241">
        <f t="shared" si="19"/>
        <v>1.4265045658724456</v>
      </c>
      <c r="E30" s="241">
        <f t="shared" si="19"/>
        <v>1.2856008487900636</v>
      </c>
      <c r="F30" s="241">
        <f t="shared" si="19"/>
        <v>1.3335219680992265</v>
      </c>
      <c r="G30" s="241">
        <f t="shared" si="19"/>
        <v>1.1683413424803704</v>
      </c>
      <c r="H30" s="242">
        <f t="shared" si="19"/>
        <v>1.1406175817941984</v>
      </c>
      <c r="I30" s="242">
        <f t="shared" si="19"/>
        <v>1.1177034984466239</v>
      </c>
      <c r="J30" s="242" t="e">
        <f t="shared" si="19"/>
        <v>#DIV/0!</v>
      </c>
      <c r="K30" s="242" t="e">
        <f t="shared" si="19"/>
        <v>#DIV/0!</v>
      </c>
      <c r="L30" s="242" t="e">
        <f t="shared" si="19"/>
        <v>#DIV/0!</v>
      </c>
      <c r="M30" s="242" t="e">
        <f t="shared" si="19"/>
        <v>#DIV/0!</v>
      </c>
      <c r="N30" s="242" t="e">
        <f t="shared" si="19"/>
        <v>#DIV/0!</v>
      </c>
    </row>
    <row r="31" spans="2:14" ht="25.5">
      <c r="B31" s="30" t="s">
        <v>292</v>
      </c>
      <c r="C31" s="241">
        <f t="shared" ref="C31:N31" si="20">+(C7-C9)/C12</f>
        <v>0.95385802650194129</v>
      </c>
      <c r="D31" s="241">
        <f t="shared" si="20"/>
        <v>1.1672213058639773</v>
      </c>
      <c r="E31" s="241">
        <f t="shared" si="20"/>
        <v>1.0744780431203367</v>
      </c>
      <c r="F31" s="241">
        <f t="shared" si="20"/>
        <v>1.0184220290841086</v>
      </c>
      <c r="G31" s="241">
        <f t="shared" si="20"/>
        <v>0.88774150479533875</v>
      </c>
      <c r="H31" s="241">
        <f t="shared" si="20"/>
        <v>0.7610284716609429</v>
      </c>
      <c r="I31" s="241">
        <f t="shared" si="20"/>
        <v>0.68373897734396538</v>
      </c>
      <c r="J31" s="241" t="e">
        <f t="shared" si="20"/>
        <v>#DIV/0!</v>
      </c>
      <c r="K31" s="241" t="e">
        <f t="shared" si="20"/>
        <v>#DIV/0!</v>
      </c>
      <c r="L31" s="241" t="e">
        <f t="shared" si="20"/>
        <v>#DIV/0!</v>
      </c>
      <c r="M31" s="241" t="e">
        <f t="shared" si="20"/>
        <v>#DIV/0!</v>
      </c>
      <c r="N31" s="241" t="e">
        <f t="shared" si="20"/>
        <v>#DIV/0!</v>
      </c>
    </row>
    <row r="32" spans="2:14" ht="25.5">
      <c r="B32" s="32" t="s">
        <v>153</v>
      </c>
      <c r="C32" s="33">
        <f t="shared" ref="C32:N32" si="21">C14/C11</f>
        <v>0.62103880720791316</v>
      </c>
      <c r="D32" s="33">
        <f t="shared" si="21"/>
        <v>0.59133870900288854</v>
      </c>
      <c r="E32" s="33">
        <f t="shared" si="21"/>
        <v>0.68798945588593818</v>
      </c>
      <c r="F32" s="33">
        <f t="shared" si="21"/>
        <v>0.67411350964923189</v>
      </c>
      <c r="G32" s="33">
        <f t="shared" si="21"/>
        <v>0.71282544917509316</v>
      </c>
      <c r="H32" s="33">
        <f t="shared" si="21"/>
        <v>0.71713389388241122</v>
      </c>
      <c r="I32" s="33">
        <f t="shared" si="21"/>
        <v>0.72470839537636711</v>
      </c>
      <c r="J32" s="33" t="e">
        <f t="shared" si="21"/>
        <v>#DIV/0!</v>
      </c>
      <c r="K32" s="33" t="e">
        <f t="shared" si="21"/>
        <v>#DIV/0!</v>
      </c>
      <c r="L32" s="33" t="e">
        <f t="shared" si="21"/>
        <v>#DIV/0!</v>
      </c>
      <c r="M32" s="33" t="e">
        <f t="shared" si="21"/>
        <v>#DIV/0!</v>
      </c>
      <c r="N32" s="33" t="e">
        <f t="shared" si="21"/>
        <v>#DIV/0!</v>
      </c>
    </row>
    <row r="35" spans="2:14" ht="25.5">
      <c r="B35" s="35" t="s">
        <v>293</v>
      </c>
      <c r="C35" s="36">
        <f>+C114</f>
        <v>314637800000</v>
      </c>
      <c r="D35" s="36">
        <f t="shared" ref="D35:N35" si="22">+D114</f>
        <v>342282650000</v>
      </c>
      <c r="E35" s="36">
        <f t="shared" si="22"/>
        <v>309636550000</v>
      </c>
      <c r="F35" s="36">
        <f t="shared" si="22"/>
        <v>318478600000</v>
      </c>
      <c r="G35" s="36">
        <f t="shared" si="22"/>
        <v>432388930000</v>
      </c>
      <c r="H35" s="36">
        <f t="shared" si="22"/>
        <v>542911020000</v>
      </c>
      <c r="I35" s="36">
        <f t="shared" si="22"/>
        <v>568792650000</v>
      </c>
      <c r="J35" s="36">
        <f t="shared" si="22"/>
        <v>0</v>
      </c>
      <c r="K35" s="36">
        <f t="shared" si="22"/>
        <v>0</v>
      </c>
      <c r="L35" s="36">
        <f t="shared" si="22"/>
        <v>0</v>
      </c>
      <c r="M35" s="36">
        <f t="shared" si="22"/>
        <v>0</v>
      </c>
      <c r="N35" s="36">
        <f t="shared" si="22"/>
        <v>0</v>
      </c>
    </row>
    <row r="36" spans="2:14" ht="25.5">
      <c r="B36" s="39" t="s">
        <v>156</v>
      </c>
      <c r="C36" s="40">
        <f>+C121</f>
        <v>-7802700000</v>
      </c>
      <c r="D36" s="40">
        <f t="shared" ref="D36:N36" si="23">+D121</f>
        <v>10647250000</v>
      </c>
      <c r="E36" s="40">
        <f t="shared" si="23"/>
        <v>17816120000</v>
      </c>
      <c r="F36" s="40">
        <f t="shared" si="23"/>
        <v>5188610000</v>
      </c>
      <c r="G36" s="40">
        <f t="shared" si="23"/>
        <v>15370890000</v>
      </c>
      <c r="H36" s="40">
        <f t="shared" si="23"/>
        <v>11761240000</v>
      </c>
      <c r="I36" s="40">
        <f t="shared" si="23"/>
        <v>28937310000</v>
      </c>
      <c r="J36" s="40">
        <f t="shared" si="23"/>
        <v>0</v>
      </c>
      <c r="K36" s="40">
        <f t="shared" si="23"/>
        <v>0</v>
      </c>
      <c r="L36" s="40">
        <f t="shared" si="23"/>
        <v>0</v>
      </c>
      <c r="M36" s="40">
        <f t="shared" si="23"/>
        <v>0</v>
      </c>
      <c r="N36" s="40">
        <f t="shared" si="23"/>
        <v>0</v>
      </c>
    </row>
    <row r="37" spans="2:14" ht="25.5">
      <c r="B37" s="35" t="s">
        <v>381</v>
      </c>
      <c r="C37" s="41">
        <f>C36/C35</f>
        <v>-2.4798991093886367E-2</v>
      </c>
      <c r="D37" s="41">
        <f t="shared" ref="D37:N37" si="24">D36/D35</f>
        <v>3.1106601517780701E-2</v>
      </c>
      <c r="E37" s="41">
        <f t="shared" si="24"/>
        <v>5.7538814458435221E-2</v>
      </c>
      <c r="F37" s="41">
        <f t="shared" si="24"/>
        <v>1.6291863880336072E-2</v>
      </c>
      <c r="G37" s="41">
        <f t="shared" si="24"/>
        <v>3.5548759307968407E-2</v>
      </c>
      <c r="H37" s="41">
        <f t="shared" si="24"/>
        <v>2.1663292080532828E-2</v>
      </c>
      <c r="I37" s="41">
        <f t="shared" si="24"/>
        <v>5.0874971749371237E-2</v>
      </c>
      <c r="J37" s="41" t="e">
        <f t="shared" si="24"/>
        <v>#DIV/0!</v>
      </c>
      <c r="K37" s="41" t="e">
        <f t="shared" si="24"/>
        <v>#DIV/0!</v>
      </c>
      <c r="L37" s="41" t="e">
        <f t="shared" si="24"/>
        <v>#DIV/0!</v>
      </c>
      <c r="M37" s="41" t="e">
        <f t="shared" si="24"/>
        <v>#DIV/0!</v>
      </c>
      <c r="N37" s="41" t="e">
        <f t="shared" si="24"/>
        <v>#DIV/0!</v>
      </c>
    </row>
    <row r="38" spans="2:14" ht="25.5">
      <c r="B38" s="43" t="s">
        <v>295</v>
      </c>
      <c r="C38" s="44">
        <f>+C131</f>
        <v>990340000</v>
      </c>
      <c r="D38" s="44">
        <f t="shared" ref="D38:N38" si="25">+D131</f>
        <v>10854880000</v>
      </c>
      <c r="E38" s="44">
        <f t="shared" si="25"/>
        <v>13093700000</v>
      </c>
      <c r="F38" s="44">
        <f t="shared" si="25"/>
        <v>5947690000</v>
      </c>
      <c r="G38" s="44">
        <f t="shared" si="25"/>
        <v>8252850000</v>
      </c>
      <c r="H38" s="44">
        <f t="shared" si="25"/>
        <v>11351940000</v>
      </c>
      <c r="I38" s="44">
        <f t="shared" si="25"/>
        <v>17757730000</v>
      </c>
      <c r="J38" s="44">
        <f t="shared" si="25"/>
        <v>0</v>
      </c>
      <c r="K38" s="44">
        <f t="shared" si="25"/>
        <v>0</v>
      </c>
      <c r="L38" s="44">
        <f t="shared" si="25"/>
        <v>0</v>
      </c>
      <c r="M38" s="44">
        <f t="shared" si="25"/>
        <v>0</v>
      </c>
      <c r="N38" s="44">
        <f t="shared" si="25"/>
        <v>0</v>
      </c>
    </row>
    <row r="39" spans="2:14" ht="25.5">
      <c r="B39" s="30" t="s">
        <v>296</v>
      </c>
      <c r="C39" s="45">
        <f>C38/C35</f>
        <v>3.1475556973764754E-3</v>
      </c>
      <c r="D39" s="45">
        <f t="shared" ref="D39:N39" si="26">D38/D35</f>
        <v>3.1713205445850087E-2</v>
      </c>
      <c r="E39" s="45">
        <f t="shared" si="26"/>
        <v>4.2287320408394939E-2</v>
      </c>
      <c r="F39" s="45">
        <f t="shared" si="26"/>
        <v>1.8675320727986118E-2</v>
      </c>
      <c r="G39" s="45">
        <f t="shared" si="26"/>
        <v>1.9086635728625151E-2</v>
      </c>
      <c r="H39" s="45">
        <f t="shared" si="26"/>
        <v>2.0909393218800386E-2</v>
      </c>
      <c r="I39" s="45">
        <f t="shared" si="26"/>
        <v>3.1220041257565476E-2</v>
      </c>
      <c r="J39" s="45" t="e">
        <f t="shared" si="26"/>
        <v>#DIV/0!</v>
      </c>
      <c r="K39" s="45" t="e">
        <f t="shared" si="26"/>
        <v>#DIV/0!</v>
      </c>
      <c r="L39" s="45" t="e">
        <f t="shared" si="26"/>
        <v>#DIV/0!</v>
      </c>
      <c r="M39" s="45" t="e">
        <f t="shared" si="26"/>
        <v>#DIV/0!</v>
      </c>
      <c r="N39" s="45" t="e">
        <f t="shared" si="26"/>
        <v>#DIV/0!</v>
      </c>
    </row>
    <row r="40" spans="2:14" ht="25.5">
      <c r="B40" s="46" t="s">
        <v>159</v>
      </c>
      <c r="C40" s="121">
        <f>+C132</f>
        <v>1.65</v>
      </c>
      <c r="D40" s="121">
        <f t="shared" ref="D40:N40" si="27">+D132</f>
        <v>18.09</v>
      </c>
      <c r="E40" s="121">
        <f t="shared" si="27"/>
        <v>21.77</v>
      </c>
      <c r="F40" s="121">
        <f t="shared" si="27"/>
        <v>9.91</v>
      </c>
      <c r="G40" s="121">
        <f t="shared" si="27"/>
        <v>13.77</v>
      </c>
      <c r="H40" s="121">
        <f t="shared" si="27"/>
        <v>18.940000000000001</v>
      </c>
      <c r="I40" s="121">
        <f t="shared" si="27"/>
        <v>29.63</v>
      </c>
      <c r="J40" s="121">
        <f t="shared" si="27"/>
        <v>0</v>
      </c>
      <c r="K40" s="121">
        <f t="shared" si="27"/>
        <v>0</v>
      </c>
      <c r="L40" s="121">
        <f t="shared" si="27"/>
        <v>0</v>
      </c>
      <c r="M40" s="121">
        <f t="shared" si="27"/>
        <v>0</v>
      </c>
      <c r="N40" s="121">
        <f t="shared" si="27"/>
        <v>0</v>
      </c>
    </row>
    <row r="41" spans="2:14" ht="25.5">
      <c r="B41" s="48" t="s">
        <v>160</v>
      </c>
      <c r="C41" s="49">
        <f t="shared" ref="C41:N41" si="28">C38/C15</f>
        <v>9.1686067659788907E-3</v>
      </c>
      <c r="D41" s="49">
        <f t="shared" si="28"/>
        <v>9.9376807604465128E-2</v>
      </c>
      <c r="E41" s="49">
        <f t="shared" si="28"/>
        <v>0.1093681377104533</v>
      </c>
      <c r="F41" s="49">
        <f t="shared" si="28"/>
        <v>4.8555080438034061E-2</v>
      </c>
      <c r="G41" s="49">
        <f t="shared" si="28"/>
        <v>6.3958897543392748E-2</v>
      </c>
      <c r="H41" s="49">
        <f t="shared" si="28"/>
        <v>8.5428244072311865E-2</v>
      </c>
      <c r="I41" s="49">
        <f>I38/I15</f>
        <v>0.12415036839130263</v>
      </c>
      <c r="J41" s="49" t="e">
        <f t="shared" si="28"/>
        <v>#DIV/0!</v>
      </c>
      <c r="K41" s="49" t="e">
        <f t="shared" si="28"/>
        <v>#DIV/0!</v>
      </c>
      <c r="L41" s="49" t="e">
        <f t="shared" si="28"/>
        <v>#DIV/0!</v>
      </c>
      <c r="M41" s="49" t="e">
        <f t="shared" si="28"/>
        <v>#DIV/0!</v>
      </c>
      <c r="N41" s="49" t="e">
        <f t="shared" si="28"/>
        <v>#DIV/0!</v>
      </c>
    </row>
    <row r="42" spans="2:14" ht="25.5">
      <c r="B42" s="48" t="s">
        <v>382</v>
      </c>
      <c r="C42" s="49">
        <f>AVERAGE(C41:I41)</f>
        <v>7.7143734646562656E-2</v>
      </c>
      <c r="D42" s="49"/>
      <c r="E42" s="49"/>
      <c r="F42" s="49"/>
      <c r="G42" s="49"/>
      <c r="H42" s="49"/>
      <c r="I42" s="49"/>
      <c r="J42" s="49"/>
      <c r="K42" s="49"/>
      <c r="L42" s="49"/>
      <c r="M42" s="49"/>
      <c r="N42" s="49"/>
    </row>
    <row r="43" spans="2:14" ht="25.5">
      <c r="B43" s="48" t="s">
        <v>298</v>
      </c>
      <c r="C43" s="50">
        <f t="shared" ref="C43:H43" si="29">+C145</f>
        <v>-25930290000</v>
      </c>
      <c r="D43" s="50">
        <f t="shared" si="29"/>
        <v>28486250000</v>
      </c>
      <c r="E43" s="50">
        <f t="shared" si="29"/>
        <v>-6551980000</v>
      </c>
      <c r="F43" s="50">
        <f t="shared" si="29"/>
        <v>-2654580000</v>
      </c>
      <c r="G43" s="50">
        <f t="shared" si="29"/>
        <v>16234310000</v>
      </c>
      <c r="H43" s="50">
        <f t="shared" si="29"/>
        <v>-13513460000</v>
      </c>
      <c r="I43" s="50">
        <f>+I145</f>
        <v>43492650000</v>
      </c>
      <c r="J43" s="50">
        <f t="shared" ref="J43:N43" si="30">+J145</f>
        <v>0</v>
      </c>
      <c r="K43" s="50">
        <f t="shared" si="30"/>
        <v>0</v>
      </c>
      <c r="L43" s="50">
        <f t="shared" si="30"/>
        <v>0</v>
      </c>
      <c r="M43" s="50">
        <f t="shared" si="30"/>
        <v>0</v>
      </c>
      <c r="N43" s="50">
        <f t="shared" si="30"/>
        <v>0</v>
      </c>
    </row>
    <row r="44" spans="2:14" ht="25.5">
      <c r="B44" s="51" t="s">
        <v>119</v>
      </c>
      <c r="C44" s="51">
        <f>SUM(C46:C49)</f>
        <v>6.008</v>
      </c>
      <c r="D44" s="51">
        <f t="shared" ref="D44:F44" si="31">SUM(D46:D49)</f>
        <v>0.496</v>
      </c>
      <c r="E44" s="51">
        <f t="shared" si="31"/>
        <v>5.4180000000000001</v>
      </c>
      <c r="F44" s="51">
        <f t="shared" si="31"/>
        <v>6.5380000000000003</v>
      </c>
      <c r="G44" s="51">
        <f>SUM(G46:G49)</f>
        <v>2.976</v>
      </c>
      <c r="H44" s="51">
        <f>SUM(H46:H49)</f>
        <v>6.8849999999999998</v>
      </c>
      <c r="I44" s="51">
        <f t="shared" ref="I44:N44" si="32">SUM(I46:I48)</f>
        <v>9.4710000000000001</v>
      </c>
      <c r="J44" s="51">
        <f t="shared" si="32"/>
        <v>8.8919999999999995</v>
      </c>
      <c r="K44" s="51">
        <f t="shared" si="32"/>
        <v>0</v>
      </c>
      <c r="L44" s="51">
        <f t="shared" si="32"/>
        <v>0</v>
      </c>
      <c r="M44" s="51">
        <f t="shared" si="32"/>
        <v>0</v>
      </c>
      <c r="N44" s="51">
        <f t="shared" si="32"/>
        <v>0</v>
      </c>
    </row>
    <row r="45" spans="2:14" ht="25.5">
      <c r="B45" s="51" t="s">
        <v>383</v>
      </c>
      <c r="C45" s="51">
        <f>+C46+C47</f>
        <v>6.008</v>
      </c>
      <c r="D45" s="51">
        <f t="shared" ref="D45:N45" si="33">+D46+D47</f>
        <v>0.496</v>
      </c>
      <c r="E45" s="51">
        <f t="shared" si="33"/>
        <v>5.4180000000000001</v>
      </c>
      <c r="F45" s="51">
        <f t="shared" si="33"/>
        <v>6.5380000000000003</v>
      </c>
      <c r="G45" s="51">
        <f t="shared" si="33"/>
        <v>2.976</v>
      </c>
      <c r="H45" s="51">
        <f t="shared" si="33"/>
        <v>6.8849999999999998</v>
      </c>
      <c r="I45" s="51">
        <f t="shared" si="33"/>
        <v>9.4710000000000001</v>
      </c>
      <c r="J45" s="51">
        <f t="shared" si="33"/>
        <v>8.8919999999999995</v>
      </c>
      <c r="K45" s="51">
        <f t="shared" si="33"/>
        <v>0</v>
      </c>
      <c r="L45" s="51">
        <f t="shared" si="33"/>
        <v>0</v>
      </c>
      <c r="M45" s="51">
        <f t="shared" si="33"/>
        <v>0</v>
      </c>
      <c r="N45" s="51">
        <f t="shared" si="33"/>
        <v>0</v>
      </c>
    </row>
    <row r="46" spans="2:14" ht="18">
      <c r="B46" s="135" t="s">
        <v>121</v>
      </c>
      <c r="C46" s="94">
        <v>6.008</v>
      </c>
      <c r="D46" s="94">
        <v>0.496</v>
      </c>
      <c r="E46" s="94">
        <v>5.4180000000000001</v>
      </c>
      <c r="F46" s="94">
        <v>6.5380000000000003</v>
      </c>
      <c r="G46" s="94">
        <v>2.976</v>
      </c>
      <c r="H46" s="94">
        <v>6.8849999999999998</v>
      </c>
      <c r="I46" s="155">
        <v>5.6829999999999998</v>
      </c>
      <c r="J46" s="155">
        <v>8.8919999999999995</v>
      </c>
      <c r="K46" s="155"/>
      <c r="L46" s="155"/>
      <c r="M46" s="155"/>
      <c r="N46" s="155"/>
    </row>
    <row r="47" spans="2:14" ht="18">
      <c r="B47" s="135" t="s">
        <v>122</v>
      </c>
      <c r="C47" s="94"/>
      <c r="D47" s="94"/>
      <c r="E47" s="94"/>
      <c r="F47" s="94"/>
      <c r="G47" s="94"/>
      <c r="H47" s="94"/>
      <c r="I47" s="155">
        <v>3.7879999999999998</v>
      </c>
      <c r="J47" s="155"/>
      <c r="K47" s="155"/>
      <c r="L47" s="155"/>
      <c r="M47" s="155"/>
      <c r="N47" s="155"/>
    </row>
    <row r="48" spans="2:14" ht="18">
      <c r="B48" s="135" t="s">
        <v>123</v>
      </c>
      <c r="C48" s="94"/>
      <c r="D48" s="94"/>
      <c r="E48" s="94"/>
      <c r="F48" s="94"/>
      <c r="G48" s="94"/>
      <c r="H48" s="94"/>
      <c r="I48" s="155"/>
      <c r="J48" s="155"/>
      <c r="K48" s="155"/>
      <c r="L48" s="155"/>
      <c r="M48" s="155"/>
      <c r="N48" s="155"/>
    </row>
    <row r="49" spans="2:16" ht="18">
      <c r="B49" s="135" t="s">
        <v>124</v>
      </c>
      <c r="C49" s="94"/>
      <c r="D49" s="94"/>
      <c r="E49" s="94"/>
      <c r="F49" s="94"/>
      <c r="G49" s="94"/>
      <c r="H49" s="94"/>
      <c r="I49" s="94"/>
      <c r="J49" s="94"/>
      <c r="K49" s="94"/>
      <c r="L49" s="94"/>
      <c r="M49" s="94"/>
      <c r="N49" s="94"/>
    </row>
    <row r="50" spans="2:16" ht="25.5">
      <c r="B50" s="541" t="s">
        <v>167</v>
      </c>
      <c r="C50" s="99">
        <f>(C47+C48+D46)/C40</f>
        <v>0.3006060606060606</v>
      </c>
      <c r="D50" s="99">
        <f t="shared" ref="D50:N50" si="34">(D47+D48+E46)/D40</f>
        <v>0.29950248756218906</v>
      </c>
      <c r="E50" s="99">
        <f t="shared" si="34"/>
        <v>0.30032154340836015</v>
      </c>
      <c r="F50" s="99">
        <f t="shared" si="34"/>
        <v>0.30030272452068618</v>
      </c>
      <c r="G50" s="99">
        <f t="shared" si="34"/>
        <v>0.5</v>
      </c>
      <c r="H50" s="99">
        <f t="shared" si="34"/>
        <v>0.30005279831045406</v>
      </c>
      <c r="I50" s="99">
        <f t="shared" si="34"/>
        <v>0.42794465069186638</v>
      </c>
      <c r="J50" s="99" t="e">
        <f t="shared" si="34"/>
        <v>#DIV/0!</v>
      </c>
      <c r="K50" s="99" t="e">
        <f t="shared" si="34"/>
        <v>#DIV/0!</v>
      </c>
      <c r="L50" s="99" t="e">
        <f t="shared" si="34"/>
        <v>#DIV/0!</v>
      </c>
      <c r="M50" s="99" t="e">
        <f t="shared" si="34"/>
        <v>#DIV/0!</v>
      </c>
      <c r="N50" s="99" t="e">
        <f t="shared" si="34"/>
        <v>#DIV/0!</v>
      </c>
    </row>
    <row r="51" spans="2:16" ht="28.5">
      <c r="B51" s="540" t="s">
        <v>585</v>
      </c>
      <c r="C51" s="54">
        <f>AVERAGE(C50:I50)</f>
        <v>0.34696146644280235</v>
      </c>
      <c r="D51" s="54"/>
      <c r="E51" s="54"/>
      <c r="F51" s="54"/>
      <c r="G51" s="54"/>
      <c r="H51" s="54"/>
      <c r="I51" s="54"/>
      <c r="J51" s="54"/>
      <c r="K51" s="54"/>
      <c r="L51" s="54"/>
      <c r="M51" s="54"/>
      <c r="N51" s="54"/>
    </row>
    <row r="52" spans="2:16" ht="25.5">
      <c r="B52" s="541" t="s">
        <v>299</v>
      </c>
      <c r="C52" s="99">
        <f t="shared" ref="C52:N52" si="35">+C44/C19</f>
        <v>2.1080701754385964E-2</v>
      </c>
      <c r="D52" s="99">
        <f t="shared" si="35"/>
        <v>1.837037037037037E-3</v>
      </c>
      <c r="E52" s="99">
        <f t="shared" si="35"/>
        <v>2.2860759493670887E-2</v>
      </c>
      <c r="F52" s="99">
        <f t="shared" si="35"/>
        <v>3.3020202020202019E-2</v>
      </c>
      <c r="G52" s="99">
        <f t="shared" si="35"/>
        <v>2.7813084112149531E-2</v>
      </c>
      <c r="H52" s="99">
        <f t="shared" si="35"/>
        <v>9.978260869565217E-2</v>
      </c>
      <c r="I52" s="99">
        <f t="shared" si="35"/>
        <v>6.1103225806451611E-2</v>
      </c>
      <c r="J52" s="99" t="e">
        <f t="shared" si="35"/>
        <v>#DIV/0!</v>
      </c>
      <c r="K52" s="99" t="e">
        <f t="shared" si="35"/>
        <v>#DIV/0!</v>
      </c>
      <c r="L52" s="99" t="e">
        <f t="shared" si="35"/>
        <v>#DIV/0!</v>
      </c>
      <c r="M52" s="99" t="e">
        <f t="shared" si="35"/>
        <v>#DIV/0!</v>
      </c>
      <c r="N52" s="99" t="e">
        <f t="shared" si="35"/>
        <v>#DIV/0!</v>
      </c>
    </row>
    <row r="53" spans="2:16" ht="25.5">
      <c r="B53" s="542" t="s">
        <v>586</v>
      </c>
      <c r="C53" s="534">
        <f>AVERAGE(C52:I52)</f>
        <v>3.8213945559935604E-2</v>
      </c>
      <c r="D53" s="534"/>
      <c r="E53" s="534"/>
      <c r="F53" s="534"/>
      <c r="G53" s="534"/>
      <c r="H53" s="534"/>
      <c r="I53" s="534"/>
      <c r="J53" s="534"/>
      <c r="K53" s="534"/>
      <c r="L53" s="534"/>
      <c r="M53" s="534"/>
      <c r="N53" s="534"/>
      <c r="O53" s="534"/>
      <c r="P53" s="534"/>
    </row>
    <row r="54" spans="2:16" ht="25.5">
      <c r="B54" s="543" t="s">
        <v>176</v>
      </c>
      <c r="C54" s="355">
        <f>+C41*(100%-C50)</f>
        <v>6.4124680048119036E-3</v>
      </c>
      <c r="D54" s="355">
        <f t="shared" ref="D54:N54" si="36">+D41*(100%-D50)</f>
        <v>6.9613206520938761E-2</v>
      </c>
      <c r="E54" s="355">
        <f t="shared" si="36"/>
        <v>7.6522529793551883E-2</v>
      </c>
      <c r="F54" s="549">
        <f t="shared" si="36"/>
        <v>3.3973857493171361E-2</v>
      </c>
      <c r="G54" s="355">
        <f t="shared" si="36"/>
        <v>3.1979448771696374E-2</v>
      </c>
      <c r="H54" s="355">
        <f t="shared" si="36"/>
        <v>5.9795260383666234E-2</v>
      </c>
      <c r="I54" s="355">
        <f t="shared" si="36"/>
        <v>7.1020882356820095E-2</v>
      </c>
      <c r="J54" s="355" t="e">
        <f t="shared" si="36"/>
        <v>#DIV/0!</v>
      </c>
      <c r="K54" s="355" t="e">
        <f t="shared" si="36"/>
        <v>#DIV/0!</v>
      </c>
      <c r="L54" s="355" t="e">
        <f t="shared" si="36"/>
        <v>#DIV/0!</v>
      </c>
      <c r="M54" s="355" t="e">
        <f t="shared" si="36"/>
        <v>#DIV/0!</v>
      </c>
      <c r="N54" s="355" t="e">
        <f t="shared" si="36"/>
        <v>#DIV/0!</v>
      </c>
    </row>
    <row r="55" spans="2:16" ht="25.5">
      <c r="B55" s="542" t="s">
        <v>587</v>
      </c>
      <c r="C55" s="534">
        <f>AVERAGE(C54:I54)</f>
        <v>4.9902521903522366E-2</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v>204261450000</v>
      </c>
      <c r="D61" s="64">
        <v>190722990000</v>
      </c>
      <c r="E61" s="64">
        <v>242643340000</v>
      </c>
      <c r="F61" s="64">
        <v>253082120000</v>
      </c>
      <c r="G61" s="64">
        <v>305050770000</v>
      </c>
      <c r="H61" s="64">
        <v>321789230000</v>
      </c>
      <c r="I61" s="64">
        <v>362823880000</v>
      </c>
      <c r="J61" s="64"/>
      <c r="K61" s="64"/>
      <c r="L61" s="64"/>
      <c r="M61" s="64"/>
      <c r="N61" s="64"/>
    </row>
    <row r="62" spans="2:16">
      <c r="B62" s="59" t="s">
        <v>386</v>
      </c>
      <c r="C62" s="66">
        <v>9985410000</v>
      </c>
      <c r="D62" s="66">
        <v>31691000000</v>
      </c>
      <c r="E62" s="66">
        <v>49703020000</v>
      </c>
      <c r="F62" s="66">
        <v>51395370000</v>
      </c>
      <c r="G62" s="66">
        <v>57179890000</v>
      </c>
      <c r="H62" s="66">
        <v>18229190000</v>
      </c>
      <c r="I62" s="66">
        <v>18741940000</v>
      </c>
      <c r="J62" s="66"/>
      <c r="K62" s="66"/>
      <c r="L62" s="66"/>
      <c r="M62" s="66"/>
      <c r="N62" s="66"/>
    </row>
    <row r="63" spans="2:16">
      <c r="B63" s="59"/>
      <c r="C63" s="66"/>
      <c r="D63" s="66"/>
      <c r="E63" s="66"/>
      <c r="F63" s="66"/>
      <c r="G63" s="66"/>
      <c r="H63" s="160"/>
      <c r="I63" s="66"/>
      <c r="J63" s="66"/>
      <c r="K63" s="66"/>
      <c r="L63" s="66"/>
      <c r="M63" s="66"/>
      <c r="N63" s="66"/>
    </row>
    <row r="64" spans="2:16">
      <c r="B64" s="59"/>
      <c r="C64" s="66"/>
      <c r="D64" s="66"/>
      <c r="E64" s="66"/>
      <c r="F64" s="66"/>
      <c r="G64" s="66"/>
      <c r="H64" s="160"/>
      <c r="I64" s="66"/>
      <c r="J64" s="66"/>
      <c r="K64" s="66"/>
      <c r="L64" s="66"/>
      <c r="M64" s="66"/>
      <c r="N64" s="66"/>
    </row>
    <row r="65" spans="2:14">
      <c r="B65" s="59" t="s">
        <v>588</v>
      </c>
      <c r="C65" s="66">
        <v>58001180000</v>
      </c>
      <c r="D65" s="66">
        <v>52834850000</v>
      </c>
      <c r="E65" s="66">
        <v>51286990000</v>
      </c>
      <c r="F65" s="66">
        <v>24519970000</v>
      </c>
      <c r="G65" s="66">
        <v>46904650000</v>
      </c>
      <c r="H65" s="66">
        <v>52599260000</v>
      </c>
      <c r="I65" s="66">
        <v>55568130000</v>
      </c>
      <c r="J65" s="66"/>
      <c r="K65" s="66"/>
      <c r="L65" s="66"/>
      <c r="M65" s="66"/>
      <c r="N65" s="66"/>
    </row>
    <row r="66" spans="2:14">
      <c r="B66" s="59" t="s">
        <v>589</v>
      </c>
      <c r="C66" s="66">
        <v>8473730000</v>
      </c>
      <c r="D66" s="66">
        <v>7976960000</v>
      </c>
      <c r="E66" s="66">
        <v>9006210000</v>
      </c>
      <c r="F66" s="66">
        <v>10713540000</v>
      </c>
      <c r="G66" s="66">
        <v>11834170000</v>
      </c>
      <c r="H66" s="66">
        <v>14323960000</v>
      </c>
      <c r="I66" s="66">
        <v>18595520000</v>
      </c>
      <c r="J66" s="66"/>
      <c r="K66" s="66"/>
      <c r="L66" s="66"/>
      <c r="M66" s="66"/>
      <c r="N66" s="66"/>
    </row>
    <row r="67" spans="2:14">
      <c r="B67" s="59" t="s">
        <v>391</v>
      </c>
      <c r="C67" s="66">
        <v>48165560000</v>
      </c>
      <c r="D67" s="66">
        <v>34666050000</v>
      </c>
      <c r="E67" s="66">
        <v>39847160000</v>
      </c>
      <c r="F67" s="66">
        <v>59801160000</v>
      </c>
      <c r="G67" s="66">
        <v>73263860000</v>
      </c>
      <c r="H67" s="66">
        <v>107089080000</v>
      </c>
      <c r="I67" s="66">
        <v>140871610000</v>
      </c>
      <c r="J67" s="66"/>
      <c r="K67" s="66"/>
      <c r="L67" s="66"/>
      <c r="M67" s="66"/>
      <c r="N67" s="66"/>
    </row>
    <row r="68" spans="2:14">
      <c r="B68" s="59"/>
      <c r="C68" s="66"/>
      <c r="D68" s="66"/>
      <c r="E68" s="66"/>
      <c r="F68" s="66"/>
      <c r="G68" s="66"/>
      <c r="H68" s="160"/>
      <c r="I68" s="66"/>
      <c r="J68" s="66"/>
      <c r="K68" s="66"/>
      <c r="L68" s="66"/>
      <c r="M68" s="66"/>
      <c r="N68" s="66"/>
    </row>
    <row r="69" spans="2:14">
      <c r="B69" s="59" t="s">
        <v>318</v>
      </c>
      <c r="C69" s="66">
        <v>79635570000</v>
      </c>
      <c r="D69" s="66">
        <v>63554130000</v>
      </c>
      <c r="E69" s="66">
        <v>92799960000</v>
      </c>
      <c r="F69" s="66">
        <v>106652080000</v>
      </c>
      <c r="G69" s="66">
        <v>115868200000</v>
      </c>
      <c r="H69" s="66">
        <v>129547740000</v>
      </c>
      <c r="I69" s="66">
        <v>129046680000</v>
      </c>
      <c r="J69" s="66"/>
      <c r="K69" s="66"/>
      <c r="L69" s="66"/>
      <c r="M69" s="66"/>
      <c r="N69" s="66"/>
    </row>
    <row r="70" spans="2:14">
      <c r="B70" s="58" t="s">
        <v>319</v>
      </c>
      <c r="C70" s="64">
        <v>97486359999.999985</v>
      </c>
      <c r="D70" s="64">
        <v>86650210000.000015</v>
      </c>
      <c r="E70" s="64">
        <v>164173199999.99997</v>
      </c>
      <c r="F70" s="64">
        <v>144404440000</v>
      </c>
      <c r="G70" s="64">
        <v>159675019999.99997</v>
      </c>
      <c r="H70" s="64">
        <v>164261580000.00003</v>
      </c>
      <c r="I70" s="64">
        <v>165801140000</v>
      </c>
      <c r="J70" s="64"/>
      <c r="K70" s="64"/>
      <c r="L70" s="64"/>
      <c r="M70" s="64"/>
      <c r="N70" s="64"/>
    </row>
    <row r="71" spans="2:14">
      <c r="B71" s="59" t="s">
        <v>393</v>
      </c>
      <c r="C71" s="66"/>
      <c r="D71" s="66"/>
      <c r="E71" s="66"/>
      <c r="F71" s="66"/>
      <c r="G71" s="66"/>
      <c r="H71" s="160"/>
      <c r="I71" s="66"/>
      <c r="J71" s="66"/>
      <c r="K71" s="66"/>
      <c r="L71" s="66"/>
      <c r="M71" s="66"/>
      <c r="N71" s="66"/>
    </row>
    <row r="72" spans="2:14">
      <c r="B72" s="59" t="s">
        <v>394</v>
      </c>
      <c r="C72" s="66"/>
      <c r="D72" s="66"/>
      <c r="E72" s="66"/>
      <c r="F72" s="66"/>
      <c r="G72" s="66"/>
      <c r="H72" s="160"/>
      <c r="I72" s="66"/>
      <c r="J72" s="66"/>
      <c r="K72" s="66"/>
      <c r="L72" s="66"/>
      <c r="M72" s="66"/>
      <c r="N72" s="66"/>
    </row>
    <row r="73" spans="2:14">
      <c r="B73" s="59" t="s">
        <v>590</v>
      </c>
      <c r="C73" s="66"/>
      <c r="D73" s="66"/>
      <c r="E73" s="66"/>
      <c r="F73" s="66"/>
      <c r="G73" s="66"/>
      <c r="H73" s="160"/>
      <c r="I73" s="66"/>
      <c r="J73" s="66"/>
      <c r="K73" s="66"/>
      <c r="L73" s="66"/>
      <c r="M73" s="66"/>
      <c r="N73" s="66"/>
    </row>
    <row r="74" spans="2:14">
      <c r="B74" s="59" t="s">
        <v>396</v>
      </c>
      <c r="C74" s="66"/>
      <c r="D74" s="66"/>
      <c r="E74" s="66"/>
      <c r="F74" s="66"/>
      <c r="G74" s="66"/>
      <c r="H74" s="160"/>
      <c r="I74" s="66"/>
      <c r="J74" s="66"/>
      <c r="K74" s="66"/>
      <c r="L74" s="66"/>
      <c r="M74" s="66"/>
      <c r="N74" s="66"/>
    </row>
    <row r="75" spans="2:14">
      <c r="B75" s="59" t="s">
        <v>397</v>
      </c>
      <c r="C75" s="66"/>
      <c r="D75" s="66"/>
      <c r="E75" s="66"/>
      <c r="F75" s="66"/>
      <c r="G75" s="66"/>
      <c r="H75" s="160"/>
      <c r="I75" s="66"/>
      <c r="J75" s="66"/>
      <c r="K75" s="66"/>
      <c r="L75" s="66"/>
      <c r="M75" s="66"/>
      <c r="N75" s="66"/>
    </row>
    <row r="76" spans="2:14">
      <c r="B76" s="59" t="s">
        <v>398</v>
      </c>
      <c r="C76" s="66"/>
      <c r="D76" s="66"/>
      <c r="E76" s="66"/>
      <c r="F76" s="66"/>
      <c r="G76" s="66"/>
      <c r="H76" s="160"/>
      <c r="I76" s="66"/>
      <c r="J76" s="66"/>
      <c r="K76" s="66"/>
      <c r="L76" s="66"/>
      <c r="M76" s="66"/>
      <c r="N76" s="66"/>
    </row>
    <row r="77" spans="2:14">
      <c r="B77" s="59" t="s">
        <v>399</v>
      </c>
      <c r="C77" s="66"/>
      <c r="D77" s="66"/>
      <c r="E77" s="66"/>
      <c r="F77" s="66"/>
      <c r="G77" s="66"/>
      <c r="H77" s="160"/>
      <c r="I77" s="66"/>
      <c r="J77" s="66"/>
      <c r="K77" s="66"/>
      <c r="L77" s="66"/>
      <c r="M77" s="66"/>
      <c r="N77" s="66"/>
    </row>
    <row r="78" spans="2:14">
      <c r="B78" s="59" t="s">
        <v>400</v>
      </c>
      <c r="C78" s="66"/>
      <c r="D78" s="66"/>
      <c r="E78" s="66"/>
      <c r="F78" s="161"/>
      <c r="G78" s="66"/>
      <c r="H78" s="160"/>
      <c r="I78" s="66"/>
      <c r="J78" s="66"/>
      <c r="K78" s="66"/>
      <c r="L78" s="66"/>
      <c r="M78" s="66"/>
      <c r="N78" s="66"/>
    </row>
    <row r="79" spans="2:14">
      <c r="B79" s="59" t="s">
        <v>401</v>
      </c>
      <c r="C79" s="66"/>
      <c r="D79" s="66"/>
      <c r="E79" s="66"/>
      <c r="F79" s="66"/>
      <c r="G79" s="66"/>
      <c r="H79" s="160"/>
      <c r="I79" s="66"/>
      <c r="J79" s="66"/>
      <c r="K79" s="66"/>
      <c r="L79" s="66"/>
      <c r="M79" s="66"/>
      <c r="N79" s="66"/>
    </row>
    <row r="80" spans="2:14">
      <c r="B80" s="59" t="s">
        <v>328</v>
      </c>
      <c r="C80" s="66">
        <v>97486359999.999985</v>
      </c>
      <c r="D80" s="66">
        <v>86650210000.000015</v>
      </c>
      <c r="E80" s="66">
        <v>164173199999.99997</v>
      </c>
      <c r="F80" s="66">
        <v>144404440000</v>
      </c>
      <c r="G80" s="66">
        <v>159675019999.99997</v>
      </c>
      <c r="H80" s="66">
        <v>164261580000.00003</v>
      </c>
      <c r="I80" s="66">
        <v>165801140000</v>
      </c>
      <c r="J80" s="66">
        <f t="shared" ref="J80:N80" si="37">+J70-J77-J78-J76-J71-J79-J75-J74-J73-J72</f>
        <v>0</v>
      </c>
      <c r="K80" s="66">
        <f t="shared" si="37"/>
        <v>0</v>
      </c>
      <c r="L80" s="66">
        <f t="shared" si="37"/>
        <v>0</v>
      </c>
      <c r="M80" s="66">
        <f t="shared" si="37"/>
        <v>0</v>
      </c>
      <c r="N80" s="66">
        <f t="shared" si="37"/>
        <v>0</v>
      </c>
    </row>
    <row r="81" spans="2:14" ht="14.65" thickBot="1">
      <c r="B81" s="60" t="s">
        <v>329</v>
      </c>
      <c r="C81" s="70">
        <v>301747810000</v>
      </c>
      <c r="D81" s="70">
        <v>277373200000</v>
      </c>
      <c r="E81" s="70">
        <v>406816540000</v>
      </c>
      <c r="F81" s="70">
        <v>397486560000</v>
      </c>
      <c r="G81" s="70">
        <v>464725790000</v>
      </c>
      <c r="H81" s="162">
        <v>486050810000</v>
      </c>
      <c r="I81" s="162">
        <v>528625020000</v>
      </c>
      <c r="J81" s="162">
        <f t="shared" ref="J81:N81" si="38">+J70+J61</f>
        <v>0</v>
      </c>
      <c r="K81" s="162">
        <f t="shared" si="38"/>
        <v>0</v>
      </c>
      <c r="L81" s="162">
        <f t="shared" si="38"/>
        <v>0</v>
      </c>
      <c r="M81" s="162">
        <f t="shared" si="38"/>
        <v>0</v>
      </c>
      <c r="N81" s="162">
        <f t="shared" si="38"/>
        <v>0</v>
      </c>
    </row>
    <row r="82" spans="2:14" ht="14.65" thickBot="1">
      <c r="B82" s="61"/>
      <c r="C82" s="72"/>
      <c r="D82" s="72"/>
      <c r="E82" s="72"/>
      <c r="F82" s="72"/>
      <c r="G82" s="72"/>
      <c r="H82" s="163"/>
      <c r="I82" s="72"/>
      <c r="J82" s="72"/>
      <c r="K82" s="72"/>
      <c r="L82" s="72"/>
      <c r="M82" s="72"/>
      <c r="N82" s="72"/>
    </row>
    <row r="83" spans="2:14">
      <c r="B83" s="57" t="s">
        <v>330</v>
      </c>
      <c r="C83" s="62"/>
      <c r="D83" s="62"/>
      <c r="E83" s="62"/>
      <c r="F83" s="62"/>
      <c r="G83" s="62"/>
      <c r="H83" s="164"/>
      <c r="I83" s="62"/>
      <c r="J83" s="62"/>
      <c r="K83" s="62"/>
      <c r="L83" s="62"/>
      <c r="M83" s="62"/>
      <c r="N83" s="62"/>
    </row>
    <row r="84" spans="2:14">
      <c r="B84" s="58" t="s">
        <v>310</v>
      </c>
      <c r="C84" s="64">
        <v>163646880000</v>
      </c>
      <c r="D84" s="64">
        <v>133699530000</v>
      </c>
      <c r="E84" s="64">
        <v>188739250000</v>
      </c>
      <c r="F84" s="64">
        <v>189784740000</v>
      </c>
      <c r="G84" s="64">
        <v>261097300000</v>
      </c>
      <c r="H84" s="64">
        <v>282118420000</v>
      </c>
      <c r="I84" s="64">
        <v>324615500000</v>
      </c>
      <c r="J84" s="64"/>
      <c r="K84" s="64"/>
      <c r="L84" s="64"/>
      <c r="M84" s="64"/>
      <c r="N84" s="64"/>
    </row>
    <row r="85" spans="2:14">
      <c r="B85" s="59" t="s">
        <v>402</v>
      </c>
      <c r="C85" s="66"/>
      <c r="D85" s="66"/>
      <c r="E85" s="66"/>
      <c r="F85" s="66"/>
      <c r="G85" s="66"/>
      <c r="H85" s="160"/>
      <c r="I85" s="66"/>
      <c r="J85" s="66"/>
      <c r="K85" s="66"/>
      <c r="L85" s="66"/>
      <c r="M85" s="66"/>
      <c r="N85" s="66"/>
    </row>
    <row r="86" spans="2:14">
      <c r="B86" s="59" t="s">
        <v>403</v>
      </c>
      <c r="C86" s="66"/>
      <c r="D86" s="66"/>
      <c r="E86" s="66"/>
      <c r="F86" s="66"/>
      <c r="G86" s="66"/>
      <c r="H86" s="160"/>
      <c r="I86" s="66"/>
      <c r="J86" s="66"/>
      <c r="K86" s="66"/>
      <c r="L86" s="66"/>
      <c r="M86" s="66"/>
      <c r="N86" s="66"/>
    </row>
    <row r="87" spans="2:14">
      <c r="B87" s="59" t="s">
        <v>404</v>
      </c>
      <c r="C87" s="66"/>
      <c r="D87" s="66"/>
      <c r="E87" s="66"/>
      <c r="F87" s="66"/>
      <c r="G87" s="66"/>
      <c r="H87" s="160"/>
      <c r="I87" s="66"/>
      <c r="J87" s="66"/>
      <c r="K87" s="66"/>
      <c r="L87" s="66"/>
      <c r="M87" s="66"/>
      <c r="N87" s="66"/>
    </row>
    <row r="88" spans="2:14">
      <c r="B88" s="59" t="s">
        <v>405</v>
      </c>
      <c r="C88" s="66"/>
      <c r="D88" s="66"/>
      <c r="E88" s="66"/>
      <c r="F88" s="66"/>
      <c r="G88" s="66"/>
      <c r="H88" s="160"/>
      <c r="I88" s="66"/>
      <c r="J88" s="66"/>
      <c r="K88" s="66"/>
      <c r="L88" s="66"/>
      <c r="M88" s="66"/>
      <c r="N88" s="66"/>
    </row>
    <row r="89" spans="2:14">
      <c r="B89" s="59" t="s">
        <v>406</v>
      </c>
      <c r="C89" s="66"/>
      <c r="D89" s="66"/>
      <c r="E89" s="66"/>
      <c r="F89" s="66"/>
      <c r="G89" s="66"/>
      <c r="H89" s="160"/>
      <c r="I89" s="66"/>
      <c r="J89" s="66"/>
      <c r="K89" s="66"/>
      <c r="L89" s="66"/>
      <c r="M89" s="66"/>
      <c r="N89" s="66"/>
    </row>
    <row r="90" spans="2:14">
      <c r="B90" s="59" t="s">
        <v>407</v>
      </c>
      <c r="C90" s="66"/>
      <c r="D90" s="66"/>
      <c r="E90" s="66"/>
      <c r="F90" s="66"/>
      <c r="G90" s="66"/>
      <c r="H90" s="160"/>
      <c r="I90" s="66"/>
      <c r="J90" s="66"/>
      <c r="K90" s="66"/>
      <c r="L90" s="66"/>
      <c r="M90" s="66"/>
      <c r="N90" s="66"/>
    </row>
    <row r="91" spans="2:14">
      <c r="B91" s="59" t="s">
        <v>408</v>
      </c>
      <c r="C91" s="66"/>
      <c r="D91" s="66"/>
      <c r="E91" s="66"/>
      <c r="F91" s="66"/>
      <c r="G91" s="66"/>
      <c r="H91" s="160"/>
      <c r="I91" s="66"/>
      <c r="J91" s="66"/>
      <c r="K91" s="66"/>
      <c r="L91" s="66"/>
      <c r="M91" s="66"/>
      <c r="N91" s="66"/>
    </row>
    <row r="92" spans="2:14">
      <c r="B92" s="59" t="s">
        <v>409</v>
      </c>
      <c r="C92" s="66"/>
      <c r="D92" s="66"/>
      <c r="E92" s="66"/>
      <c r="F92" s="66"/>
      <c r="G92" s="66"/>
      <c r="H92" s="160"/>
      <c r="I92" s="66"/>
      <c r="J92" s="66"/>
      <c r="K92" s="66"/>
      <c r="L92" s="66"/>
      <c r="M92" s="66"/>
      <c r="N92" s="66"/>
    </row>
    <row r="93" spans="2:14">
      <c r="B93" s="59" t="s">
        <v>410</v>
      </c>
      <c r="C93" s="66">
        <v>163646880000</v>
      </c>
      <c r="D93" s="66">
        <v>133699530000</v>
      </c>
      <c r="E93" s="66">
        <v>188739250000</v>
      </c>
      <c r="F93" s="66">
        <v>189784740000</v>
      </c>
      <c r="G93" s="66">
        <v>261097300000</v>
      </c>
      <c r="H93" s="66">
        <v>282118420000</v>
      </c>
      <c r="I93" s="66">
        <v>324615500000</v>
      </c>
      <c r="J93" s="66">
        <f t="shared" ref="J93:N93" si="39">+J84-J85-J91-J92-J90-J89-J88-J87-J86</f>
        <v>0</v>
      </c>
      <c r="K93" s="66">
        <f t="shared" si="39"/>
        <v>0</v>
      </c>
      <c r="L93" s="66">
        <f t="shared" si="39"/>
        <v>0</v>
      </c>
      <c r="M93" s="66">
        <f t="shared" si="39"/>
        <v>0</v>
      </c>
      <c r="N93" s="66">
        <f t="shared" si="39"/>
        <v>0</v>
      </c>
    </row>
    <row r="94" spans="2:14">
      <c r="B94" s="58" t="s">
        <v>319</v>
      </c>
      <c r="C94" s="141">
        <v>23750220000</v>
      </c>
      <c r="D94" s="141">
        <v>30321980000.000011</v>
      </c>
      <c r="E94" s="141">
        <v>91146239999.999985</v>
      </c>
      <c r="F94" s="141">
        <v>78166320000</v>
      </c>
      <c r="G94" s="141">
        <v>70171070000</v>
      </c>
      <c r="H94" s="141">
        <v>66445090000.000023</v>
      </c>
      <c r="I94" s="141">
        <v>58483489999.999992</v>
      </c>
      <c r="J94" s="141"/>
      <c r="K94" s="141"/>
      <c r="L94" s="141"/>
      <c r="M94" s="141"/>
      <c r="N94" s="141"/>
    </row>
    <row r="95" spans="2:14">
      <c r="B95" s="59" t="s">
        <v>411</v>
      </c>
      <c r="C95" s="66"/>
      <c r="D95" s="66"/>
      <c r="E95" s="66"/>
      <c r="F95" s="66"/>
      <c r="G95" s="66"/>
      <c r="H95" s="160"/>
      <c r="I95" s="160"/>
      <c r="J95" s="160"/>
      <c r="K95" s="160"/>
      <c r="L95" s="160"/>
      <c r="M95" s="160"/>
      <c r="N95" s="160"/>
    </row>
    <row r="96" spans="2:14">
      <c r="B96" s="59" t="s">
        <v>412</v>
      </c>
      <c r="C96" s="66"/>
      <c r="D96" s="66"/>
      <c r="E96" s="66"/>
      <c r="F96" s="66"/>
      <c r="G96" s="66"/>
      <c r="H96" s="160"/>
      <c r="I96" s="160"/>
      <c r="J96" s="160"/>
      <c r="K96" s="160"/>
      <c r="L96" s="160"/>
      <c r="M96" s="160"/>
      <c r="N96" s="160"/>
    </row>
    <row r="97" spans="2:14">
      <c r="B97" s="59" t="s">
        <v>413</v>
      </c>
      <c r="C97" s="66"/>
      <c r="D97" s="66"/>
      <c r="E97" s="66"/>
      <c r="F97" s="66"/>
      <c r="G97" s="66"/>
      <c r="H97" s="160"/>
      <c r="I97" s="160"/>
      <c r="J97" s="160"/>
      <c r="K97" s="160"/>
      <c r="L97" s="160"/>
      <c r="M97" s="160"/>
      <c r="N97" s="160"/>
    </row>
    <row r="98" spans="2:14">
      <c r="B98" s="59" t="s">
        <v>414</v>
      </c>
      <c r="C98" s="66"/>
      <c r="D98" s="66"/>
      <c r="E98" s="66"/>
      <c r="F98" s="66"/>
      <c r="G98" s="66"/>
      <c r="H98" s="160"/>
      <c r="I98" s="160"/>
      <c r="J98" s="160"/>
      <c r="K98" s="160"/>
      <c r="L98" s="160"/>
      <c r="M98" s="160"/>
      <c r="N98" s="160"/>
    </row>
    <row r="99" spans="2:14">
      <c r="B99" s="59" t="s">
        <v>341</v>
      </c>
      <c r="C99" s="66">
        <v>23750220000</v>
      </c>
      <c r="D99" s="66">
        <v>30321980000.000011</v>
      </c>
      <c r="E99" s="66">
        <v>91146239999.999985</v>
      </c>
      <c r="F99" s="66">
        <v>78166320000</v>
      </c>
      <c r="G99" s="66">
        <v>70171070000</v>
      </c>
      <c r="H99" s="66">
        <v>66445090000.000023</v>
      </c>
      <c r="I99" s="66">
        <v>58483489999.999992</v>
      </c>
      <c r="J99" s="66">
        <f t="shared" ref="J99:N99" si="40">+J94-J95-J97-J98-J96</f>
        <v>0</v>
      </c>
      <c r="K99" s="66">
        <f t="shared" si="40"/>
        <v>0</v>
      </c>
      <c r="L99" s="66">
        <f t="shared" si="40"/>
        <v>0</v>
      </c>
      <c r="M99" s="66">
        <f t="shared" si="40"/>
        <v>0</v>
      </c>
      <c r="N99" s="66">
        <f t="shared" si="40"/>
        <v>0</v>
      </c>
    </row>
    <row r="100" spans="2:14" ht="14.65" thickBot="1">
      <c r="B100" s="60" t="s">
        <v>342</v>
      </c>
      <c r="C100" s="70">
        <v>187397100000</v>
      </c>
      <c r="D100" s="70">
        <v>164021510000</v>
      </c>
      <c r="E100" s="70">
        <v>279885490000</v>
      </c>
      <c r="F100" s="70">
        <v>267951060000</v>
      </c>
      <c r="G100" s="70">
        <v>331268370000</v>
      </c>
      <c r="H100" s="162">
        <v>348563510000</v>
      </c>
      <c r="I100" s="162">
        <v>383098990000</v>
      </c>
      <c r="J100" s="162">
        <f t="shared" ref="J100:N100" si="41">+J94+J84</f>
        <v>0</v>
      </c>
      <c r="K100" s="162">
        <f t="shared" si="41"/>
        <v>0</v>
      </c>
      <c r="L100" s="162">
        <f t="shared" si="41"/>
        <v>0</v>
      </c>
      <c r="M100" s="162">
        <f t="shared" si="41"/>
        <v>0</v>
      </c>
      <c r="N100" s="162">
        <f t="shared" si="41"/>
        <v>0</v>
      </c>
    </row>
    <row r="101" spans="2:14" ht="14.65" thickBot="1">
      <c r="B101" s="61"/>
      <c r="C101" s="61"/>
      <c r="D101" s="61"/>
      <c r="E101" s="61"/>
      <c r="F101" s="61"/>
      <c r="G101" s="61"/>
      <c r="H101" s="61"/>
      <c r="I101" s="61"/>
      <c r="J101" s="61"/>
      <c r="K101" s="61"/>
      <c r="L101" s="61"/>
      <c r="M101" s="61"/>
      <c r="N101" s="61"/>
    </row>
    <row r="102" spans="2:14">
      <c r="B102" s="57" t="s">
        <v>343</v>
      </c>
      <c r="C102" s="62"/>
      <c r="D102" s="62"/>
      <c r="E102" s="62"/>
      <c r="F102" s="62"/>
      <c r="G102" s="62"/>
      <c r="H102" s="164"/>
      <c r="I102" s="62"/>
      <c r="J102" s="62"/>
      <c r="K102" s="62"/>
      <c r="L102" s="62"/>
      <c r="M102" s="62"/>
      <c r="N102" s="62"/>
    </row>
    <row r="103" spans="2:14">
      <c r="B103" s="59" t="s">
        <v>415</v>
      </c>
      <c r="C103" s="160">
        <v>51754220000</v>
      </c>
      <c r="D103" s="160">
        <v>51754220000</v>
      </c>
      <c r="E103" s="160">
        <v>51754220000</v>
      </c>
      <c r="F103" s="160">
        <v>51754220000</v>
      </c>
      <c r="G103" s="160">
        <v>51754220000</v>
      </c>
      <c r="H103" s="160">
        <v>51754220000</v>
      </c>
      <c r="I103" s="160">
        <v>50932950000</v>
      </c>
      <c r="J103" s="160"/>
      <c r="K103" s="160"/>
      <c r="L103" s="160"/>
      <c r="M103" s="160"/>
      <c r="N103" s="160"/>
    </row>
    <row r="104" spans="2:14">
      <c r="B104" s="59" t="s">
        <v>591</v>
      </c>
      <c r="C104" s="160">
        <v>28640790000</v>
      </c>
      <c r="D104" s="160">
        <v>28640790000</v>
      </c>
      <c r="E104" s="160">
        <v>28640790000</v>
      </c>
      <c r="F104" s="160">
        <v>28640790000</v>
      </c>
      <c r="G104" s="160">
        <v>28640790000</v>
      </c>
      <c r="H104" s="160">
        <v>28640790000</v>
      </c>
      <c r="I104" s="160">
        <v>28640790000</v>
      </c>
      <c r="J104" s="160"/>
      <c r="K104" s="160"/>
      <c r="L104" s="160"/>
      <c r="M104" s="160"/>
      <c r="N104" s="160"/>
    </row>
    <row r="105" spans="2:14">
      <c r="B105" s="59" t="s">
        <v>416</v>
      </c>
      <c r="C105" s="66">
        <v>32025420000</v>
      </c>
      <c r="D105" s="66">
        <v>31772490000</v>
      </c>
      <c r="E105" s="66">
        <v>41140520000</v>
      </c>
      <c r="F105" s="66">
        <v>44452120000</v>
      </c>
      <c r="G105" s="66">
        <v>50242360000</v>
      </c>
      <c r="H105" s="66">
        <v>54267990000</v>
      </c>
      <c r="I105" s="66">
        <v>63120720000</v>
      </c>
      <c r="J105" s="66"/>
      <c r="K105" s="66"/>
      <c r="L105" s="66"/>
      <c r="M105" s="66"/>
      <c r="N105" s="66"/>
    </row>
    <row r="106" spans="2:14">
      <c r="B106" s="59" t="s">
        <v>712</v>
      </c>
      <c r="C106" s="66">
        <v>-1695080000</v>
      </c>
      <c r="D106" s="66">
        <v>-1560170000</v>
      </c>
      <c r="E106" s="66">
        <v>-1100450000</v>
      </c>
      <c r="F106" s="66">
        <v>-1446940000</v>
      </c>
      <c r="G106" s="66">
        <v>-1587500000</v>
      </c>
      <c r="H106" s="66">
        <v>-1587500000</v>
      </c>
      <c r="I106" s="66">
        <v>-766230000</v>
      </c>
      <c r="J106" s="66"/>
      <c r="K106" s="66"/>
      <c r="L106" s="66"/>
      <c r="M106" s="66"/>
      <c r="N106" s="66"/>
    </row>
    <row r="107" spans="2:14">
      <c r="B107" s="59" t="s">
        <v>345</v>
      </c>
      <c r="C107" s="66">
        <v>-2711120000</v>
      </c>
      <c r="D107" s="66">
        <v>-1377820000</v>
      </c>
      <c r="E107" s="66">
        <v>-713740000</v>
      </c>
      <c r="F107" s="66">
        <v>-906520000</v>
      </c>
      <c r="G107" s="66">
        <v>-16219999.999999998</v>
      </c>
      <c r="H107" s="66">
        <v>-192750000</v>
      </c>
      <c r="I107" s="66">
        <v>1105820000</v>
      </c>
      <c r="J107" s="66"/>
      <c r="K107" s="66"/>
      <c r="L107" s="66"/>
      <c r="M107" s="66"/>
      <c r="N107" s="66"/>
    </row>
    <row r="108" spans="2:14">
      <c r="B108" s="59" t="s">
        <v>419</v>
      </c>
      <c r="C108" s="66">
        <v>6336480000</v>
      </c>
      <c r="D108" s="66">
        <v>4122180000.0000005</v>
      </c>
      <c r="E108" s="66">
        <v>7209710000</v>
      </c>
      <c r="F108" s="66">
        <v>7041840000</v>
      </c>
      <c r="G108" s="66">
        <v>4423780000</v>
      </c>
      <c r="H108" s="66">
        <v>4604560000</v>
      </c>
      <c r="I108" s="66">
        <v>2491990000</v>
      </c>
      <c r="J108" s="66"/>
      <c r="K108" s="66"/>
      <c r="L108" s="66"/>
      <c r="M108" s="66"/>
      <c r="N108" s="66"/>
    </row>
    <row r="109" spans="2:14" ht="14.65" thickBot="1">
      <c r="B109" s="60" t="s">
        <v>420</v>
      </c>
      <c r="C109" s="70">
        <v>108014230000</v>
      </c>
      <c r="D109" s="70">
        <v>109229510000</v>
      </c>
      <c r="E109" s="70">
        <v>119721340000</v>
      </c>
      <c r="F109" s="70">
        <v>122493670000</v>
      </c>
      <c r="G109" s="70">
        <v>129033650000</v>
      </c>
      <c r="H109" s="70">
        <v>132882750000</v>
      </c>
      <c r="I109" s="70">
        <v>143034050000</v>
      </c>
      <c r="J109" s="70">
        <f>+J103+J107+J105+J104</f>
        <v>0</v>
      </c>
      <c r="K109" s="70">
        <f>+K103+K107+K105+K104</f>
        <v>0</v>
      </c>
      <c r="L109" s="70">
        <f>+L103+L107+L105+L104</f>
        <v>0</v>
      </c>
      <c r="M109" s="70">
        <f>+M103+M107+M105+M104</f>
        <v>0</v>
      </c>
      <c r="N109" s="70">
        <f>+N103+N107+N105+N104</f>
        <v>0</v>
      </c>
    </row>
    <row r="110" spans="2:14" ht="14.65" thickBot="1">
      <c r="B110" s="60" t="s">
        <v>347</v>
      </c>
      <c r="C110" s="70">
        <v>114350710000</v>
      </c>
      <c r="D110" s="70">
        <v>113351690000</v>
      </c>
      <c r="E110" s="70">
        <v>126931050000</v>
      </c>
      <c r="F110" s="70">
        <v>129535510000</v>
      </c>
      <c r="G110" s="70">
        <v>133457430000</v>
      </c>
      <c r="H110" s="70">
        <v>137487310000</v>
      </c>
      <c r="I110" s="70">
        <v>145526040000</v>
      </c>
      <c r="J110" s="70">
        <f t="shared" ref="J110:N110" si="42">+J109+J108</f>
        <v>0</v>
      </c>
      <c r="K110" s="70">
        <f t="shared" si="42"/>
        <v>0</v>
      </c>
      <c r="L110" s="70">
        <f t="shared" si="42"/>
        <v>0</v>
      </c>
      <c r="M110" s="70">
        <f t="shared" si="42"/>
        <v>0</v>
      </c>
      <c r="N110" s="70">
        <f t="shared" si="42"/>
        <v>0</v>
      </c>
    </row>
    <row r="112" spans="2:14" ht="14.65" thickBot="1">
      <c r="B112" s="75" t="s">
        <v>348</v>
      </c>
    </row>
    <row r="113" spans="2:14" ht="14.65" thickBot="1">
      <c r="B113" s="82" t="s">
        <v>308</v>
      </c>
      <c r="C113" s="88">
        <v>2017</v>
      </c>
      <c r="D113" s="88">
        <v>2018</v>
      </c>
      <c r="E113" s="88">
        <v>2019</v>
      </c>
      <c r="F113" s="88">
        <v>2020</v>
      </c>
      <c r="G113" s="88">
        <v>2021</v>
      </c>
      <c r="H113" s="88">
        <v>2022</v>
      </c>
      <c r="I113" s="88">
        <v>2023</v>
      </c>
      <c r="J113" s="88">
        <v>2024</v>
      </c>
      <c r="K113" s="88">
        <v>2025</v>
      </c>
      <c r="L113" s="88">
        <v>2026</v>
      </c>
      <c r="M113" s="88">
        <v>2027</v>
      </c>
      <c r="N113" s="88">
        <v>2028</v>
      </c>
    </row>
    <row r="114" spans="2:14">
      <c r="B114" s="525" t="s">
        <v>349</v>
      </c>
      <c r="C114" s="90">
        <v>314637800000</v>
      </c>
      <c r="D114" s="90">
        <v>342282650000</v>
      </c>
      <c r="E114" s="90">
        <v>309636550000</v>
      </c>
      <c r="F114" s="90">
        <v>318478600000</v>
      </c>
      <c r="G114" s="90">
        <v>432388930000</v>
      </c>
      <c r="H114" s="90">
        <v>542911020000</v>
      </c>
      <c r="I114" s="90">
        <v>568792650000</v>
      </c>
      <c r="J114" s="90"/>
      <c r="K114" s="90"/>
      <c r="L114" s="90"/>
      <c r="M114" s="90"/>
      <c r="N114" s="90"/>
    </row>
    <row r="115" spans="2:14">
      <c r="B115" s="85" t="s">
        <v>534</v>
      </c>
      <c r="C115" s="66"/>
      <c r="D115" s="66"/>
      <c r="E115" s="66"/>
      <c r="F115" s="66"/>
      <c r="G115" s="66"/>
      <c r="H115" s="66"/>
      <c r="I115" s="66"/>
      <c r="J115" s="66"/>
      <c r="K115" s="66"/>
      <c r="L115" s="66"/>
      <c r="M115" s="66"/>
      <c r="N115" s="66"/>
    </row>
    <row r="116" spans="2:14">
      <c r="B116" s="86" t="s">
        <v>422</v>
      </c>
      <c r="C116" s="64"/>
      <c r="D116" s="64"/>
      <c r="E116" s="64"/>
      <c r="F116" s="64"/>
      <c r="G116" s="64"/>
      <c r="H116" s="64"/>
      <c r="I116" s="64"/>
      <c r="J116" s="64">
        <f t="shared" ref="J116:N116" si="43">+J114+J115</f>
        <v>0</v>
      </c>
      <c r="K116" s="64">
        <f t="shared" si="43"/>
        <v>0</v>
      </c>
      <c r="L116" s="64">
        <f t="shared" si="43"/>
        <v>0</v>
      </c>
      <c r="M116" s="64">
        <f t="shared" si="43"/>
        <v>0</v>
      </c>
      <c r="N116" s="64">
        <f t="shared" si="43"/>
        <v>0</v>
      </c>
    </row>
    <row r="117" spans="2:14">
      <c r="B117" s="85" t="s">
        <v>592</v>
      </c>
      <c r="C117" s="64"/>
      <c r="D117" s="64"/>
      <c r="E117" s="64"/>
      <c r="F117" s="117"/>
      <c r="G117" s="117"/>
      <c r="H117" s="117"/>
      <c r="I117" s="117"/>
      <c r="J117" s="117"/>
      <c r="K117" s="117"/>
      <c r="L117" s="117"/>
      <c r="M117" s="117"/>
      <c r="N117" s="117"/>
    </row>
    <row r="118" spans="2:14">
      <c r="B118" s="85" t="s">
        <v>536</v>
      </c>
      <c r="C118" s="64"/>
      <c r="D118" s="64"/>
      <c r="E118" s="64"/>
      <c r="F118" s="117"/>
      <c r="G118" s="117"/>
      <c r="H118" s="117"/>
      <c r="I118" s="117"/>
      <c r="J118" s="117"/>
      <c r="K118" s="117"/>
      <c r="L118" s="117"/>
      <c r="M118" s="117"/>
      <c r="N118" s="117"/>
    </row>
    <row r="119" spans="2:14">
      <c r="B119" s="85" t="s">
        <v>537</v>
      </c>
      <c r="C119" s="64"/>
      <c r="D119" s="64"/>
      <c r="E119" s="64"/>
      <c r="F119" s="117"/>
      <c r="G119" s="117"/>
      <c r="H119" s="117"/>
      <c r="I119" s="117"/>
      <c r="J119" s="117"/>
      <c r="K119" s="117"/>
      <c r="L119" s="117"/>
      <c r="M119" s="117"/>
      <c r="N119" s="117"/>
    </row>
    <row r="120" spans="2:14">
      <c r="B120" s="85" t="s">
        <v>593</v>
      </c>
      <c r="C120" s="66"/>
      <c r="D120" s="66"/>
      <c r="E120" s="66"/>
      <c r="F120" s="117"/>
      <c r="G120" s="117"/>
      <c r="H120" s="117"/>
      <c r="I120" s="117"/>
      <c r="J120" s="117"/>
      <c r="K120" s="117"/>
      <c r="L120" s="117"/>
      <c r="M120" s="117"/>
      <c r="N120" s="117"/>
    </row>
    <row r="121" spans="2:14">
      <c r="B121" s="526" t="s">
        <v>594</v>
      </c>
      <c r="C121" s="64">
        <v>-7802700000</v>
      </c>
      <c r="D121" s="64">
        <v>10647250000</v>
      </c>
      <c r="E121" s="64">
        <v>17816120000</v>
      </c>
      <c r="F121" s="64">
        <v>5188610000</v>
      </c>
      <c r="G121" s="64">
        <v>15370890000</v>
      </c>
      <c r="H121" s="64">
        <v>11761240000</v>
      </c>
      <c r="I121" s="64">
        <v>28937310000</v>
      </c>
      <c r="J121" s="64">
        <f t="shared" ref="J121:N121" si="44">+J116+J120+J117+J118+J119</f>
        <v>0</v>
      </c>
      <c r="K121" s="64">
        <f t="shared" si="44"/>
        <v>0</v>
      </c>
      <c r="L121" s="64">
        <f t="shared" si="44"/>
        <v>0</v>
      </c>
      <c r="M121" s="64">
        <f t="shared" si="44"/>
        <v>0</v>
      </c>
      <c r="N121" s="64">
        <f t="shared" si="44"/>
        <v>0</v>
      </c>
    </row>
    <row r="122" spans="2:14">
      <c r="B122" s="85" t="s">
        <v>429</v>
      </c>
      <c r="C122" s="66"/>
      <c r="D122" s="66"/>
      <c r="E122" s="66"/>
      <c r="F122" s="66"/>
      <c r="G122" s="131"/>
      <c r="H122" s="131"/>
      <c r="I122" s="131"/>
      <c r="J122" s="131"/>
      <c r="K122" s="131"/>
      <c r="L122" s="131"/>
      <c r="M122" s="131"/>
      <c r="N122" s="131"/>
    </row>
    <row r="123" spans="2:14">
      <c r="B123" s="85" t="s">
        <v>430</v>
      </c>
      <c r="C123" s="66"/>
      <c r="D123" s="66"/>
      <c r="E123" s="66"/>
      <c r="F123" s="66"/>
      <c r="G123" s="131"/>
      <c r="H123" s="131"/>
      <c r="I123" s="131"/>
      <c r="J123" s="131"/>
      <c r="K123" s="131"/>
      <c r="L123" s="131"/>
      <c r="M123" s="131"/>
      <c r="N123" s="131"/>
    </row>
    <row r="124" spans="2:14">
      <c r="B124" s="85" t="s">
        <v>431</v>
      </c>
      <c r="C124" s="66"/>
      <c r="D124" s="66"/>
      <c r="E124" s="66"/>
      <c r="F124" s="66"/>
      <c r="G124" s="131"/>
      <c r="H124" s="131"/>
      <c r="I124" s="131"/>
      <c r="J124" s="131"/>
      <c r="K124" s="131"/>
      <c r="L124" s="131"/>
      <c r="M124" s="131"/>
      <c r="N124" s="131"/>
    </row>
    <row r="125" spans="2:14">
      <c r="B125" s="85" t="s">
        <v>432</v>
      </c>
      <c r="C125" s="66"/>
      <c r="D125" s="66"/>
      <c r="E125" s="66"/>
      <c r="F125" s="66"/>
      <c r="G125" s="131"/>
      <c r="H125" s="131"/>
      <c r="I125" s="131"/>
      <c r="J125" s="131"/>
      <c r="K125" s="131"/>
      <c r="L125" s="131"/>
      <c r="M125" s="131"/>
      <c r="N125" s="131"/>
    </row>
    <row r="126" spans="2:14">
      <c r="B126" s="85" t="s">
        <v>433</v>
      </c>
      <c r="C126" s="66"/>
      <c r="D126" s="66"/>
      <c r="E126" s="66"/>
      <c r="F126" s="66"/>
      <c r="G126" s="131"/>
      <c r="H126" s="131"/>
      <c r="I126" s="131"/>
      <c r="J126" s="131"/>
      <c r="K126" s="131"/>
      <c r="L126" s="131"/>
      <c r="M126" s="131"/>
      <c r="N126" s="131"/>
    </row>
    <row r="127" spans="2:14">
      <c r="B127" s="86" t="s">
        <v>362</v>
      </c>
      <c r="C127" s="64">
        <v>-5294390000</v>
      </c>
      <c r="D127" s="64">
        <v>13354380000</v>
      </c>
      <c r="E127" s="64">
        <v>18123290000</v>
      </c>
      <c r="F127" s="64">
        <v>4960010000</v>
      </c>
      <c r="G127" s="64">
        <v>10271480000</v>
      </c>
      <c r="H127" s="64">
        <v>7949480000</v>
      </c>
      <c r="I127" s="64">
        <v>20579570000</v>
      </c>
      <c r="J127" s="64">
        <f t="shared" ref="J127:N127" si="45">+J121+J122+J123+J124+J125+J126</f>
        <v>0</v>
      </c>
      <c r="K127" s="64">
        <f t="shared" si="45"/>
        <v>0</v>
      </c>
      <c r="L127" s="64">
        <f t="shared" si="45"/>
        <v>0</v>
      </c>
      <c r="M127" s="64">
        <f t="shared" si="45"/>
        <v>0</v>
      </c>
      <c r="N127" s="64">
        <f t="shared" si="45"/>
        <v>0</v>
      </c>
    </row>
    <row r="128" spans="2:14">
      <c r="B128" s="85" t="s">
        <v>363</v>
      </c>
      <c r="C128" s="91">
        <v>2885290000</v>
      </c>
      <c r="D128" s="91">
        <v>-3225820000</v>
      </c>
      <c r="E128" s="91">
        <v>-4435340000</v>
      </c>
      <c r="F128" s="91">
        <v>847100000</v>
      </c>
      <c r="G128" s="91">
        <v>-2018930000</v>
      </c>
      <c r="H128" s="91">
        <v>3608570000</v>
      </c>
      <c r="I128" s="91">
        <v>-2772320000</v>
      </c>
      <c r="J128" s="91"/>
      <c r="K128" s="91"/>
      <c r="L128" s="91"/>
      <c r="M128" s="91"/>
      <c r="N128" s="91"/>
    </row>
    <row r="129" spans="2:14">
      <c r="B129" s="84" t="s">
        <v>365</v>
      </c>
      <c r="C129" s="130">
        <v>-2409100000</v>
      </c>
      <c r="D129" s="130">
        <v>10128560000</v>
      </c>
      <c r="E129" s="130">
        <v>13687950000</v>
      </c>
      <c r="F129" s="130">
        <v>5807110000</v>
      </c>
      <c r="G129" s="130">
        <v>8252550000</v>
      </c>
      <c r="H129" s="130">
        <v>11558050000</v>
      </c>
      <c r="I129" s="130">
        <v>17807250000</v>
      </c>
      <c r="J129" s="130">
        <f t="shared" ref="J129:N129" si="46">+J127+J128</f>
        <v>0</v>
      </c>
      <c r="K129" s="130">
        <f t="shared" si="46"/>
        <v>0</v>
      </c>
      <c r="L129" s="130">
        <f t="shared" si="46"/>
        <v>0</v>
      </c>
      <c r="M129" s="130">
        <f t="shared" si="46"/>
        <v>0</v>
      </c>
      <c r="N129" s="130">
        <f t="shared" si="46"/>
        <v>0</v>
      </c>
    </row>
    <row r="130" spans="2:14" ht="28.5">
      <c r="B130" s="87" t="s">
        <v>435</v>
      </c>
      <c r="C130" s="91">
        <v>3399440000</v>
      </c>
      <c r="D130" s="91">
        <v>726320000</v>
      </c>
      <c r="E130" s="91">
        <v>-594250000</v>
      </c>
      <c r="F130" s="91">
        <v>140580000</v>
      </c>
      <c r="G130" s="91">
        <v>300000</v>
      </c>
      <c r="H130" s="91">
        <v>-206110000</v>
      </c>
      <c r="I130" s="91">
        <v>-49520000</v>
      </c>
      <c r="J130" s="91"/>
      <c r="K130" s="91"/>
      <c r="L130" s="91"/>
      <c r="M130" s="91"/>
      <c r="N130" s="91"/>
    </row>
    <row r="131" spans="2:14">
      <c r="B131" s="84" t="s">
        <v>436</v>
      </c>
      <c r="C131" s="66">
        <v>990340000</v>
      </c>
      <c r="D131" s="66">
        <v>10854880000</v>
      </c>
      <c r="E131" s="66">
        <v>13093700000</v>
      </c>
      <c r="F131" s="66">
        <v>5947690000</v>
      </c>
      <c r="G131" s="66">
        <v>8252850000</v>
      </c>
      <c r="H131" s="66">
        <v>11351940000</v>
      </c>
      <c r="I131" s="66">
        <v>17757730000</v>
      </c>
      <c r="J131" s="66">
        <f t="shared" ref="J131:N131" si="47">+J129-J130</f>
        <v>0</v>
      </c>
      <c r="K131" s="66">
        <f t="shared" si="47"/>
        <v>0</v>
      </c>
      <c r="L131" s="66">
        <f t="shared" si="47"/>
        <v>0</v>
      </c>
      <c r="M131" s="66">
        <f t="shared" si="47"/>
        <v>0</v>
      </c>
      <c r="N131" s="66">
        <f t="shared" si="47"/>
        <v>0</v>
      </c>
    </row>
    <row r="132" spans="2:14">
      <c r="B132" s="84" t="s">
        <v>366</v>
      </c>
      <c r="C132" s="134">
        <v>1.65</v>
      </c>
      <c r="D132" s="134">
        <v>18.09</v>
      </c>
      <c r="E132" s="134">
        <v>21.77</v>
      </c>
      <c r="F132" s="134">
        <v>9.91</v>
      </c>
      <c r="G132" s="134">
        <v>13.77</v>
      </c>
      <c r="H132" s="134">
        <v>18.940000000000001</v>
      </c>
      <c r="I132" s="134">
        <v>29.63</v>
      </c>
      <c r="J132" s="134"/>
      <c r="K132" s="134"/>
      <c r="L132" s="134"/>
      <c r="M132" s="134"/>
      <c r="N132" s="134"/>
    </row>
    <row r="134" spans="2:14" ht="14.65" thickBot="1">
      <c r="B134" s="75" t="s">
        <v>367</v>
      </c>
    </row>
    <row r="135" spans="2:14" ht="14.65" thickBot="1">
      <c r="B135" s="82" t="s">
        <v>308</v>
      </c>
      <c r="C135" s="88">
        <v>2017</v>
      </c>
      <c r="D135" s="88">
        <v>2018</v>
      </c>
      <c r="E135" s="88">
        <v>2019</v>
      </c>
      <c r="F135" s="88">
        <v>2020</v>
      </c>
      <c r="G135" s="88">
        <v>2021</v>
      </c>
      <c r="H135" s="88">
        <v>2022</v>
      </c>
      <c r="I135" s="88">
        <v>2023</v>
      </c>
      <c r="J135" s="88">
        <v>2024</v>
      </c>
      <c r="K135" s="88">
        <v>2025</v>
      </c>
      <c r="L135" s="88">
        <v>2026</v>
      </c>
      <c r="M135" s="88">
        <v>2027</v>
      </c>
      <c r="N135" s="88">
        <v>2028</v>
      </c>
    </row>
    <row r="136" spans="2:14">
      <c r="B136" s="83" t="s">
        <v>368</v>
      </c>
      <c r="C136" s="90">
        <v>-20694730000</v>
      </c>
      <c r="D136" s="90">
        <v>31836930000</v>
      </c>
      <c r="E136" s="90">
        <v>-1518780000</v>
      </c>
      <c r="F136" s="90">
        <v>-636470000</v>
      </c>
      <c r="G136" s="90">
        <v>20522380000</v>
      </c>
      <c r="H136" s="90">
        <v>-9185290000</v>
      </c>
      <c r="I136" s="90">
        <v>46371870000</v>
      </c>
      <c r="J136" s="90"/>
      <c r="K136" s="90"/>
      <c r="L136" s="90"/>
      <c r="M136" s="90"/>
      <c r="N136" s="90"/>
    </row>
    <row r="137" spans="2:14">
      <c r="B137" s="86" t="s">
        <v>369</v>
      </c>
      <c r="C137" s="66">
        <v>-9109470000</v>
      </c>
      <c r="D137" s="66">
        <v>-3517830000</v>
      </c>
      <c r="E137" s="66">
        <v>-9385560000</v>
      </c>
      <c r="F137" s="66">
        <v>-12492120000</v>
      </c>
      <c r="G137" s="66">
        <v>-19768010000</v>
      </c>
      <c r="H137" s="66">
        <v>-16549480000</v>
      </c>
      <c r="I137" s="66">
        <v>-11575310000</v>
      </c>
      <c r="J137" s="66"/>
      <c r="K137" s="66"/>
      <c r="L137" s="66"/>
      <c r="M137" s="66"/>
      <c r="N137" s="66"/>
    </row>
    <row r="138" spans="2:14">
      <c r="B138" s="85" t="s">
        <v>370</v>
      </c>
      <c r="C138" s="93">
        <v>-5235570000</v>
      </c>
      <c r="D138" s="93">
        <v>-3350680000</v>
      </c>
      <c r="E138" s="93">
        <v>-5033200000</v>
      </c>
      <c r="F138" s="93">
        <v>-2018110000</v>
      </c>
      <c r="G138" s="93">
        <v>-4288069999.9999995</v>
      </c>
      <c r="H138" s="93">
        <v>-4328170000</v>
      </c>
      <c r="I138" s="93">
        <v>-2879220000</v>
      </c>
      <c r="J138" s="93"/>
      <c r="K138" s="93"/>
      <c r="L138" s="93"/>
      <c r="M138" s="93"/>
      <c r="N138" s="93"/>
    </row>
    <row r="139" spans="2:14">
      <c r="B139" s="86" t="s">
        <v>372</v>
      </c>
      <c r="C139" s="120">
        <v>28037360000</v>
      </c>
      <c r="D139" s="120">
        <v>-6613510000</v>
      </c>
      <c r="E139" s="120">
        <v>28916350000</v>
      </c>
      <c r="F139" s="120">
        <v>14984460000</v>
      </c>
      <c r="G139" s="120">
        <v>4858510000</v>
      </c>
      <c r="H139" s="120">
        <v>-13272480000</v>
      </c>
      <c r="I139" s="120">
        <v>-34083330000</v>
      </c>
      <c r="J139" s="120"/>
      <c r="K139" s="120"/>
      <c r="L139" s="120"/>
      <c r="M139" s="120"/>
      <c r="N139" s="120"/>
    </row>
    <row r="140" spans="2:14">
      <c r="B140" s="85" t="s">
        <v>373</v>
      </c>
      <c r="C140" s="510">
        <v>0</v>
      </c>
      <c r="D140" s="510">
        <v>0</v>
      </c>
      <c r="E140" s="510">
        <v>0</v>
      </c>
      <c r="F140" s="510">
        <v>0</v>
      </c>
      <c r="G140" s="510">
        <v>0</v>
      </c>
      <c r="H140" s="510">
        <v>-4126188000</v>
      </c>
      <c r="I140" s="510">
        <v>-5675866000</v>
      </c>
      <c r="J140" s="93"/>
      <c r="K140" s="93"/>
      <c r="L140" s="93"/>
      <c r="M140" s="93"/>
      <c r="N140" s="93"/>
    </row>
    <row r="141" spans="2:14">
      <c r="B141" s="85" t="s">
        <v>437</v>
      </c>
      <c r="C141" s="93">
        <v>-1765040000</v>
      </c>
      <c r="D141" s="93">
        <v>-3464370000</v>
      </c>
      <c r="E141" s="93">
        <v>-2733460000</v>
      </c>
      <c r="F141" s="93">
        <v>-4589300000</v>
      </c>
      <c r="G141" s="93">
        <v>-5385640000</v>
      </c>
      <c r="H141" s="93">
        <v>-12442840000</v>
      </c>
      <c r="I141" s="93">
        <v>-19830360000</v>
      </c>
      <c r="J141" s="93"/>
      <c r="K141" s="93"/>
      <c r="L141" s="93"/>
      <c r="M141" s="93"/>
      <c r="N141" s="93"/>
    </row>
    <row r="142" spans="2:14">
      <c r="B142" s="86" t="s">
        <v>375</v>
      </c>
      <c r="C142" s="64"/>
      <c r="D142" s="64"/>
      <c r="E142" s="64"/>
      <c r="F142" s="64"/>
      <c r="G142" s="64"/>
      <c r="H142" s="64"/>
      <c r="I142" s="64"/>
      <c r="J142" s="64"/>
      <c r="K142" s="64"/>
      <c r="L142" s="64"/>
      <c r="M142" s="64"/>
      <c r="N142" s="64"/>
    </row>
    <row r="143" spans="2:14">
      <c r="B143" s="85"/>
      <c r="C143" s="66"/>
      <c r="D143" s="66"/>
      <c r="E143" s="66"/>
      <c r="F143" s="66"/>
      <c r="G143" s="66"/>
      <c r="H143" s="66"/>
      <c r="I143" s="66"/>
      <c r="J143" s="66"/>
      <c r="K143" s="66"/>
      <c r="L143" s="66"/>
      <c r="M143" s="66"/>
      <c r="N143" s="66"/>
    </row>
    <row r="144" spans="2:14">
      <c r="B144" s="84" t="s">
        <v>595</v>
      </c>
      <c r="C144" s="131">
        <v>-27695340000</v>
      </c>
      <c r="D144" s="131">
        <v>25021880000</v>
      </c>
      <c r="E144" s="131">
        <v>-9285440000</v>
      </c>
      <c r="F144" s="131">
        <v>-7243880000</v>
      </c>
      <c r="G144" s="131">
        <v>10848670000</v>
      </c>
      <c r="H144" s="131">
        <v>-25956300000</v>
      </c>
      <c r="I144" s="131">
        <v>23662290000</v>
      </c>
      <c r="J144" s="131">
        <f t="shared" ref="J144:N144" si="48">+J136+J138+J141</f>
        <v>0</v>
      </c>
      <c r="K144" s="131">
        <f t="shared" si="48"/>
        <v>0</v>
      </c>
      <c r="L144" s="131">
        <f t="shared" si="48"/>
        <v>0</v>
      </c>
      <c r="M144" s="131">
        <f t="shared" si="48"/>
        <v>0</v>
      </c>
      <c r="N144" s="131">
        <f t="shared" si="48"/>
        <v>0</v>
      </c>
    </row>
    <row r="145" spans="2:9">
      <c r="B145" s="219" t="s">
        <v>596</v>
      </c>
      <c r="C145" s="131">
        <v>-25930290000</v>
      </c>
      <c r="D145" s="131">
        <v>28486250000</v>
      </c>
      <c r="E145" s="131">
        <v>-6551980000</v>
      </c>
      <c r="F145" s="131">
        <v>-2654580000</v>
      </c>
      <c r="G145" s="131">
        <v>16234310000</v>
      </c>
      <c r="H145" s="131">
        <v>-13513460000</v>
      </c>
      <c r="I145" s="131">
        <v>43492650000</v>
      </c>
    </row>
  </sheetData>
  <conditionalFormatting sqref="C145:I145">
    <cfRule type="cellIs" dxfId="172" priority="1" operator="lessThan">
      <formula>0</formula>
    </cfRule>
  </conditionalFormatting>
  <conditionalFormatting sqref="C60:N100 C102:N110">
    <cfRule type="cellIs" dxfId="171" priority="4" operator="lessThan">
      <formula>0</formula>
    </cfRule>
  </conditionalFormatting>
  <conditionalFormatting sqref="C114:N132">
    <cfRule type="cellIs" dxfId="170" priority="3" operator="lessThan">
      <formula>0</formula>
    </cfRule>
  </conditionalFormatting>
  <conditionalFormatting sqref="C136:N144">
    <cfRule type="cellIs" dxfId="169" priority="2" operator="lessThan">
      <formula>0</formula>
    </cfRule>
  </conditionalFormatting>
  <pageMargins left="0.7" right="0.7" top="0.75" bottom="0.75" header="0.3" footer="0.3"/>
  <pageSetup paperSize="9" orientation="portrait" r:id="rId1"/>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3AF5E-1F69-4E91-A722-F9A44BC1CEB7}">
  <sheetPr codeName="Hoja14"/>
  <dimension ref="B2:P147"/>
  <sheetViews>
    <sheetView zoomScale="55" zoomScaleNormal="55" workbookViewId="0">
      <pane xSplit="2" ySplit="6" topLeftCell="G18" activePane="bottomRight" state="frozen"/>
      <selection pane="bottomRight" activeCell="B66" sqref="B66"/>
      <selection pane="bottomLeft" activeCell="A7" sqref="A7"/>
      <selection pane="topRight" activeCell="C1" sqref="C1"/>
    </sheetView>
  </sheetViews>
  <sheetFormatPr defaultColWidth="10.7109375" defaultRowHeight="15" customHeight="1"/>
  <cols>
    <col min="1" max="1" width="4.42578125" customWidth="1"/>
    <col min="2" max="2" width="42.28515625" bestFit="1" customWidth="1"/>
    <col min="3" max="3" width="33.28515625" customWidth="1"/>
    <col min="4" max="4" width="36.7109375" bestFit="1" customWidth="1"/>
    <col min="5" max="6" width="33.28515625" customWidth="1"/>
    <col min="7" max="7" width="36.28515625" customWidth="1"/>
    <col min="8" max="8" width="35.7109375" customWidth="1"/>
    <col min="9" max="9" width="35.7109375" bestFit="1" customWidth="1"/>
    <col min="10" max="10" width="38" customWidth="1"/>
    <col min="11" max="11" width="35.42578125" customWidth="1"/>
    <col min="12" max="14" width="27.28515625" customWidth="1"/>
  </cols>
  <sheetData>
    <row r="2" spans="2:14" ht="21">
      <c r="B2" s="313">
        <f ca="1">TODAY()-1</f>
        <v>46105</v>
      </c>
      <c r="C2" s="314"/>
      <c r="D2" s="344" t="s">
        <v>265</v>
      </c>
      <c r="E2" s="345" t="s">
        <v>266</v>
      </c>
    </row>
    <row r="3" spans="2:14" ht="26.25">
      <c r="B3" s="376" cm="1">
        <f t="array" aca="1" ref="B3" ca="1">_FV(B6,"Precio")</f>
        <v>1530</v>
      </c>
      <c r="C3" s="316"/>
      <c r="D3" s="346">
        <f>AVERAGE(H45:J45)</f>
        <v>73.207463333333337</v>
      </c>
      <c r="E3" s="346">
        <f>AVERAGE(H44:J44)</f>
        <v>95.333333333333329</v>
      </c>
    </row>
    <row r="4" spans="2:14" ht="28.5">
      <c r="B4" s="319"/>
      <c r="C4" s="320"/>
      <c r="D4" s="328"/>
      <c r="E4" s="328"/>
    </row>
    <row r="6" spans="2:14" ht="33.75">
      <c r="B6" s="3" t="e" vm="28">
        <v>#VALUE!</v>
      </c>
      <c r="C6" s="3">
        <v>2017</v>
      </c>
      <c r="D6" s="3">
        <v>2018</v>
      </c>
      <c r="E6" s="3">
        <v>2019</v>
      </c>
      <c r="F6" s="3">
        <v>2020</v>
      </c>
      <c r="G6" s="3">
        <v>2021</v>
      </c>
      <c r="H6" s="3">
        <v>2022</v>
      </c>
      <c r="I6" s="3">
        <v>2023</v>
      </c>
      <c r="J6" s="3">
        <v>2024</v>
      </c>
      <c r="K6" s="3">
        <v>2025</v>
      </c>
      <c r="L6" s="3">
        <v>2026</v>
      </c>
      <c r="M6" s="3">
        <v>2027</v>
      </c>
      <c r="N6" s="3">
        <v>2028</v>
      </c>
    </row>
    <row r="7" spans="2:14" ht="26.25">
      <c r="B7" s="4" t="s">
        <v>267</v>
      </c>
      <c r="C7" s="5">
        <f>+C68</f>
        <v>201095694000</v>
      </c>
      <c r="D7" s="5">
        <f t="shared" ref="D7:N7" si="0">+D68</f>
        <v>192358154000</v>
      </c>
      <c r="E7" s="5">
        <f t="shared" si="0"/>
        <v>222208479000</v>
      </c>
      <c r="F7" s="5">
        <f t="shared" si="0"/>
        <v>273962937000</v>
      </c>
      <c r="G7" s="5">
        <f t="shared" si="0"/>
        <v>313759632000</v>
      </c>
      <c r="H7" s="5">
        <f t="shared" si="0"/>
        <v>341987528000</v>
      </c>
      <c r="I7" s="5">
        <f t="shared" si="0"/>
        <v>447641303000</v>
      </c>
      <c r="J7" s="5">
        <f t="shared" si="0"/>
        <v>414030382000</v>
      </c>
      <c r="K7" s="5">
        <f t="shared" si="0"/>
        <v>446109170000</v>
      </c>
      <c r="L7" s="5">
        <f t="shared" si="0"/>
        <v>0</v>
      </c>
      <c r="M7" s="5">
        <f t="shared" si="0"/>
        <v>0</v>
      </c>
      <c r="N7" s="5">
        <f t="shared" si="0"/>
        <v>0</v>
      </c>
    </row>
    <row r="8" spans="2:14" ht="26.25">
      <c r="B8" s="146" t="s">
        <v>377</v>
      </c>
      <c r="C8" s="147">
        <f>+C72</f>
        <v>63233820000</v>
      </c>
      <c r="D8" s="147">
        <f t="shared" ref="D8:N8" si="1">+D72</f>
        <v>50099799000</v>
      </c>
      <c r="E8" s="147">
        <f t="shared" si="1"/>
        <v>60283534000</v>
      </c>
      <c r="F8" s="147">
        <f t="shared" si="1"/>
        <v>61759977000</v>
      </c>
      <c r="G8" s="147">
        <f t="shared" si="1"/>
        <v>98589324000</v>
      </c>
      <c r="H8" s="147">
        <f t="shared" si="1"/>
        <v>119156457000</v>
      </c>
      <c r="I8" s="147">
        <f t="shared" si="1"/>
        <v>141451763000</v>
      </c>
      <c r="J8" s="147">
        <f t="shared" si="1"/>
        <v>145214242000</v>
      </c>
      <c r="K8" s="147">
        <f t="shared" si="1"/>
        <v>129545104000</v>
      </c>
      <c r="L8" s="147">
        <f t="shared" si="1"/>
        <v>0</v>
      </c>
      <c r="M8" s="147">
        <f t="shared" si="1"/>
        <v>0</v>
      </c>
      <c r="N8" s="147">
        <f t="shared" si="1"/>
        <v>0</v>
      </c>
    </row>
    <row r="9" spans="2:14" ht="26.25">
      <c r="B9" s="146" t="s">
        <v>378</v>
      </c>
      <c r="C9" s="147">
        <f>+C74</f>
        <v>53813462000</v>
      </c>
      <c r="D9" s="147">
        <f t="shared" ref="D9:N9" si="2">+D74</f>
        <v>72853822000</v>
      </c>
      <c r="E9" s="147">
        <f t="shared" si="2"/>
        <v>82089606000</v>
      </c>
      <c r="F9" s="147">
        <f t="shared" si="2"/>
        <v>72783207000</v>
      </c>
      <c r="G9" s="147">
        <f t="shared" si="2"/>
        <v>99989405000</v>
      </c>
      <c r="H9" s="147">
        <f t="shared" si="2"/>
        <v>119815298000</v>
      </c>
      <c r="I9" s="147">
        <f t="shared" si="2"/>
        <v>121476979000</v>
      </c>
      <c r="J9" s="147">
        <f t="shared" si="2"/>
        <v>148809198000</v>
      </c>
      <c r="K9" s="147">
        <f t="shared" si="2"/>
        <v>133165269000</v>
      </c>
      <c r="L9" s="147">
        <f t="shared" si="2"/>
        <v>0</v>
      </c>
      <c r="M9" s="147">
        <f t="shared" si="2"/>
        <v>0</v>
      </c>
      <c r="N9" s="147">
        <f t="shared" si="2"/>
        <v>0</v>
      </c>
    </row>
    <row r="10" spans="2:14" ht="26.25">
      <c r="B10" s="4" t="s">
        <v>379</v>
      </c>
      <c r="C10" s="5">
        <f>+C77</f>
        <v>518480503000</v>
      </c>
      <c r="D10" s="5">
        <f t="shared" ref="D10:N10" si="3">+D77</f>
        <v>579011442000</v>
      </c>
      <c r="E10" s="5">
        <f t="shared" si="3"/>
        <v>636639674000</v>
      </c>
      <c r="F10" s="5">
        <f t="shared" si="3"/>
        <v>639313919000</v>
      </c>
      <c r="G10" s="5">
        <f t="shared" si="3"/>
        <v>728100855000</v>
      </c>
      <c r="H10" s="5">
        <f t="shared" si="3"/>
        <v>781669468000</v>
      </c>
      <c r="I10" s="5">
        <f t="shared" si="3"/>
        <v>812454969000</v>
      </c>
      <c r="J10" s="5">
        <f t="shared" si="3"/>
        <v>877440940000</v>
      </c>
      <c r="K10" s="5">
        <f t="shared" si="3"/>
        <v>773859685000</v>
      </c>
      <c r="L10" s="5">
        <f t="shared" si="3"/>
        <v>0</v>
      </c>
      <c r="M10" s="5">
        <f t="shared" si="3"/>
        <v>0</v>
      </c>
      <c r="N10" s="5">
        <f t="shared" si="3"/>
        <v>0</v>
      </c>
    </row>
    <row r="11" spans="2:14" ht="26.25">
      <c r="B11" s="8" t="s">
        <v>272</v>
      </c>
      <c r="C11" s="9">
        <f t="shared" ref="C11" si="4">+C7+C10</f>
        <v>719576197000</v>
      </c>
      <c r="D11" s="9">
        <f t="shared" ref="D11:N11" si="5">+D7+D10</f>
        <v>771369596000</v>
      </c>
      <c r="E11" s="9">
        <f t="shared" si="5"/>
        <v>858848153000</v>
      </c>
      <c r="F11" s="9">
        <f t="shared" si="5"/>
        <v>913276856000</v>
      </c>
      <c r="G11" s="9">
        <f t="shared" si="5"/>
        <v>1041860487000</v>
      </c>
      <c r="H11" s="9">
        <f t="shared" si="5"/>
        <v>1123656996000</v>
      </c>
      <c r="I11" s="9">
        <f t="shared" si="5"/>
        <v>1260096272000</v>
      </c>
      <c r="J11" s="9">
        <f t="shared" si="5"/>
        <v>1291471322000</v>
      </c>
      <c r="K11" s="9">
        <f t="shared" si="5"/>
        <v>1219968855000</v>
      </c>
      <c r="L11" s="9">
        <f t="shared" si="5"/>
        <v>0</v>
      </c>
      <c r="M11" s="9">
        <f t="shared" si="5"/>
        <v>0</v>
      </c>
      <c r="N11" s="9">
        <f t="shared" si="5"/>
        <v>0</v>
      </c>
    </row>
    <row r="12" spans="2:14" ht="26.25">
      <c r="B12" s="10" t="s">
        <v>273</v>
      </c>
      <c r="C12" s="11">
        <f>+C91</f>
        <v>141231657000</v>
      </c>
      <c r="D12" s="11">
        <f t="shared" ref="D12:N12" si="6">+D91</f>
        <v>183871197000</v>
      </c>
      <c r="E12" s="11">
        <f t="shared" si="6"/>
        <v>212609540000</v>
      </c>
      <c r="F12" s="11">
        <f t="shared" si="6"/>
        <v>194411361000</v>
      </c>
      <c r="G12" s="11">
        <f t="shared" si="6"/>
        <v>317400986000</v>
      </c>
      <c r="H12" s="11">
        <f t="shared" si="6"/>
        <v>292987337000</v>
      </c>
      <c r="I12" s="11">
        <f t="shared" si="6"/>
        <v>345091270000</v>
      </c>
      <c r="J12" s="11">
        <f t="shared" si="6"/>
        <v>317234594000</v>
      </c>
      <c r="K12" s="11">
        <f t="shared" si="6"/>
        <v>263078544000</v>
      </c>
      <c r="L12" s="11">
        <f t="shared" si="6"/>
        <v>0</v>
      </c>
      <c r="M12" s="11">
        <f t="shared" si="6"/>
        <v>0</v>
      </c>
      <c r="N12" s="11">
        <f t="shared" si="6"/>
        <v>0</v>
      </c>
    </row>
    <row r="13" spans="2:14" ht="26.25">
      <c r="B13" s="10" t="s">
        <v>274</v>
      </c>
      <c r="C13" s="11">
        <f>+C101</f>
        <v>224761997000</v>
      </c>
      <c r="D13" s="11">
        <f t="shared" ref="D13:N13" si="7">+D101</f>
        <v>213303222000</v>
      </c>
      <c r="E13" s="11">
        <f t="shared" si="7"/>
        <v>256591241000</v>
      </c>
      <c r="F13" s="11">
        <f t="shared" si="7"/>
        <v>298924327000</v>
      </c>
      <c r="G13" s="11">
        <f t="shared" si="7"/>
        <v>293826642000</v>
      </c>
      <c r="H13" s="11">
        <f t="shared" si="7"/>
        <v>339896129000</v>
      </c>
      <c r="I13" s="11">
        <f t="shared" si="7"/>
        <v>385276014000</v>
      </c>
      <c r="J13" s="11">
        <f t="shared" si="7"/>
        <v>391900581000</v>
      </c>
      <c r="K13" s="11">
        <f t="shared" si="7"/>
        <v>359174338000</v>
      </c>
      <c r="L13" s="11">
        <f t="shared" si="7"/>
        <v>0</v>
      </c>
      <c r="M13" s="11">
        <f t="shared" si="7"/>
        <v>0</v>
      </c>
      <c r="N13" s="11">
        <f t="shared" si="7"/>
        <v>0</v>
      </c>
    </row>
    <row r="14" spans="2:14" ht="26.25">
      <c r="B14" s="12" t="s">
        <v>275</v>
      </c>
      <c r="C14" s="13">
        <f t="shared" ref="C14" si="8">SUM(C12:C13)</f>
        <v>365993654000</v>
      </c>
      <c r="D14" s="13">
        <f t="shared" ref="D14:N14" si="9">SUM(D12:D13)</f>
        <v>397174419000</v>
      </c>
      <c r="E14" s="13">
        <f t="shared" si="9"/>
        <v>469200781000</v>
      </c>
      <c r="F14" s="13">
        <f t="shared" si="9"/>
        <v>493335688000</v>
      </c>
      <c r="G14" s="13">
        <f t="shared" si="9"/>
        <v>611227628000</v>
      </c>
      <c r="H14" s="13">
        <f t="shared" si="9"/>
        <v>632883466000</v>
      </c>
      <c r="I14" s="13">
        <f t="shared" si="9"/>
        <v>730367284000</v>
      </c>
      <c r="J14" s="13">
        <f t="shared" si="9"/>
        <v>709135175000</v>
      </c>
      <c r="K14" s="13">
        <f t="shared" si="9"/>
        <v>622252882000</v>
      </c>
      <c r="L14" s="13">
        <f t="shared" si="9"/>
        <v>0</v>
      </c>
      <c r="M14" s="13">
        <f t="shared" si="9"/>
        <v>0</v>
      </c>
      <c r="N14" s="13">
        <f t="shared" si="9"/>
        <v>0</v>
      </c>
    </row>
    <row r="15" spans="2:14" ht="26.25">
      <c r="B15" s="14" t="s">
        <v>276</v>
      </c>
      <c r="C15" s="15">
        <f>+C114</f>
        <v>353571614000</v>
      </c>
      <c r="D15" s="15">
        <f t="shared" ref="D15:N15" si="10">+D114</f>
        <v>374184292000</v>
      </c>
      <c r="E15" s="15">
        <f t="shared" si="10"/>
        <v>389634601000</v>
      </c>
      <c r="F15" s="15">
        <f t="shared" si="10"/>
        <v>419927046000</v>
      </c>
      <c r="G15" s="15">
        <f t="shared" si="10"/>
        <v>430614308000</v>
      </c>
      <c r="H15" s="15">
        <f t="shared" si="10"/>
        <v>490750473000</v>
      </c>
      <c r="I15" s="15">
        <f t="shared" si="10"/>
        <v>529704211000</v>
      </c>
      <c r="J15" s="15">
        <f t="shared" si="10"/>
        <v>582309097000</v>
      </c>
      <c r="K15" s="15">
        <f t="shared" si="10"/>
        <v>597684851000</v>
      </c>
      <c r="L15" s="15">
        <f t="shared" si="10"/>
        <v>0</v>
      </c>
      <c r="M15" s="15">
        <f t="shared" si="10"/>
        <v>0</v>
      </c>
      <c r="N15" s="15">
        <f t="shared" si="10"/>
        <v>0</v>
      </c>
    </row>
    <row r="16" spans="2:14" ht="26.25">
      <c r="B16" s="79" t="s">
        <v>278</v>
      </c>
      <c r="C16" s="80">
        <v>510853230</v>
      </c>
      <c r="D16" s="80">
        <v>510853230</v>
      </c>
      <c r="E16" s="80">
        <v>510853230</v>
      </c>
      <c r="F16" s="80">
        <v>510853230</v>
      </c>
      <c r="G16" s="80">
        <v>510853230</v>
      </c>
      <c r="H16" s="80">
        <v>510853230</v>
      </c>
      <c r="I16" s="80">
        <v>510853230</v>
      </c>
      <c r="J16" s="80">
        <v>510853230</v>
      </c>
      <c r="K16" s="80">
        <v>510853230</v>
      </c>
      <c r="L16" s="80"/>
      <c r="M16" s="80"/>
      <c r="N16" s="80"/>
    </row>
    <row r="18" spans="2:14" ht="26.25">
      <c r="B18" s="18" t="s">
        <v>279</v>
      </c>
      <c r="C18" s="19">
        <f t="shared" ref="C18:N18" si="11">(C15/C16)</f>
        <v>692.11975815441156</v>
      </c>
      <c r="D18" s="19">
        <f t="shared" si="11"/>
        <v>732.46926910885929</v>
      </c>
      <c r="E18" s="19">
        <f t="shared" si="11"/>
        <v>762.71339421696518</v>
      </c>
      <c r="F18" s="19">
        <f t="shared" si="11"/>
        <v>822.01114006854766</v>
      </c>
      <c r="G18" s="19">
        <f t="shared" si="11"/>
        <v>842.93155589913761</v>
      </c>
      <c r="H18" s="19">
        <f t="shared" si="11"/>
        <v>960.6486641965638</v>
      </c>
      <c r="I18" s="19">
        <f t="shared" si="11"/>
        <v>1036.9009725161177</v>
      </c>
      <c r="J18" s="19">
        <f t="shared" si="11"/>
        <v>1139.8755313732674</v>
      </c>
      <c r="K18" s="19">
        <f t="shared" si="11"/>
        <v>1169.9737143680193</v>
      </c>
      <c r="L18" s="19" t="e">
        <f t="shared" si="11"/>
        <v>#DIV/0!</v>
      </c>
      <c r="M18" s="19" t="e">
        <f t="shared" si="11"/>
        <v>#DIV/0!</v>
      </c>
      <c r="N18" s="19" t="e">
        <f t="shared" si="11"/>
        <v>#DIV/0!</v>
      </c>
    </row>
    <row r="19" spans="2:14" ht="26.25">
      <c r="B19" s="76" t="s">
        <v>282</v>
      </c>
      <c r="C19" s="77">
        <v>1710</v>
      </c>
      <c r="D19" s="77">
        <v>1680</v>
      </c>
      <c r="E19" s="77">
        <v>1321</v>
      </c>
      <c r="F19" s="77">
        <v>910</v>
      </c>
      <c r="G19" s="77">
        <v>976.64</v>
      </c>
      <c r="H19" s="101">
        <v>1316</v>
      </c>
      <c r="I19" s="101">
        <v>1181</v>
      </c>
      <c r="J19" s="101">
        <v>1199</v>
      </c>
      <c r="K19" s="101">
        <v>1600</v>
      </c>
      <c r="L19" s="101"/>
      <c r="M19" s="101"/>
      <c r="N19" s="101"/>
    </row>
    <row r="20" spans="2:14" ht="26.25">
      <c r="B20" s="18" t="s">
        <v>283</v>
      </c>
      <c r="C20" s="22">
        <f>+C19/C40</f>
        <v>20.757465404224327</v>
      </c>
      <c r="D20" s="22">
        <f t="shared" ref="D20:N20" si="12">+D19/D40</f>
        <v>19.43994445730155</v>
      </c>
      <c r="E20" s="22">
        <f t="shared" si="12"/>
        <v>14.336878662904276</v>
      </c>
      <c r="F20" s="22">
        <f t="shared" si="12"/>
        <v>9.3659942363112396</v>
      </c>
      <c r="G20" s="22">
        <f t="shared" si="12"/>
        <v>5.7301103027458344</v>
      </c>
      <c r="H20" s="22">
        <f t="shared" si="12"/>
        <v>7.7067228859217618</v>
      </c>
      <c r="I20" s="22">
        <f t="shared" si="12"/>
        <v>8.3931490299196927</v>
      </c>
      <c r="J20" s="22">
        <f t="shared" si="12"/>
        <v>8.2456502303830543</v>
      </c>
      <c r="K20" s="22">
        <f t="shared" si="12"/>
        <v>13.621658436914695</v>
      </c>
      <c r="L20" s="22" t="e">
        <f t="shared" si="12"/>
        <v>#DIV/0!</v>
      </c>
      <c r="M20" s="22" t="e">
        <f t="shared" si="12"/>
        <v>#DIV/0!</v>
      </c>
      <c r="N20" s="22" t="e">
        <f t="shared" si="12"/>
        <v>#DIV/0!</v>
      </c>
    </row>
    <row r="21" spans="2:14" ht="26.25">
      <c r="B21" s="18" t="s">
        <v>540</v>
      </c>
      <c r="C21" s="22">
        <f t="shared" ref="C21:N21" si="13">+C19/C18</f>
        <v>2.4706706893613921</v>
      </c>
      <c r="D21" s="22">
        <f t="shared" si="13"/>
        <v>2.2936115832462578</v>
      </c>
      <c r="E21" s="22">
        <f t="shared" si="13"/>
        <v>1.731974303868357</v>
      </c>
      <c r="F21" s="22">
        <f t="shared" si="13"/>
        <v>1.1070409580144072</v>
      </c>
      <c r="G21" s="22">
        <f t="shared" si="13"/>
        <v>1.1586231327622305</v>
      </c>
      <c r="H21" s="22">
        <f t="shared" si="13"/>
        <v>1.3699076978373081</v>
      </c>
      <c r="I21" s="22">
        <f t="shared" si="13"/>
        <v>1.1389708673280683</v>
      </c>
      <c r="J21" s="22">
        <f t="shared" si="13"/>
        <v>1.0518692322095047</v>
      </c>
      <c r="K21" s="22">
        <f t="shared" si="13"/>
        <v>1.3675520914281964</v>
      </c>
      <c r="L21" s="22" t="e">
        <f t="shared" si="13"/>
        <v>#DIV/0!</v>
      </c>
      <c r="M21" s="22" t="e">
        <f t="shared" si="13"/>
        <v>#DIV/0!</v>
      </c>
      <c r="N21" s="22" t="e">
        <f t="shared" si="13"/>
        <v>#DIV/0!</v>
      </c>
    </row>
    <row r="22" spans="2:14" ht="26.25">
      <c r="B22" s="18" t="s">
        <v>541</v>
      </c>
      <c r="C22" s="22">
        <f>+C20*C21</f>
        <v>51.284861359650165</v>
      </c>
      <c r="D22" s="22">
        <f t="shared" ref="D22:N22" si="14">+D20*D21</f>
        <v>44.587681784930723</v>
      </c>
      <c r="E22" s="22">
        <f t="shared" si="14"/>
        <v>24.831105441828736</v>
      </c>
      <c r="F22" s="22">
        <f t="shared" si="14"/>
        <v>10.36853923212341</v>
      </c>
      <c r="G22" s="22">
        <f t="shared" si="14"/>
        <v>6.6390383500405115</v>
      </c>
      <c r="H22" s="22">
        <f t="shared" si="14"/>
        <v>10.557499006523177</v>
      </c>
      <c r="I22" s="22">
        <f t="shared" si="14"/>
        <v>9.5595522302213674</v>
      </c>
      <c r="J22" s="22">
        <f t="shared" si="14"/>
        <v>8.6733457769011491</v>
      </c>
      <c r="K22" s="22">
        <f t="shared" si="14"/>
        <v>18.628327484123229</v>
      </c>
      <c r="L22" s="22" t="e">
        <f t="shared" si="14"/>
        <v>#DIV/0!</v>
      </c>
      <c r="M22" s="22" t="e">
        <f t="shared" si="14"/>
        <v>#DIV/0!</v>
      </c>
      <c r="N22" s="22" t="e">
        <f t="shared" si="14"/>
        <v>#DIV/0!</v>
      </c>
    </row>
    <row r="23" spans="2:14" ht="26.25">
      <c r="B23" s="23" t="s">
        <v>286</v>
      </c>
      <c r="C23" s="24">
        <f>IF(C41&lt;10%,0,IF(15%&lt;C41,2,1))</f>
        <v>1</v>
      </c>
      <c r="D23" s="24">
        <f>IF(D41&lt;10%,0,IF(15%&lt;D41,2,1))</f>
        <v>1</v>
      </c>
      <c r="E23" s="24">
        <f t="shared" ref="E23:F23" si="15">IF(E41&lt;10%,0,IF(15%&lt;E41,2,1))</f>
        <v>1</v>
      </c>
      <c r="F23" s="24">
        <f t="shared" si="15"/>
        <v>1</v>
      </c>
      <c r="G23" s="24">
        <v>2</v>
      </c>
      <c r="H23" s="24">
        <v>2</v>
      </c>
      <c r="I23" s="24">
        <v>2</v>
      </c>
      <c r="J23" s="24">
        <v>2</v>
      </c>
      <c r="K23" s="24">
        <v>2</v>
      </c>
      <c r="L23" s="24">
        <v>2</v>
      </c>
      <c r="M23" s="24">
        <v>2</v>
      </c>
      <c r="N23" s="24">
        <v>2</v>
      </c>
    </row>
    <row r="24" spans="2:14" ht="26.25">
      <c r="B24" s="23" t="s">
        <v>287</v>
      </c>
      <c r="C24" s="24">
        <f>IF(C41&lt;10%,1,IF(15%&lt;C41,2.5,2))</f>
        <v>2</v>
      </c>
      <c r="D24" s="24">
        <f t="shared" ref="D24:F24" si="16">IF(D41&lt;10%,1,IF(15%&lt;D41,2.5,2))</f>
        <v>2</v>
      </c>
      <c r="E24" s="24">
        <f t="shared" si="16"/>
        <v>2</v>
      </c>
      <c r="F24" s="24">
        <f t="shared" si="16"/>
        <v>2</v>
      </c>
      <c r="G24" s="24">
        <v>2.5</v>
      </c>
      <c r="H24" s="24">
        <v>2.5</v>
      </c>
      <c r="I24" s="24">
        <v>2.5</v>
      </c>
      <c r="J24" s="24">
        <v>2.5</v>
      </c>
      <c r="K24" s="24">
        <v>2.5</v>
      </c>
      <c r="L24" s="24">
        <v>2.5</v>
      </c>
      <c r="M24" s="24">
        <v>2.5</v>
      </c>
      <c r="N24" s="24">
        <v>2.5</v>
      </c>
    </row>
    <row r="25" spans="2:14" ht="26.25">
      <c r="B25" s="25" t="s">
        <v>288</v>
      </c>
      <c r="C25" s="26">
        <f t="shared" ref="C25:N25" si="17">+C23*C18</f>
        <v>692.11975815441156</v>
      </c>
      <c r="D25" s="26">
        <f t="shared" si="17"/>
        <v>732.46926910885929</v>
      </c>
      <c r="E25" s="26">
        <f t="shared" si="17"/>
        <v>762.71339421696518</v>
      </c>
      <c r="F25" s="26">
        <f t="shared" si="17"/>
        <v>822.01114006854766</v>
      </c>
      <c r="G25" s="26">
        <f t="shared" si="17"/>
        <v>1685.8631117982752</v>
      </c>
      <c r="H25" s="26">
        <f t="shared" si="17"/>
        <v>1921.2973283931276</v>
      </c>
      <c r="I25" s="26">
        <f t="shared" si="17"/>
        <v>2073.8019450322354</v>
      </c>
      <c r="J25" s="26">
        <f t="shared" si="17"/>
        <v>2279.7510627465349</v>
      </c>
      <c r="K25" s="26">
        <f t="shared" si="17"/>
        <v>2339.9474287360385</v>
      </c>
      <c r="L25" s="26" t="e">
        <f t="shared" si="17"/>
        <v>#DIV/0!</v>
      </c>
      <c r="M25" s="26" t="e">
        <f t="shared" si="17"/>
        <v>#DIV/0!</v>
      </c>
      <c r="N25" s="26" t="e">
        <f t="shared" si="17"/>
        <v>#DIV/0!</v>
      </c>
    </row>
    <row r="26" spans="2:14" ht="26.25">
      <c r="B26" s="25" t="s">
        <v>289</v>
      </c>
      <c r="C26" s="26">
        <f>AVERAGE(C25,C27)</f>
        <v>1038.1796372316173</v>
      </c>
      <c r="D26" s="26">
        <f t="shared" ref="D26:N26" si="18">AVERAGE(D25,D27)</f>
        <v>1098.7039036632889</v>
      </c>
      <c r="E26" s="26">
        <f t="shared" si="18"/>
        <v>1144.0700913254477</v>
      </c>
      <c r="F26" s="26">
        <f t="shared" si="18"/>
        <v>1233.0167101028214</v>
      </c>
      <c r="G26" s="26">
        <f t="shared" si="18"/>
        <v>1896.5960007730596</v>
      </c>
      <c r="H26" s="26">
        <f t="shared" si="18"/>
        <v>2161.4594944422684</v>
      </c>
      <c r="I26" s="26">
        <f t="shared" si="18"/>
        <v>2333.0271881612648</v>
      </c>
      <c r="J26" s="26">
        <f t="shared" si="18"/>
        <v>2564.7199455898517</v>
      </c>
      <c r="K26" s="26">
        <f t="shared" si="18"/>
        <v>2632.4408573280434</v>
      </c>
      <c r="L26" s="26" t="e">
        <f t="shared" si="18"/>
        <v>#DIV/0!</v>
      </c>
      <c r="M26" s="26" t="e">
        <f t="shared" si="18"/>
        <v>#DIV/0!</v>
      </c>
      <c r="N26" s="26" t="e">
        <f t="shared" si="18"/>
        <v>#DIV/0!</v>
      </c>
    </row>
    <row r="27" spans="2:14" ht="26.25">
      <c r="B27" s="25" t="s">
        <v>290</v>
      </c>
      <c r="C27" s="26">
        <f t="shared" ref="C27:N27" si="19">+C18*C24</f>
        <v>1384.2395163088231</v>
      </c>
      <c r="D27" s="26">
        <f t="shared" si="19"/>
        <v>1464.9385382177186</v>
      </c>
      <c r="E27" s="26">
        <f t="shared" si="19"/>
        <v>1525.4267884339304</v>
      </c>
      <c r="F27" s="26">
        <f t="shared" si="19"/>
        <v>1644.0222801370953</v>
      </c>
      <c r="G27" s="26">
        <f t="shared" si="19"/>
        <v>2107.3288897478442</v>
      </c>
      <c r="H27" s="26">
        <f t="shared" si="19"/>
        <v>2401.6216604914093</v>
      </c>
      <c r="I27" s="26">
        <f t="shared" si="19"/>
        <v>2592.2524312902942</v>
      </c>
      <c r="J27" s="26">
        <f t="shared" si="19"/>
        <v>2849.6888284331685</v>
      </c>
      <c r="K27" s="26">
        <f t="shared" si="19"/>
        <v>2924.9342859200483</v>
      </c>
      <c r="L27" s="26" t="e">
        <f t="shared" si="19"/>
        <v>#DIV/0!</v>
      </c>
      <c r="M27" s="26" t="e">
        <f t="shared" si="19"/>
        <v>#DIV/0!</v>
      </c>
      <c r="N27" s="26" t="e">
        <f t="shared" si="19"/>
        <v>#DIV/0!</v>
      </c>
    </row>
    <row r="29" spans="2:14" ht="26.25">
      <c r="B29" s="27" t="s">
        <v>291</v>
      </c>
      <c r="C29" s="28">
        <f t="shared" ref="C29:N29" si="20">C7-C12</f>
        <v>59864037000</v>
      </c>
      <c r="D29" s="28">
        <f t="shared" si="20"/>
        <v>8486957000</v>
      </c>
      <c r="E29" s="28">
        <f t="shared" si="20"/>
        <v>9598939000</v>
      </c>
      <c r="F29" s="28">
        <f t="shared" si="20"/>
        <v>79551576000</v>
      </c>
      <c r="G29" s="28">
        <f t="shared" si="20"/>
        <v>-3641354000</v>
      </c>
      <c r="H29" s="28">
        <f t="shared" si="20"/>
        <v>49000191000</v>
      </c>
      <c r="I29" s="28">
        <f t="shared" si="20"/>
        <v>102550033000</v>
      </c>
      <c r="J29" s="28">
        <f t="shared" si="20"/>
        <v>96795788000</v>
      </c>
      <c r="K29" s="28">
        <f t="shared" si="20"/>
        <v>183030626000</v>
      </c>
      <c r="L29" s="28">
        <f t="shared" si="20"/>
        <v>0</v>
      </c>
      <c r="M29" s="28">
        <f t="shared" si="20"/>
        <v>0</v>
      </c>
      <c r="N29" s="28">
        <f t="shared" si="20"/>
        <v>0</v>
      </c>
    </row>
    <row r="30" spans="2:14" ht="26.25">
      <c r="B30" s="30" t="s">
        <v>149</v>
      </c>
      <c r="C30" s="31">
        <f t="shared" ref="C30:N30" si="21">C7/C12</f>
        <v>1.4238712358943717</v>
      </c>
      <c r="D30" s="31">
        <f t="shared" si="21"/>
        <v>1.0461570770108164</v>
      </c>
      <c r="E30" s="31">
        <f t="shared" si="21"/>
        <v>1.0451482045443492</v>
      </c>
      <c r="F30" s="31">
        <f t="shared" si="21"/>
        <v>1.4091920121890407</v>
      </c>
      <c r="G30" s="31">
        <f t="shared" si="21"/>
        <v>0.988527590774403</v>
      </c>
      <c r="H30" s="98">
        <f t="shared" si="21"/>
        <v>1.1672433747537696</v>
      </c>
      <c r="I30" s="98">
        <f t="shared" si="21"/>
        <v>1.2971678564919942</v>
      </c>
      <c r="J30" s="98">
        <f t="shared" si="21"/>
        <v>1.3051236839573681</v>
      </c>
      <c r="K30" s="98">
        <f t="shared" si="21"/>
        <v>1.6957261630579801</v>
      </c>
      <c r="L30" s="98" t="e">
        <f t="shared" si="21"/>
        <v>#DIV/0!</v>
      </c>
      <c r="M30" s="98" t="e">
        <f t="shared" si="21"/>
        <v>#DIV/0!</v>
      </c>
      <c r="N30" s="98" t="e">
        <f t="shared" si="21"/>
        <v>#DIV/0!</v>
      </c>
    </row>
    <row r="31" spans="2:14" ht="26.25">
      <c r="B31" s="30" t="s">
        <v>292</v>
      </c>
      <c r="C31" s="31">
        <f t="shared" ref="C31:N31" si="22">+(C7-C9)/C12</f>
        <v>1.0428414926831879</v>
      </c>
      <c r="D31" s="31">
        <f t="shared" si="22"/>
        <v>0.6499350303353929</v>
      </c>
      <c r="E31" s="31">
        <f t="shared" si="22"/>
        <v>0.65904320662186655</v>
      </c>
      <c r="F31" s="31">
        <f t="shared" si="22"/>
        <v>1.0348146783458811</v>
      </c>
      <c r="G31" s="31">
        <f t="shared" si="22"/>
        <v>0.67350208861670013</v>
      </c>
      <c r="H31" s="31">
        <f t="shared" si="22"/>
        <v>0.75829976911254704</v>
      </c>
      <c r="I31" s="31">
        <f t="shared" si="22"/>
        <v>0.94515379655938558</v>
      </c>
      <c r="J31" s="31">
        <f t="shared" si="22"/>
        <v>0.83604117903988739</v>
      </c>
      <c r="K31" s="31">
        <f t="shared" si="22"/>
        <v>1.1895455107885955</v>
      </c>
      <c r="L31" s="31" t="e">
        <f t="shared" si="22"/>
        <v>#DIV/0!</v>
      </c>
      <c r="M31" s="31" t="e">
        <f t="shared" si="22"/>
        <v>#DIV/0!</v>
      </c>
      <c r="N31" s="31" t="e">
        <f t="shared" si="22"/>
        <v>#DIV/0!</v>
      </c>
    </row>
    <row r="32" spans="2:14" ht="26.25">
      <c r="B32" s="32" t="s">
        <v>153</v>
      </c>
      <c r="C32" s="33">
        <f t="shared" ref="C32:N32" si="23">C14/C11</f>
        <v>0.5086239032445371</v>
      </c>
      <c r="D32" s="33">
        <f t="shared" si="23"/>
        <v>0.51489509187240512</v>
      </c>
      <c r="E32" s="33">
        <f t="shared" si="23"/>
        <v>0.54631401297314075</v>
      </c>
      <c r="F32" s="33">
        <f t="shared" si="23"/>
        <v>0.54018196646384742</v>
      </c>
      <c r="G32" s="33">
        <f t="shared" si="23"/>
        <v>0.58666936276661008</v>
      </c>
      <c r="H32" s="33">
        <f t="shared" si="23"/>
        <v>0.56323546086834486</v>
      </c>
      <c r="I32" s="33">
        <f t="shared" si="23"/>
        <v>0.57961228854425184</v>
      </c>
      <c r="J32" s="33">
        <f>J14/J11</f>
        <v>0.54909091895421891</v>
      </c>
      <c r="K32" s="33">
        <f t="shared" si="23"/>
        <v>0.51005636697176171</v>
      </c>
      <c r="L32" s="33" t="e">
        <f t="shared" si="23"/>
        <v>#DIV/0!</v>
      </c>
      <c r="M32" s="33" t="e">
        <f t="shared" si="23"/>
        <v>#DIV/0!</v>
      </c>
      <c r="N32" s="33" t="e">
        <f t="shared" si="23"/>
        <v>#DIV/0!</v>
      </c>
    </row>
    <row r="35" spans="2:14" ht="26.25">
      <c r="B35" s="35" t="s">
        <v>293</v>
      </c>
      <c r="C35" s="36">
        <f>+C118</f>
        <v>547010044000</v>
      </c>
      <c r="D35" s="36">
        <f t="shared" ref="D35:N35" si="24">+D118</f>
        <v>564387521000</v>
      </c>
      <c r="E35" s="36">
        <f t="shared" si="24"/>
        <v>623960268000</v>
      </c>
      <c r="F35" s="36">
        <f t="shared" si="24"/>
        <v>668221244000</v>
      </c>
      <c r="G35" s="36">
        <f t="shared" si="24"/>
        <v>934812880000</v>
      </c>
      <c r="H35" s="36">
        <f t="shared" si="24"/>
        <v>1113177503000</v>
      </c>
      <c r="I35" s="36">
        <f t="shared" si="24"/>
        <v>1201957961000</v>
      </c>
      <c r="J35" s="36">
        <f t="shared" si="24"/>
        <v>1332494248000</v>
      </c>
      <c r="K35" s="36">
        <f t="shared" si="24"/>
        <v>1329771177000</v>
      </c>
      <c r="L35" s="36">
        <f t="shared" si="24"/>
        <v>0</v>
      </c>
      <c r="M35" s="36">
        <f t="shared" si="24"/>
        <v>0</v>
      </c>
      <c r="N35" s="36">
        <f t="shared" si="24"/>
        <v>0</v>
      </c>
    </row>
    <row r="36" spans="2:14" ht="26.25">
      <c r="B36" s="39" t="s">
        <v>156</v>
      </c>
      <c r="C36" s="40">
        <f>+C125</f>
        <v>72136967000</v>
      </c>
      <c r="D36" s="40">
        <f t="shared" ref="D36:N36" si="25">+D125</f>
        <v>70454050000</v>
      </c>
      <c r="E36" s="40">
        <f t="shared" si="25"/>
        <v>75867902000</v>
      </c>
      <c r="F36" s="40">
        <f t="shared" si="25"/>
        <v>82142610000</v>
      </c>
      <c r="G36" s="40">
        <f t="shared" si="25"/>
        <v>116147799000</v>
      </c>
      <c r="H36" s="40">
        <f t="shared" si="25"/>
        <v>126817341000</v>
      </c>
      <c r="I36" s="40">
        <f t="shared" si="25"/>
        <v>108500251000</v>
      </c>
      <c r="J36" s="40">
        <f t="shared" si="25"/>
        <v>118117008000</v>
      </c>
      <c r="K36" s="40">
        <f t="shared" si="25"/>
        <v>110439552000</v>
      </c>
      <c r="L36" s="40">
        <f t="shared" si="25"/>
        <v>0</v>
      </c>
      <c r="M36" s="40">
        <f t="shared" si="25"/>
        <v>0</v>
      </c>
      <c r="N36" s="40">
        <f t="shared" si="25"/>
        <v>0</v>
      </c>
    </row>
    <row r="37" spans="2:14" ht="26.25">
      <c r="B37" s="35" t="s">
        <v>381</v>
      </c>
      <c r="C37" s="41">
        <f>C36/C35</f>
        <v>0.13187503189612365</v>
      </c>
      <c r="D37" s="41">
        <f t="shared" ref="D37:N37" si="26">D36/D35</f>
        <v>0.1248327565343175</v>
      </c>
      <c r="E37" s="41">
        <f t="shared" si="26"/>
        <v>0.12159091834994852</v>
      </c>
      <c r="F37" s="41">
        <f t="shared" si="26"/>
        <v>0.12292726509006349</v>
      </c>
      <c r="G37" s="41">
        <f t="shared" si="26"/>
        <v>0.12424711028799688</v>
      </c>
      <c r="H37" s="41">
        <f t="shared" si="26"/>
        <v>0.11392373692266398</v>
      </c>
      <c r="I37" s="41">
        <f t="shared" si="26"/>
        <v>9.0269588887892896E-2</v>
      </c>
      <c r="J37" s="41">
        <f t="shared" si="26"/>
        <v>8.8643540621122438E-2</v>
      </c>
      <c r="K37" s="41">
        <f t="shared" si="26"/>
        <v>8.30515459427799E-2</v>
      </c>
      <c r="L37" s="41" t="e">
        <f t="shared" si="26"/>
        <v>#DIV/0!</v>
      </c>
      <c r="M37" s="41" t="e">
        <f t="shared" si="26"/>
        <v>#DIV/0!</v>
      </c>
      <c r="N37" s="41" t="e">
        <f t="shared" si="26"/>
        <v>#DIV/0!</v>
      </c>
    </row>
    <row r="38" spans="2:14" ht="26.25">
      <c r="B38" s="43" t="s">
        <v>295</v>
      </c>
      <c r="C38" s="44">
        <f>+C133</f>
        <v>42086748000</v>
      </c>
      <c r="D38" s="44">
        <f t="shared" ref="D38:N38" si="27">+D133</f>
        <v>44146590000</v>
      </c>
      <c r="E38" s="44">
        <f t="shared" si="27"/>
        <v>47072814000</v>
      </c>
      <c r="F38" s="44">
        <f t="shared" si="27"/>
        <v>49636737000</v>
      </c>
      <c r="G38" s="44">
        <f t="shared" si="27"/>
        <v>87072053000</v>
      </c>
      <c r="H38" s="44">
        <f t="shared" si="27"/>
        <v>87238834000</v>
      </c>
      <c r="I38" s="44">
        <f t="shared" si="27"/>
        <v>71886584000</v>
      </c>
      <c r="J38" s="44">
        <f t="shared" si="27"/>
        <v>74284662000</v>
      </c>
      <c r="K38" s="44">
        <f t="shared" si="27"/>
        <v>60005658000</v>
      </c>
      <c r="L38" s="44">
        <f t="shared" si="27"/>
        <v>0</v>
      </c>
      <c r="M38" s="44">
        <f t="shared" si="27"/>
        <v>0</v>
      </c>
      <c r="N38" s="44">
        <f t="shared" si="27"/>
        <v>0</v>
      </c>
    </row>
    <row r="39" spans="2:14" ht="26.25">
      <c r="B39" s="30" t="s">
        <v>296</v>
      </c>
      <c r="C39" s="45">
        <f>C38/C35</f>
        <v>7.6939625627788291E-2</v>
      </c>
      <c r="D39" s="45">
        <f t="shared" ref="D39:N39" si="28">D38/D35</f>
        <v>7.8220351013040909E-2</v>
      </c>
      <c r="E39" s="45">
        <f t="shared" si="28"/>
        <v>7.5442005547699392E-2</v>
      </c>
      <c r="F39" s="45">
        <f t="shared" si="28"/>
        <v>7.4281890086092497E-2</v>
      </c>
      <c r="G39" s="45">
        <f t="shared" si="28"/>
        <v>9.3143831094839008E-2</v>
      </c>
      <c r="H39" s="45">
        <f t="shared" si="28"/>
        <v>7.8369203262635467E-2</v>
      </c>
      <c r="I39" s="45">
        <f t="shared" si="28"/>
        <v>5.9807902050244832E-2</v>
      </c>
      <c r="J39" s="45">
        <f t="shared" si="28"/>
        <v>5.5748579861787141E-2</v>
      </c>
      <c r="K39" s="45">
        <f t="shared" si="28"/>
        <v>4.5124799693263315E-2</v>
      </c>
      <c r="L39" s="45" t="e">
        <f t="shared" si="28"/>
        <v>#DIV/0!</v>
      </c>
      <c r="M39" s="45" t="e">
        <f t="shared" si="28"/>
        <v>#DIV/0!</v>
      </c>
      <c r="N39" s="45" t="e">
        <f t="shared" si="28"/>
        <v>#DIV/0!</v>
      </c>
    </row>
    <row r="40" spans="2:14" ht="26.25">
      <c r="B40" s="46" t="s">
        <v>159</v>
      </c>
      <c r="C40" s="121">
        <f>+C135</f>
        <v>82.38</v>
      </c>
      <c r="D40" s="121">
        <f t="shared" ref="D40:N40" si="29">+D135</f>
        <v>86.42</v>
      </c>
      <c r="E40" s="121">
        <f t="shared" si="29"/>
        <v>92.14</v>
      </c>
      <c r="F40" s="121">
        <f t="shared" si="29"/>
        <v>97.16</v>
      </c>
      <c r="G40" s="121">
        <f t="shared" si="29"/>
        <v>170.44</v>
      </c>
      <c r="H40" s="121">
        <f t="shared" si="29"/>
        <v>170.76</v>
      </c>
      <c r="I40" s="121">
        <f t="shared" si="29"/>
        <v>140.71</v>
      </c>
      <c r="J40" s="121">
        <f t="shared" si="29"/>
        <v>145.41</v>
      </c>
      <c r="K40" s="121">
        <f t="shared" si="29"/>
        <v>117.46</v>
      </c>
      <c r="L40" s="121">
        <f t="shared" si="29"/>
        <v>0</v>
      </c>
      <c r="M40" s="121">
        <f t="shared" si="29"/>
        <v>0</v>
      </c>
      <c r="N40" s="121">
        <f t="shared" si="29"/>
        <v>0</v>
      </c>
    </row>
    <row r="41" spans="2:14" ht="26.25">
      <c r="B41" s="48" t="s">
        <v>160</v>
      </c>
      <c r="C41" s="49">
        <f t="shared" ref="C41:N41" si="30">C38/C15</f>
        <v>0.11903316424038497</v>
      </c>
      <c r="D41" s="49">
        <f t="shared" si="30"/>
        <v>0.11798087451517072</v>
      </c>
      <c r="E41" s="49">
        <f t="shared" si="30"/>
        <v>0.12081271498780469</v>
      </c>
      <c r="F41" s="49">
        <f t="shared" si="30"/>
        <v>0.11820323904547934</v>
      </c>
      <c r="G41" s="49">
        <f t="shared" si="30"/>
        <v>0.20220427278510217</v>
      </c>
      <c r="H41" s="49">
        <f t="shared" si="30"/>
        <v>0.17776617405318323</v>
      </c>
      <c r="I41" s="49">
        <f t="shared" si="30"/>
        <v>0.13571080332604718</v>
      </c>
      <c r="J41" s="49">
        <f t="shared" si="30"/>
        <v>0.12756912502776854</v>
      </c>
      <c r="K41" s="49">
        <f t="shared" si="30"/>
        <v>0.10039681932644466</v>
      </c>
      <c r="L41" s="49" t="e">
        <f t="shared" si="30"/>
        <v>#DIV/0!</v>
      </c>
      <c r="M41" s="49" t="e">
        <f t="shared" si="30"/>
        <v>#DIV/0!</v>
      </c>
      <c r="N41" s="49" t="e">
        <f t="shared" si="30"/>
        <v>#DIV/0!</v>
      </c>
    </row>
    <row r="42" spans="2:14" ht="26.25">
      <c r="B42" s="48" t="s">
        <v>382</v>
      </c>
      <c r="C42" s="49">
        <f>AVERAGE(G41:I41)</f>
        <v>0.17189375005477756</v>
      </c>
      <c r="D42" s="49"/>
      <c r="E42" s="49"/>
      <c r="F42" s="49"/>
      <c r="G42" s="49"/>
      <c r="H42" s="49"/>
      <c r="I42" s="49"/>
      <c r="J42" s="49"/>
      <c r="K42" s="49"/>
      <c r="L42" s="49"/>
      <c r="M42" s="49"/>
      <c r="N42" s="49"/>
    </row>
    <row r="43" spans="2:14" ht="26.25">
      <c r="B43" s="48" t="s">
        <v>298</v>
      </c>
      <c r="C43" s="50">
        <f>+C147</f>
        <v>16821065000</v>
      </c>
      <c r="D43" s="50">
        <f t="shared" ref="D43:N43" si="31">+D147</f>
        <v>34194779000</v>
      </c>
      <c r="E43" s="50">
        <f t="shared" si="31"/>
        <v>22441929000</v>
      </c>
      <c r="F43" s="50">
        <f t="shared" si="31"/>
        <v>49628157000</v>
      </c>
      <c r="G43" s="50">
        <f t="shared" si="31"/>
        <v>74254938000</v>
      </c>
      <c r="H43" s="50">
        <f t="shared" si="31"/>
        <v>13787262000</v>
      </c>
      <c r="I43" s="50">
        <f t="shared" si="31"/>
        <v>28400408000</v>
      </c>
      <c r="J43" s="50">
        <f t="shared" si="31"/>
        <v>33836433000</v>
      </c>
      <c r="K43" s="50">
        <f t="shared" si="31"/>
        <v>52029544000</v>
      </c>
      <c r="L43" s="50">
        <f t="shared" si="31"/>
        <v>0</v>
      </c>
      <c r="M43" s="50">
        <f t="shared" si="31"/>
        <v>0</v>
      </c>
      <c r="N43" s="50">
        <f t="shared" si="31"/>
        <v>0</v>
      </c>
    </row>
    <row r="44" spans="2:14" ht="26.25">
      <c r="B44" s="51" t="s">
        <v>111</v>
      </c>
      <c r="C44" s="51">
        <f>SUM(C46:C49)</f>
        <v>60</v>
      </c>
      <c r="D44" s="51">
        <f t="shared" ref="D44:F44" si="32">SUM(D46:D49)</f>
        <v>62</v>
      </c>
      <c r="E44" s="51">
        <f t="shared" si="32"/>
        <v>90</v>
      </c>
      <c r="F44" s="51">
        <f t="shared" si="32"/>
        <v>52</v>
      </c>
      <c r="G44" s="51">
        <f>SUM(G46:G49)</f>
        <v>141</v>
      </c>
      <c r="H44" s="51">
        <f>SUM(H46:H49)</f>
        <v>102</v>
      </c>
      <c r="I44" s="508">
        <f t="shared" ref="I44:N44" si="33">SUM(I46:I49)</f>
        <v>80</v>
      </c>
      <c r="J44" s="51">
        <f t="shared" si="33"/>
        <v>104</v>
      </c>
      <c r="K44" s="51">
        <f>SUM(K46:K49)</f>
        <v>66</v>
      </c>
      <c r="L44" s="51">
        <f t="shared" si="33"/>
        <v>0</v>
      </c>
      <c r="M44" s="51">
        <f t="shared" si="33"/>
        <v>0</v>
      </c>
      <c r="N44" s="51">
        <f t="shared" si="33"/>
        <v>0</v>
      </c>
    </row>
    <row r="45" spans="2:14" ht="26.25">
      <c r="B45" s="51" t="s">
        <v>112</v>
      </c>
      <c r="C45" s="51">
        <f>+C46+C47</f>
        <v>24.337</v>
      </c>
      <c r="D45" s="51">
        <f t="shared" ref="D45:N45" si="34">+D46+D47</f>
        <v>25.291</v>
      </c>
      <c r="E45" s="51">
        <f t="shared" si="34"/>
        <v>52.53</v>
      </c>
      <c r="F45" s="51">
        <f t="shared" si="34"/>
        <v>28.286999999999999</v>
      </c>
      <c r="G45" s="51">
        <f t="shared" si="34"/>
        <v>3.8279999999999998</v>
      </c>
      <c r="H45" s="51">
        <f t="shared" si="34"/>
        <v>102</v>
      </c>
      <c r="I45" s="508">
        <f t="shared" si="34"/>
        <v>52.42389</v>
      </c>
      <c r="J45" s="51">
        <f t="shared" si="34"/>
        <v>65.198499999999996</v>
      </c>
      <c r="K45" s="51">
        <f t="shared" si="34"/>
        <v>24.63955</v>
      </c>
      <c r="L45" s="51">
        <f t="shared" si="34"/>
        <v>0</v>
      </c>
      <c r="M45" s="51">
        <f t="shared" si="34"/>
        <v>0</v>
      </c>
      <c r="N45" s="51">
        <f t="shared" si="34"/>
        <v>0</v>
      </c>
    </row>
    <row r="46" spans="2:14" ht="18.75">
      <c r="B46" s="135" t="s">
        <v>114</v>
      </c>
      <c r="C46" s="94">
        <v>24.337</v>
      </c>
      <c r="D46" s="94">
        <v>25.291</v>
      </c>
      <c r="E46" s="94">
        <v>26.53</v>
      </c>
      <c r="F46" s="94">
        <v>2.2869999999999999</v>
      </c>
      <c r="G46" s="94">
        <v>3.8279999999999998</v>
      </c>
      <c r="H46" s="516">
        <v>82</v>
      </c>
      <c r="I46" s="515">
        <v>32.42389</v>
      </c>
      <c r="J46" s="155">
        <v>23.198499999999999</v>
      </c>
      <c r="K46" s="155">
        <v>2.6395499999999998</v>
      </c>
      <c r="L46" s="155"/>
      <c r="M46" s="155"/>
      <c r="N46" s="155"/>
    </row>
    <row r="47" spans="2:14" ht="18.75">
      <c r="B47" s="135" t="s">
        <v>115</v>
      </c>
      <c r="C47" s="94"/>
      <c r="D47" s="94"/>
      <c r="E47" s="94">
        <v>26</v>
      </c>
      <c r="F47" s="94">
        <v>26</v>
      </c>
      <c r="G47" s="94"/>
      <c r="H47" s="516">
        <v>20</v>
      </c>
      <c r="I47" s="515">
        <v>20</v>
      </c>
      <c r="J47" s="155">
        <v>42</v>
      </c>
      <c r="K47" s="155">
        <v>22</v>
      </c>
      <c r="L47" s="155"/>
      <c r="M47" s="155"/>
      <c r="N47" s="155"/>
    </row>
    <row r="48" spans="2:14" ht="18.75">
      <c r="B48" s="135" t="s">
        <v>116</v>
      </c>
      <c r="C48" s="94">
        <v>35.662999999999997</v>
      </c>
      <c r="D48" s="94"/>
      <c r="E48" s="94">
        <v>37.47</v>
      </c>
      <c r="F48" s="94">
        <v>23.713000000000001</v>
      </c>
      <c r="G48" s="94">
        <v>40.171999999999997</v>
      </c>
      <c r="H48" s="516"/>
      <c r="I48" s="515">
        <v>27.57611</v>
      </c>
      <c r="J48" s="155">
        <v>38.801499999999997</v>
      </c>
      <c r="K48" s="1209">
        <v>41.36045</v>
      </c>
      <c r="L48" s="155"/>
      <c r="M48" s="155"/>
      <c r="N48" s="155"/>
    </row>
    <row r="49" spans="2:16" ht="18.75">
      <c r="B49" s="135" t="s">
        <v>117</v>
      </c>
      <c r="C49" s="94"/>
      <c r="D49" s="94">
        <v>36.709000000000003</v>
      </c>
      <c r="E49" s="94"/>
      <c r="F49" s="94"/>
      <c r="G49" s="94">
        <v>97</v>
      </c>
      <c r="H49" s="516"/>
      <c r="I49" s="94"/>
      <c r="J49" s="94"/>
      <c r="K49" s="94"/>
      <c r="L49" s="94"/>
      <c r="M49" s="94"/>
      <c r="N49" s="94"/>
    </row>
    <row r="50" spans="2:16" ht="26.25">
      <c r="B50" s="51" t="s">
        <v>119</v>
      </c>
      <c r="C50" s="51">
        <f t="shared" ref="C50:N50" si="35">SUM(C52:C55)</f>
        <v>62</v>
      </c>
      <c r="D50" s="51">
        <f t="shared" si="35"/>
        <v>64</v>
      </c>
      <c r="E50" s="51">
        <f t="shared" si="35"/>
        <v>52</v>
      </c>
      <c r="F50" s="51">
        <f t="shared" si="35"/>
        <v>70</v>
      </c>
      <c r="G50" s="51">
        <f t="shared" si="35"/>
        <v>179</v>
      </c>
      <c r="H50" s="51">
        <f t="shared" si="35"/>
        <v>52.423999999999999</v>
      </c>
      <c r="I50" s="51">
        <f t="shared" si="35"/>
        <v>109.577</v>
      </c>
      <c r="J50" s="51">
        <f t="shared" si="35"/>
        <v>86</v>
      </c>
      <c r="K50" s="51">
        <f t="shared" si="35"/>
        <v>22</v>
      </c>
      <c r="L50" s="51">
        <f t="shared" si="35"/>
        <v>0</v>
      </c>
      <c r="M50" s="51">
        <f t="shared" si="35"/>
        <v>0</v>
      </c>
      <c r="N50" s="51">
        <f t="shared" si="35"/>
        <v>0</v>
      </c>
    </row>
    <row r="51" spans="2:16" ht="26.25">
      <c r="B51" s="51" t="s">
        <v>120</v>
      </c>
      <c r="C51" s="51">
        <f t="shared" ref="C51:N51" si="36">+C52+C53</f>
        <v>25.291</v>
      </c>
      <c r="D51" s="51">
        <f t="shared" si="36"/>
        <v>26.53</v>
      </c>
      <c r="E51" s="51">
        <f t="shared" si="36"/>
        <v>28.286999999999999</v>
      </c>
      <c r="F51" s="51">
        <f t="shared" si="36"/>
        <v>29.827999999999999</v>
      </c>
      <c r="G51" s="51">
        <f t="shared" si="36"/>
        <v>82</v>
      </c>
      <c r="H51" s="51">
        <f t="shared" si="36"/>
        <v>52.423999999999999</v>
      </c>
      <c r="I51" s="51">
        <f t="shared" si="36"/>
        <v>43.198999999999998</v>
      </c>
      <c r="J51" s="51">
        <f t="shared" si="36"/>
        <v>44.64</v>
      </c>
      <c r="K51" s="51">
        <f t="shared" si="36"/>
        <v>22</v>
      </c>
      <c r="L51" s="51">
        <f t="shared" si="36"/>
        <v>0</v>
      </c>
      <c r="M51" s="51">
        <f t="shared" si="36"/>
        <v>0</v>
      </c>
      <c r="N51" s="51">
        <f t="shared" si="36"/>
        <v>0</v>
      </c>
    </row>
    <row r="52" spans="2:16" ht="18.75">
      <c r="B52" s="135" t="s">
        <v>121</v>
      </c>
      <c r="C52" s="94">
        <v>25.291</v>
      </c>
      <c r="D52" s="94">
        <f>26.53</f>
        <v>26.53</v>
      </c>
      <c r="E52" s="94">
        <v>2.2869999999999999</v>
      </c>
      <c r="F52" s="94">
        <v>3.8279999999999998</v>
      </c>
      <c r="G52" s="516">
        <v>82</v>
      </c>
      <c r="H52" s="94">
        <v>32.423999999999999</v>
      </c>
      <c r="I52" s="94">
        <v>23.199000000000002</v>
      </c>
      <c r="J52" s="94">
        <v>2.64</v>
      </c>
      <c r="K52" s="94"/>
      <c r="L52" s="94"/>
      <c r="M52" s="94"/>
      <c r="N52" s="94"/>
    </row>
    <row r="53" spans="2:16" ht="18.75">
      <c r="B53" s="135" t="s">
        <v>122</v>
      </c>
      <c r="C53" s="94"/>
      <c r="D53" s="94"/>
      <c r="E53" s="94">
        <v>26</v>
      </c>
      <c r="F53" s="94">
        <v>26</v>
      </c>
      <c r="G53" s="94"/>
      <c r="H53" s="516">
        <v>20</v>
      </c>
      <c r="I53" s="94">
        <v>20</v>
      </c>
      <c r="J53" s="94">
        <v>42</v>
      </c>
      <c r="K53" s="94">
        <v>22</v>
      </c>
      <c r="L53" s="94"/>
      <c r="M53" s="94"/>
      <c r="N53" s="94"/>
    </row>
    <row r="54" spans="2:16" ht="18.75">
      <c r="B54" s="135" t="s">
        <v>123</v>
      </c>
      <c r="C54" s="94"/>
      <c r="D54" s="94">
        <v>37.47</v>
      </c>
      <c r="E54" s="94">
        <v>23.713000000000001</v>
      </c>
      <c r="F54" s="94">
        <v>40.171999999999997</v>
      </c>
      <c r="G54" s="94"/>
      <c r="H54" s="516"/>
      <c r="I54" s="94">
        <f xml:space="preserve"> 27.576 + 38.802</f>
        <v>66.378</v>
      </c>
      <c r="J54" s="94">
        <v>41.36</v>
      </c>
      <c r="K54" s="94"/>
      <c r="L54" s="94"/>
      <c r="M54" s="94"/>
      <c r="N54" s="94"/>
    </row>
    <row r="55" spans="2:16" ht="18.75">
      <c r="B55" s="135" t="s">
        <v>124</v>
      </c>
      <c r="C55" s="94">
        <v>36.709000000000003</v>
      </c>
      <c r="D55" s="94"/>
      <c r="E55" s="94"/>
      <c r="F55" s="94"/>
      <c r="G55" s="94">
        <v>97</v>
      </c>
      <c r="H55" s="516"/>
      <c r="I55" s="94"/>
      <c r="J55" s="94"/>
      <c r="K55" s="94"/>
      <c r="L55" s="94"/>
      <c r="M55" s="94"/>
      <c r="N55" s="94"/>
    </row>
    <row r="56" spans="2:16" ht="26.25">
      <c r="B56" s="541" t="s">
        <v>167</v>
      </c>
      <c r="C56" s="99">
        <f t="shared" ref="C56:N56" si="37">(C53+C54+C52)/C40</f>
        <v>0.30700412721534354</v>
      </c>
      <c r="D56" s="99">
        <f t="shared" si="37"/>
        <v>0.74056931265910664</v>
      </c>
      <c r="E56" s="99">
        <f t="shared" si="37"/>
        <v>0.56435858476231826</v>
      </c>
      <c r="F56" s="99">
        <f t="shared" si="37"/>
        <v>0.72046109510086453</v>
      </c>
      <c r="G56" s="99">
        <f t="shared" si="37"/>
        <v>0.4811077211922084</v>
      </c>
      <c r="H56" s="99">
        <f t="shared" si="37"/>
        <v>0.3070039821972359</v>
      </c>
      <c r="I56" s="99">
        <f t="shared" si="37"/>
        <v>0.77874351503091455</v>
      </c>
      <c r="J56" s="99">
        <f t="shared" si="37"/>
        <v>0.59143112578227086</v>
      </c>
      <c r="K56" s="99">
        <f t="shared" si="37"/>
        <v>0.18729780350757705</v>
      </c>
      <c r="L56" s="99" t="e">
        <f t="shared" si="37"/>
        <v>#DIV/0!</v>
      </c>
      <c r="M56" s="99" t="e">
        <f t="shared" si="37"/>
        <v>#DIV/0!</v>
      </c>
      <c r="N56" s="99" t="e">
        <f t="shared" si="37"/>
        <v>#DIV/0!</v>
      </c>
    </row>
    <row r="57" spans="2:16" ht="28.5">
      <c r="B57" s="540" t="s">
        <v>303</v>
      </c>
      <c r="C57" s="54">
        <f>AVERAGE(H56:J56)</f>
        <v>0.55905954100347377</v>
      </c>
      <c r="D57" s="54"/>
      <c r="E57" s="54"/>
      <c r="F57" s="54"/>
      <c r="G57" s="54"/>
      <c r="H57" s="54"/>
      <c r="I57" s="54"/>
      <c r="J57" s="54"/>
      <c r="K57" s="54"/>
      <c r="L57" s="54"/>
      <c r="M57" s="54"/>
      <c r="N57" s="54"/>
    </row>
    <row r="58" spans="2:16" ht="26.25">
      <c r="B58" s="541" t="s">
        <v>299</v>
      </c>
      <c r="C58" s="99">
        <f t="shared" ref="C58:N58" si="38">+C44/C19</f>
        <v>3.5087719298245612E-2</v>
      </c>
      <c r="D58" s="99">
        <f t="shared" si="38"/>
        <v>3.6904761904761905E-2</v>
      </c>
      <c r="E58" s="99">
        <f t="shared" si="38"/>
        <v>6.8130204390613167E-2</v>
      </c>
      <c r="F58" s="99">
        <f t="shared" si="38"/>
        <v>5.7142857142857141E-2</v>
      </c>
      <c r="G58" s="99">
        <f t="shared" si="38"/>
        <v>0.14437254259501967</v>
      </c>
      <c r="H58" s="99">
        <f t="shared" si="38"/>
        <v>7.7507598784194526E-2</v>
      </c>
      <c r="I58" s="99">
        <f t="shared" si="38"/>
        <v>6.7739204064352243E-2</v>
      </c>
      <c r="J58" s="99">
        <f t="shared" si="38"/>
        <v>8.6738949124270229E-2</v>
      </c>
      <c r="K58" s="99">
        <f>+K44/K19</f>
        <v>4.1250000000000002E-2</v>
      </c>
      <c r="L58" s="99" t="e">
        <f t="shared" si="38"/>
        <v>#DIV/0!</v>
      </c>
      <c r="M58" s="99" t="e">
        <f t="shared" si="38"/>
        <v>#DIV/0!</v>
      </c>
      <c r="N58" s="99" t="e">
        <f t="shared" si="38"/>
        <v>#DIV/0!</v>
      </c>
    </row>
    <row r="59" spans="2:16" ht="26.25">
      <c r="B59" s="542" t="s">
        <v>384</v>
      </c>
      <c r="C59" s="534">
        <f>AVERAGE(H58:J58)</f>
        <v>7.7328583990939004E-2</v>
      </c>
      <c r="D59" s="534"/>
      <c r="E59" s="534"/>
      <c r="F59" s="534"/>
      <c r="G59" s="534"/>
      <c r="H59" s="534"/>
      <c r="I59" s="534"/>
      <c r="J59" s="534"/>
      <c r="K59" s="534"/>
      <c r="L59" s="534"/>
      <c r="M59" s="534"/>
      <c r="N59" s="534"/>
      <c r="O59" s="534"/>
      <c r="P59" s="534"/>
    </row>
    <row r="60" spans="2:16" ht="26.25">
      <c r="B60" s="543" t="s">
        <v>176</v>
      </c>
      <c r="C60" s="355">
        <f t="shared" ref="C60:N60" si="39">+C41*(100%-C56)</f>
        <v>8.248949154308495E-2</v>
      </c>
      <c r="D60" s="355">
        <f t="shared" si="39"/>
        <v>3.0607859368550431E-2</v>
      </c>
      <c r="E60" s="355">
        <f t="shared" si="39"/>
        <v>5.2631022135993917E-2</v>
      </c>
      <c r="F60" s="549">
        <f t="shared" si="39"/>
        <v>3.3042403998304028E-2</v>
      </c>
      <c r="G60" s="355">
        <f t="shared" si="39"/>
        <v>0.104922235890134</v>
      </c>
      <c r="H60" s="355">
        <f t="shared" si="39"/>
        <v>0.12319125071888903</v>
      </c>
      <c r="I60" s="355">
        <f t="shared" si="39"/>
        <v>3.0026895316252071E-2</v>
      </c>
      <c r="J60" s="355">
        <f t="shared" si="39"/>
        <v>5.212077379753613E-2</v>
      </c>
      <c r="K60" s="355">
        <f t="shared" si="39"/>
        <v>8.1592715587454512E-2</v>
      </c>
      <c r="L60" s="355" t="e">
        <f t="shared" si="39"/>
        <v>#DIV/0!</v>
      </c>
      <c r="M60" s="355" t="e">
        <f t="shared" si="39"/>
        <v>#DIV/0!</v>
      </c>
      <c r="N60" s="355" t="e">
        <f t="shared" si="39"/>
        <v>#DIV/0!</v>
      </c>
    </row>
    <row r="61" spans="2:16" ht="26.25">
      <c r="B61" s="542" t="s">
        <v>306</v>
      </c>
      <c r="C61" s="534">
        <f>AVERAGE(G60:I60)</f>
        <v>8.6046793975091698E-2</v>
      </c>
      <c r="D61" s="534"/>
      <c r="E61" s="534"/>
      <c r="F61" s="534"/>
      <c r="G61" s="534"/>
      <c r="H61" s="534"/>
      <c r="I61" s="534"/>
      <c r="J61" s="534"/>
      <c r="K61" s="534"/>
      <c r="L61" s="534"/>
      <c r="M61" s="534"/>
      <c r="N61" s="534"/>
      <c r="O61" s="534"/>
    </row>
    <row r="62" spans="2:16" ht="26.25">
      <c r="B62" s="543" t="s">
        <v>300</v>
      </c>
      <c r="C62" s="785">
        <f ca="1">B3</f>
        <v>1530</v>
      </c>
    </row>
    <row r="63" spans="2:16" ht="26.25">
      <c r="B63" s="543"/>
    </row>
    <row r="64" spans="2:16">
      <c r="B64" s="75" t="s">
        <v>307</v>
      </c>
    </row>
    <row r="65" spans="2:14"/>
    <row r="66" spans="2:14">
      <c r="B66" s="57" t="s">
        <v>385</v>
      </c>
      <c r="C66" s="158">
        <v>2017</v>
      </c>
      <c r="D66" s="158">
        <v>2018</v>
      </c>
      <c r="E66" s="158">
        <v>2019</v>
      </c>
      <c r="F66" s="158">
        <v>2020</v>
      </c>
      <c r="G66" s="158">
        <v>2021</v>
      </c>
      <c r="H66" s="158">
        <v>2022</v>
      </c>
      <c r="I66" s="158">
        <v>2023</v>
      </c>
      <c r="J66" s="158">
        <v>2024</v>
      </c>
      <c r="K66" s="158">
        <v>2025</v>
      </c>
      <c r="L66" s="158">
        <v>2026</v>
      </c>
      <c r="M66" s="158">
        <v>2027</v>
      </c>
      <c r="N66" s="158">
        <v>2028</v>
      </c>
    </row>
    <row r="67" spans="2:14">
      <c r="B67" s="157" t="s">
        <v>309</v>
      </c>
      <c r="C67" s="66"/>
      <c r="D67" s="66"/>
      <c r="E67" s="66"/>
      <c r="F67" s="66"/>
      <c r="G67" s="66"/>
      <c r="H67" s="66"/>
      <c r="I67" s="66"/>
      <c r="J67" s="66"/>
      <c r="K67" s="66"/>
      <c r="L67" s="66"/>
      <c r="M67" s="66"/>
      <c r="N67" s="66"/>
    </row>
    <row r="68" spans="2:14">
      <c r="B68" s="58" t="s">
        <v>310</v>
      </c>
      <c r="C68" s="64">
        <v>201095694000</v>
      </c>
      <c r="D68" s="64">
        <v>192358154000</v>
      </c>
      <c r="E68" s="64">
        <v>222208479000</v>
      </c>
      <c r="F68" s="159">
        <v>273962937000</v>
      </c>
      <c r="G68" s="64">
        <v>313759632000</v>
      </c>
      <c r="H68" s="141">
        <v>341987528000</v>
      </c>
      <c r="I68" s="64">
        <v>447641303000</v>
      </c>
      <c r="J68" s="64">
        <v>414030382000</v>
      </c>
      <c r="K68" s="64">
        <v>446109170000</v>
      </c>
      <c r="L68" s="64"/>
      <c r="M68" s="64"/>
      <c r="N68" s="64"/>
    </row>
    <row r="69" spans="2:14">
      <c r="B69" s="59" t="s">
        <v>386</v>
      </c>
      <c r="C69" s="66">
        <v>72143020000</v>
      </c>
      <c r="D69" s="66">
        <v>58779300000</v>
      </c>
      <c r="E69" s="66">
        <v>67376852000</v>
      </c>
      <c r="F69" s="66">
        <v>61267008000</v>
      </c>
      <c r="G69" s="66">
        <v>61641406000</v>
      </c>
      <c r="H69" s="160">
        <v>87653229000</v>
      </c>
      <c r="I69" s="66">
        <v>83718776000</v>
      </c>
      <c r="J69" s="66">
        <v>92557622000</v>
      </c>
      <c r="K69" s="66">
        <v>140482273000</v>
      </c>
      <c r="L69" s="66"/>
      <c r="M69" s="66"/>
      <c r="N69" s="66"/>
    </row>
    <row r="70" spans="2:14">
      <c r="B70" s="59" t="s">
        <v>387</v>
      </c>
      <c r="C70" s="66">
        <v>1235577000</v>
      </c>
      <c r="D70" s="66">
        <v>0</v>
      </c>
      <c r="E70" s="66">
        <v>0</v>
      </c>
      <c r="F70" s="66">
        <v>70783553000</v>
      </c>
      <c r="G70" s="66">
        <v>47447816000</v>
      </c>
      <c r="H70" s="160">
        <v>0</v>
      </c>
      <c r="I70" s="66">
        <v>87561735000</v>
      </c>
      <c r="J70" s="66">
        <v>16891531000</v>
      </c>
      <c r="K70" s="66">
        <v>27831564000</v>
      </c>
      <c r="L70" s="66"/>
      <c r="M70" s="66"/>
      <c r="N70" s="66"/>
    </row>
    <row r="71" spans="2:14">
      <c r="B71" s="59" t="s">
        <v>388</v>
      </c>
      <c r="C71" s="66">
        <v>1101706000</v>
      </c>
      <c r="D71" s="66">
        <v>1447638000</v>
      </c>
      <c r="E71" s="66">
        <v>3163034000</v>
      </c>
      <c r="F71" s="66">
        <v>2139044000</v>
      </c>
      <c r="G71" s="66">
        <v>2813531000</v>
      </c>
      <c r="H71" s="160">
        <v>3994658000</v>
      </c>
      <c r="I71" s="66">
        <v>4139869000</v>
      </c>
      <c r="J71" s="66">
        <v>4353847000</v>
      </c>
      <c r="K71" s="66">
        <v>5908058000</v>
      </c>
      <c r="L71" s="66"/>
      <c r="M71" s="66"/>
      <c r="N71" s="66"/>
    </row>
    <row r="72" spans="2:14">
      <c r="B72" s="59" t="s">
        <v>389</v>
      </c>
      <c r="C72" s="66">
        <v>63233820000</v>
      </c>
      <c r="D72" s="66">
        <v>50099799000</v>
      </c>
      <c r="E72" s="66">
        <v>60283534000</v>
      </c>
      <c r="F72" s="66">
        <v>61759977000</v>
      </c>
      <c r="G72" s="66">
        <v>98589324000</v>
      </c>
      <c r="H72" s="160">
        <v>119156457000</v>
      </c>
      <c r="I72" s="66">
        <v>141451763000</v>
      </c>
      <c r="J72" s="66">
        <v>145214242000</v>
      </c>
      <c r="K72" s="66">
        <v>129545104000</v>
      </c>
      <c r="L72" s="66"/>
      <c r="M72" s="66"/>
      <c r="N72" s="66"/>
    </row>
    <row r="73" spans="2:14">
      <c r="B73" s="59" t="s">
        <v>390</v>
      </c>
      <c r="C73" s="66">
        <v>647258000</v>
      </c>
      <c r="D73" s="66">
        <v>574090000</v>
      </c>
      <c r="E73" s="66">
        <v>556963000</v>
      </c>
      <c r="F73" s="66">
        <v>671098000</v>
      </c>
      <c r="G73" s="66">
        <v>578930000</v>
      </c>
      <c r="H73" s="160">
        <v>1034784000</v>
      </c>
      <c r="I73" s="66">
        <v>2797151000</v>
      </c>
      <c r="J73" s="66">
        <v>1232942000</v>
      </c>
      <c r="K73" s="66">
        <v>1745280000</v>
      </c>
      <c r="L73" s="66"/>
      <c r="M73" s="66"/>
      <c r="N73" s="66"/>
    </row>
    <row r="74" spans="2:14">
      <c r="B74" s="59" t="s">
        <v>391</v>
      </c>
      <c r="C74" s="161">
        <v>53813462000</v>
      </c>
      <c r="D74" s="66">
        <v>72853822000</v>
      </c>
      <c r="E74" s="66">
        <v>82089606000</v>
      </c>
      <c r="F74" s="66">
        <v>72783207000</v>
      </c>
      <c r="G74" s="66">
        <v>99989405000</v>
      </c>
      <c r="H74" s="160">
        <v>119815298000</v>
      </c>
      <c r="I74" s="66">
        <v>121476979000</v>
      </c>
      <c r="J74" s="66">
        <v>148809198000</v>
      </c>
      <c r="K74" s="66">
        <v>133165269000</v>
      </c>
      <c r="L74" s="66"/>
      <c r="M74" s="66"/>
      <c r="N74" s="66"/>
    </row>
    <row r="75" spans="2:14">
      <c r="B75" s="59" t="s">
        <v>392</v>
      </c>
      <c r="C75" s="66">
        <v>5458310000</v>
      </c>
      <c r="D75" s="66">
        <v>5140984000</v>
      </c>
      <c r="E75" s="66">
        <v>5085359000</v>
      </c>
      <c r="F75" s="66">
        <v>4559050000</v>
      </c>
      <c r="G75" s="66">
        <v>2699220000</v>
      </c>
      <c r="H75" s="160">
        <v>10333102000</v>
      </c>
      <c r="I75" s="66">
        <v>6495030000</v>
      </c>
      <c r="J75" s="66">
        <v>4971000000</v>
      </c>
      <c r="K75" s="66">
        <v>7431622000</v>
      </c>
      <c r="L75" s="66"/>
      <c r="M75" s="66"/>
      <c r="N75" s="66"/>
    </row>
    <row r="76" spans="2:14">
      <c r="B76" s="59" t="s">
        <v>318</v>
      </c>
      <c r="C76" s="66">
        <f t="shared" ref="C76:N76" si="40">+C68-C69-C74-C75-C73-C72-C71-C70</f>
        <v>3462541000</v>
      </c>
      <c r="D76" s="66">
        <f t="shared" si="40"/>
        <v>3462521000</v>
      </c>
      <c r="E76" s="66">
        <f t="shared" si="40"/>
        <v>3653131000</v>
      </c>
      <c r="F76" s="66">
        <f t="shared" si="40"/>
        <v>0</v>
      </c>
      <c r="G76" s="66">
        <f t="shared" si="40"/>
        <v>0</v>
      </c>
      <c r="H76" s="66">
        <f t="shared" si="40"/>
        <v>0</v>
      </c>
      <c r="I76" s="66">
        <f t="shared" si="40"/>
        <v>0</v>
      </c>
      <c r="J76" s="66">
        <f t="shared" si="40"/>
        <v>0</v>
      </c>
      <c r="K76" s="66">
        <f t="shared" si="40"/>
        <v>0</v>
      </c>
      <c r="L76" s="66">
        <f t="shared" si="40"/>
        <v>0</v>
      </c>
      <c r="M76" s="66">
        <f t="shared" si="40"/>
        <v>0</v>
      </c>
      <c r="N76" s="66">
        <f t="shared" si="40"/>
        <v>0</v>
      </c>
    </row>
    <row r="77" spans="2:14">
      <c r="B77" s="58" t="s">
        <v>319</v>
      </c>
      <c r="C77" s="64">
        <v>518480503000</v>
      </c>
      <c r="D77" s="64">
        <v>579011442000</v>
      </c>
      <c r="E77" s="64">
        <v>636639674000</v>
      </c>
      <c r="F77" s="159">
        <v>639313919000</v>
      </c>
      <c r="G77" s="64">
        <v>728100855000</v>
      </c>
      <c r="H77" s="141">
        <v>781669468000</v>
      </c>
      <c r="I77" s="64">
        <v>812454969000</v>
      </c>
      <c r="J77" s="64">
        <v>877440940000</v>
      </c>
      <c r="K77" s="64">
        <v>773859685000</v>
      </c>
      <c r="L77" s="64"/>
      <c r="M77" s="64"/>
      <c r="N77" s="64"/>
    </row>
    <row r="78" spans="2:14">
      <c r="B78" s="59" t="s">
        <v>393</v>
      </c>
      <c r="C78" s="66">
        <v>905058000</v>
      </c>
      <c r="D78" s="66">
        <v>1223135000</v>
      </c>
      <c r="E78" s="66">
        <v>888306000</v>
      </c>
      <c r="F78" s="66">
        <v>417700000</v>
      </c>
      <c r="G78" s="66">
        <v>17789875000</v>
      </c>
      <c r="H78" s="160">
        <v>16877414000</v>
      </c>
      <c r="I78" s="66">
        <v>24170010000</v>
      </c>
      <c r="J78" s="66">
        <v>27254814000</v>
      </c>
      <c r="K78" s="66">
        <v>7364369000</v>
      </c>
      <c r="L78" s="66"/>
      <c r="M78" s="66"/>
      <c r="N78" s="66"/>
    </row>
    <row r="79" spans="2:14">
      <c r="B79" s="59" t="s">
        <v>394</v>
      </c>
      <c r="C79" s="66">
        <v>481132000</v>
      </c>
      <c r="D79" s="66">
        <v>635309000</v>
      </c>
      <c r="E79" s="66">
        <v>548921000</v>
      </c>
      <c r="F79" s="66">
        <v>379552000</v>
      </c>
      <c r="G79" s="66">
        <v>619502000</v>
      </c>
      <c r="H79" s="160">
        <v>1454933000</v>
      </c>
      <c r="I79" s="66">
        <v>1088348000</v>
      </c>
      <c r="J79" s="66">
        <v>1334284000</v>
      </c>
      <c r="K79" s="66">
        <v>1798020000</v>
      </c>
      <c r="L79" s="66"/>
      <c r="M79" s="66"/>
      <c r="N79" s="66"/>
    </row>
    <row r="80" spans="2:14">
      <c r="B80" s="59" t="s">
        <v>395</v>
      </c>
      <c r="C80" s="66">
        <v>0</v>
      </c>
      <c r="D80" s="66">
        <v>702911000</v>
      </c>
      <c r="E80" s="66">
        <v>48605378000</v>
      </c>
      <c r="F80" s="66">
        <v>49976178000</v>
      </c>
      <c r="G80" s="66">
        <v>55227388000</v>
      </c>
      <c r="H80" s="160">
        <v>59462495000</v>
      </c>
      <c r="I80" s="66">
        <v>62170750000</v>
      </c>
      <c r="J80" s="66">
        <v>65246333000</v>
      </c>
      <c r="K80" s="66">
        <v>64546216000</v>
      </c>
      <c r="L80" s="66"/>
      <c r="M80" s="66"/>
      <c r="N80" s="66"/>
    </row>
    <row r="81" spans="2:14">
      <c r="B81" s="59" t="s">
        <v>396</v>
      </c>
      <c r="C81" s="66">
        <v>44254151000</v>
      </c>
      <c r="D81" s="66">
        <v>48137934000</v>
      </c>
      <c r="E81" s="66">
        <v>144477536000</v>
      </c>
      <c r="F81" s="66">
        <v>144477536000</v>
      </c>
      <c r="G81" s="66">
        <v>144477536000</v>
      </c>
      <c r="H81" s="160">
        <v>144477536000</v>
      </c>
      <c r="I81" s="66">
        <v>144477536000</v>
      </c>
      <c r="J81" s="66">
        <v>144477536000</v>
      </c>
      <c r="K81" s="66">
        <v>144477536000</v>
      </c>
      <c r="L81" s="66"/>
      <c r="M81" s="66"/>
      <c r="N81" s="66"/>
    </row>
    <row r="82" spans="2:14">
      <c r="B82" s="59" t="s">
        <v>397</v>
      </c>
      <c r="C82" s="66">
        <v>144477536000</v>
      </c>
      <c r="D82" s="66">
        <v>144477536000</v>
      </c>
      <c r="E82" s="66">
        <v>4368624000</v>
      </c>
      <c r="F82" s="66">
        <v>4269820000</v>
      </c>
      <c r="G82" s="66">
        <v>4519709000</v>
      </c>
      <c r="H82" s="160">
        <v>4572390000</v>
      </c>
      <c r="I82" s="66">
        <v>5255740000</v>
      </c>
      <c r="J82" s="66">
        <v>5473268000</v>
      </c>
      <c r="K82" s="66">
        <v>5045978000</v>
      </c>
      <c r="L82" s="66"/>
      <c r="M82" s="66"/>
      <c r="N82" s="66"/>
    </row>
    <row r="83" spans="2:14">
      <c r="B83" s="59" t="s">
        <v>398</v>
      </c>
      <c r="C83" s="66">
        <v>4143193000</v>
      </c>
      <c r="D83" s="66">
        <v>4278363000</v>
      </c>
      <c r="E83" s="66">
        <v>397850436000</v>
      </c>
      <c r="F83" s="66">
        <v>395009785000</v>
      </c>
      <c r="G83" s="66">
        <v>452870420000</v>
      </c>
      <c r="H83" s="160">
        <v>504157671000</v>
      </c>
      <c r="I83" s="66">
        <v>525347495000</v>
      </c>
      <c r="J83" s="160">
        <v>580104574000</v>
      </c>
      <c r="K83" s="160">
        <v>495802747000</v>
      </c>
      <c r="L83" s="66"/>
      <c r="M83" s="66"/>
      <c r="N83" s="66"/>
    </row>
    <row r="84" spans="2:14">
      <c r="B84" s="59" t="s">
        <v>399</v>
      </c>
      <c r="C84" s="66">
        <v>284112646000</v>
      </c>
      <c r="D84" s="66">
        <v>343188007000</v>
      </c>
      <c r="E84" s="66">
        <v>1413566000</v>
      </c>
      <c r="F84" s="66">
        <v>1406454000</v>
      </c>
      <c r="G84" s="66">
        <v>1399342000</v>
      </c>
      <c r="H84" s="160">
        <v>0</v>
      </c>
      <c r="I84" s="66">
        <v>0</v>
      </c>
      <c r="J84" s="66">
        <v>0</v>
      </c>
      <c r="K84" s="66"/>
      <c r="L84" s="66"/>
      <c r="M84" s="66"/>
      <c r="N84" s="66"/>
    </row>
    <row r="85" spans="2:14">
      <c r="B85" s="59" t="s">
        <v>400</v>
      </c>
      <c r="C85" s="66">
        <v>998785000</v>
      </c>
      <c r="D85" s="66">
        <v>991673000</v>
      </c>
      <c r="E85" s="66">
        <v>3834061000</v>
      </c>
      <c r="F85" s="161">
        <v>4644501000</v>
      </c>
      <c r="G85" s="66">
        <v>2938963000</v>
      </c>
      <c r="H85" s="160">
        <v>3315105000</v>
      </c>
      <c r="I85" s="66">
        <v>3222870000</v>
      </c>
      <c r="J85" s="66">
        <v>3650885000</v>
      </c>
      <c r="K85" s="66">
        <v>9083822</v>
      </c>
      <c r="L85" s="66"/>
      <c r="M85" s="66"/>
      <c r="N85" s="66"/>
    </row>
    <row r="86" spans="2:14">
      <c r="B86" s="59" t="s">
        <v>401</v>
      </c>
      <c r="C86" s="66">
        <v>39108002000</v>
      </c>
      <c r="D86" s="66">
        <v>35376574000</v>
      </c>
      <c r="E86" s="66">
        <v>34652846000</v>
      </c>
      <c r="F86" s="66">
        <v>38732393000</v>
      </c>
      <c r="G86" s="66">
        <v>48258120000</v>
      </c>
      <c r="H86" s="160">
        <v>46682047000</v>
      </c>
      <c r="I86" s="66">
        <v>46722220000</v>
      </c>
      <c r="J86" s="66">
        <v>49899246000</v>
      </c>
      <c r="K86" s="66">
        <v>45740997000</v>
      </c>
      <c r="L86" s="66"/>
      <c r="M86" s="66"/>
      <c r="N86" s="66"/>
    </row>
    <row r="87" spans="2:14">
      <c r="B87" s="59" t="s">
        <v>328</v>
      </c>
      <c r="C87" s="66">
        <f t="shared" ref="C87:N87" si="41">+C77-C84-C85-C83-C78-C86-C82-C81-C80-C79</f>
        <v>0</v>
      </c>
      <c r="D87" s="66">
        <f t="shared" si="41"/>
        <v>0</v>
      </c>
      <c r="E87" s="66">
        <f t="shared" si="41"/>
        <v>0</v>
      </c>
      <c r="F87" s="66">
        <f t="shared" si="41"/>
        <v>0</v>
      </c>
      <c r="G87" s="66">
        <f t="shared" si="41"/>
        <v>0</v>
      </c>
      <c r="H87" s="66">
        <f t="shared" si="41"/>
        <v>669877000</v>
      </c>
      <c r="I87" s="66">
        <f t="shared" si="41"/>
        <v>0</v>
      </c>
      <c r="J87" s="66">
        <f t="shared" si="41"/>
        <v>0</v>
      </c>
      <c r="K87" s="66">
        <f t="shared" si="41"/>
        <v>9074738178</v>
      </c>
      <c r="L87" s="66">
        <f t="shared" si="41"/>
        <v>0</v>
      </c>
      <c r="M87" s="66">
        <f t="shared" si="41"/>
        <v>0</v>
      </c>
      <c r="N87" s="66">
        <f t="shared" si="41"/>
        <v>0</v>
      </c>
    </row>
    <row r="88" spans="2:14">
      <c r="B88" s="60" t="s">
        <v>329</v>
      </c>
      <c r="C88" s="70">
        <f t="shared" ref="C88:N88" si="42">+C77+C68</f>
        <v>719576197000</v>
      </c>
      <c r="D88" s="70">
        <f t="shared" si="42"/>
        <v>771369596000</v>
      </c>
      <c r="E88" s="70">
        <f>+E77+E68</f>
        <v>858848153000</v>
      </c>
      <c r="F88" s="70">
        <f t="shared" si="42"/>
        <v>913276856000</v>
      </c>
      <c r="G88" s="70">
        <f t="shared" si="42"/>
        <v>1041860487000</v>
      </c>
      <c r="H88" s="162">
        <f t="shared" si="42"/>
        <v>1123656996000</v>
      </c>
      <c r="I88" s="162">
        <f t="shared" si="42"/>
        <v>1260096272000</v>
      </c>
      <c r="J88" s="162">
        <f t="shared" si="42"/>
        <v>1291471322000</v>
      </c>
      <c r="K88" s="162">
        <f t="shared" si="42"/>
        <v>1219968855000</v>
      </c>
      <c r="L88" s="162">
        <f t="shared" si="42"/>
        <v>0</v>
      </c>
      <c r="M88" s="162">
        <f t="shared" si="42"/>
        <v>0</v>
      </c>
      <c r="N88" s="162">
        <f t="shared" si="42"/>
        <v>0</v>
      </c>
    </row>
    <row r="89" spans="2:14">
      <c r="B89" s="61"/>
      <c r="C89" s="72"/>
      <c r="D89" s="72"/>
      <c r="E89" s="72"/>
      <c r="F89" s="72"/>
      <c r="G89" s="72"/>
      <c r="H89" s="163"/>
      <c r="I89" s="72"/>
      <c r="J89" s="72"/>
      <c r="K89" s="72"/>
      <c r="L89" s="72"/>
      <c r="M89" s="72"/>
      <c r="N89" s="72"/>
    </row>
    <row r="90" spans="2:14">
      <c r="B90" s="57" t="s">
        <v>330</v>
      </c>
      <c r="C90" s="62"/>
      <c r="D90" s="62"/>
      <c r="E90" s="62"/>
      <c r="F90" s="62"/>
      <c r="G90" s="62"/>
      <c r="H90" s="164"/>
      <c r="I90" s="62"/>
      <c r="J90" s="62"/>
      <c r="K90" s="62"/>
      <c r="L90" s="62"/>
      <c r="M90" s="62"/>
      <c r="N90" s="62"/>
    </row>
    <row r="91" spans="2:14">
      <c r="B91" s="58" t="s">
        <v>310</v>
      </c>
      <c r="C91" s="64">
        <v>141231657000</v>
      </c>
      <c r="D91" s="64">
        <v>183871197000</v>
      </c>
      <c r="E91" s="64">
        <v>212609540000</v>
      </c>
      <c r="F91" s="64">
        <v>194411361000</v>
      </c>
      <c r="G91" s="64">
        <v>317400986000</v>
      </c>
      <c r="H91" s="141">
        <v>292987337000</v>
      </c>
      <c r="I91" s="64">
        <v>345091270000</v>
      </c>
      <c r="J91" s="64">
        <v>317234594000</v>
      </c>
      <c r="K91" s="64">
        <v>263078544000</v>
      </c>
      <c r="L91" s="64"/>
      <c r="M91" s="64"/>
      <c r="N91" s="64"/>
    </row>
    <row r="92" spans="2:14">
      <c r="B92" s="59" t="s">
        <v>402</v>
      </c>
      <c r="C92" s="66">
        <v>18657492000</v>
      </c>
      <c r="D92" s="66">
        <v>35179760000</v>
      </c>
      <c r="E92" s="66">
        <v>33417579000</v>
      </c>
      <c r="F92" s="66">
        <v>30134093000</v>
      </c>
      <c r="G92" s="66">
        <v>51601748000</v>
      </c>
      <c r="H92" s="160">
        <v>27602276000</v>
      </c>
      <c r="I92" s="66">
        <v>89710728000</v>
      </c>
      <c r="J92" s="66">
        <v>63470147000</v>
      </c>
      <c r="K92" s="66">
        <v>42715793000</v>
      </c>
      <c r="L92" s="66"/>
      <c r="M92" s="66"/>
      <c r="N92" s="66"/>
    </row>
    <row r="93" spans="2:14">
      <c r="B93" s="59" t="s">
        <v>403</v>
      </c>
      <c r="C93" s="66"/>
      <c r="D93" s="66"/>
      <c r="E93" s="66">
        <v>2477263000</v>
      </c>
      <c r="F93" s="66">
        <v>2027424000</v>
      </c>
      <c r="G93" s="66">
        <v>2185556000</v>
      </c>
      <c r="H93" s="160">
        <v>2951332000</v>
      </c>
      <c r="I93" s="66">
        <v>3289780000</v>
      </c>
      <c r="J93" s="66">
        <v>3668598000</v>
      </c>
      <c r="K93" s="66">
        <v>2918621000</v>
      </c>
      <c r="L93" s="66"/>
      <c r="M93" s="66"/>
      <c r="N93" s="66"/>
    </row>
    <row r="94" spans="2:14">
      <c r="B94" s="59" t="s">
        <v>404</v>
      </c>
      <c r="C94" s="66">
        <v>7135156000</v>
      </c>
      <c r="D94" s="66">
        <v>9230647000</v>
      </c>
      <c r="E94" s="66">
        <v>7922676000</v>
      </c>
      <c r="F94" s="66">
        <v>8415653000</v>
      </c>
      <c r="G94" s="66">
        <v>10047812000</v>
      </c>
      <c r="H94" s="160">
        <v>10934912000</v>
      </c>
      <c r="I94" s="66">
        <v>6793583000</v>
      </c>
      <c r="J94" s="66">
        <v>8132532000</v>
      </c>
      <c r="K94" s="66">
        <v>8217507000</v>
      </c>
      <c r="L94" s="66"/>
      <c r="M94" s="66"/>
      <c r="N94" s="66"/>
    </row>
    <row r="95" spans="2:14">
      <c r="B95" s="59" t="s">
        <v>405</v>
      </c>
      <c r="C95" s="66">
        <v>90225239000</v>
      </c>
      <c r="D95" s="66">
        <v>113488856000</v>
      </c>
      <c r="E95" s="66">
        <v>137731938000</v>
      </c>
      <c r="F95" s="66">
        <v>134952340000</v>
      </c>
      <c r="G95" s="66">
        <v>204117155000</v>
      </c>
      <c r="H95" s="160">
        <v>207869982000</v>
      </c>
      <c r="I95" s="66">
        <v>207193037000</v>
      </c>
      <c r="J95" s="66">
        <v>214249736000</v>
      </c>
      <c r="K95" s="66">
        <v>175103431000</v>
      </c>
      <c r="L95" s="66"/>
      <c r="M95" s="66"/>
      <c r="N95" s="66"/>
    </row>
    <row r="96" spans="2:14">
      <c r="B96" s="59" t="s">
        <v>406</v>
      </c>
      <c r="C96" s="66">
        <v>6602908000</v>
      </c>
      <c r="D96" s="66">
        <v>7210675000</v>
      </c>
      <c r="E96" s="66">
        <v>9889788000</v>
      </c>
      <c r="F96" s="66">
        <v>5769475000</v>
      </c>
      <c r="G96" s="66">
        <v>7008309000</v>
      </c>
      <c r="H96" s="160">
        <v>16987627000</v>
      </c>
      <c r="I96" s="66">
        <v>12922384000</v>
      </c>
      <c r="J96" s="66">
        <v>11375796000</v>
      </c>
      <c r="K96" s="66">
        <v>11195233000</v>
      </c>
      <c r="L96" s="66"/>
      <c r="M96" s="66"/>
      <c r="N96" s="66"/>
    </row>
    <row r="97" spans="2:14">
      <c r="B97" s="59" t="s">
        <v>407</v>
      </c>
      <c r="C97" s="66">
        <v>12625860000</v>
      </c>
      <c r="D97" s="66">
        <v>13243963000</v>
      </c>
      <c r="E97" s="66">
        <v>14121500000</v>
      </c>
      <c r="F97" s="66">
        <v>1910962000</v>
      </c>
      <c r="G97" s="66">
        <v>26120331000</v>
      </c>
      <c r="H97" s="160">
        <v>16186464000</v>
      </c>
      <c r="I97" s="66">
        <v>11581020000</v>
      </c>
      <c r="J97" s="66">
        <v>1317699000</v>
      </c>
      <c r="K97" s="66"/>
      <c r="L97" s="66"/>
      <c r="M97" s="66"/>
      <c r="N97" s="66"/>
    </row>
    <row r="98" spans="2:14">
      <c r="B98" s="59" t="s">
        <v>408</v>
      </c>
      <c r="C98" s="66">
        <v>1063337000</v>
      </c>
      <c r="D98" s="66">
        <v>389233000</v>
      </c>
      <c r="E98" s="66">
        <v>949896000</v>
      </c>
      <c r="F98" s="66">
        <v>2556307000</v>
      </c>
      <c r="G98" s="66">
        <v>9081736000</v>
      </c>
      <c r="H98" s="160">
        <v>1128957000</v>
      </c>
      <c r="I98" s="66">
        <v>2917790000</v>
      </c>
      <c r="J98" s="66">
        <v>2458975000</v>
      </c>
      <c r="K98" s="66">
        <v>7018046000</v>
      </c>
      <c r="L98" s="66"/>
      <c r="M98" s="66"/>
      <c r="N98" s="66"/>
    </row>
    <row r="99" spans="2:14">
      <c r="B99" s="59" t="s">
        <v>409</v>
      </c>
      <c r="C99" s="66">
        <v>4921665000</v>
      </c>
      <c r="D99" s="66">
        <v>5128063000</v>
      </c>
      <c r="E99" s="66">
        <v>6098900000</v>
      </c>
      <c r="F99" s="66">
        <v>8645107000</v>
      </c>
      <c r="G99" s="66">
        <v>7238339000</v>
      </c>
      <c r="H99" s="160">
        <v>9325787000</v>
      </c>
      <c r="I99" s="66">
        <v>10682948000</v>
      </c>
      <c r="J99" s="66">
        <v>12561111</v>
      </c>
      <c r="K99" s="66">
        <v>12638872000</v>
      </c>
      <c r="L99" s="66"/>
      <c r="M99" s="66"/>
      <c r="N99" s="66"/>
    </row>
    <row r="100" spans="2:14">
      <c r="B100" s="59" t="s">
        <v>410</v>
      </c>
      <c r="C100" s="66">
        <f t="shared" ref="C100:N100" si="43">+C91-C92-C98-C99-C97-C96-C95-C94-C93</f>
        <v>0</v>
      </c>
      <c r="D100" s="66">
        <f t="shared" si="43"/>
        <v>0</v>
      </c>
      <c r="E100" s="66">
        <f t="shared" si="43"/>
        <v>0</v>
      </c>
      <c r="F100" s="66">
        <f t="shared" si="43"/>
        <v>0</v>
      </c>
      <c r="G100" s="66">
        <f t="shared" si="43"/>
        <v>0</v>
      </c>
      <c r="H100" s="66">
        <f t="shared" si="43"/>
        <v>0</v>
      </c>
      <c r="I100" s="66">
        <f t="shared" si="43"/>
        <v>0</v>
      </c>
      <c r="J100" s="66">
        <f t="shared" si="43"/>
        <v>12548549889</v>
      </c>
      <c r="K100" s="66">
        <f t="shared" si="43"/>
        <v>3271041000</v>
      </c>
      <c r="L100" s="66">
        <f t="shared" si="43"/>
        <v>0</v>
      </c>
      <c r="M100" s="66">
        <f t="shared" si="43"/>
        <v>0</v>
      </c>
      <c r="N100" s="66">
        <f t="shared" si="43"/>
        <v>0</v>
      </c>
    </row>
    <row r="101" spans="2:14">
      <c r="B101" s="58" t="s">
        <v>319</v>
      </c>
      <c r="C101" s="64">
        <v>224761997000</v>
      </c>
      <c r="D101" s="64">
        <v>213303222000</v>
      </c>
      <c r="E101" s="64">
        <v>256591241000</v>
      </c>
      <c r="F101" s="64">
        <v>298924327000</v>
      </c>
      <c r="G101" s="64">
        <v>293826642000</v>
      </c>
      <c r="H101" s="141">
        <v>339896129000</v>
      </c>
      <c r="I101" s="64">
        <v>385276014000</v>
      </c>
      <c r="J101" s="64">
        <v>391900581000</v>
      </c>
      <c r="K101" s="64">
        <v>359174338000</v>
      </c>
      <c r="L101" s="64"/>
      <c r="M101" s="64"/>
      <c r="N101" s="64"/>
    </row>
    <row r="102" spans="2:14">
      <c r="B102" s="59" t="s">
        <v>411</v>
      </c>
      <c r="C102" s="66">
        <v>205839880000</v>
      </c>
      <c r="D102" s="66">
        <v>188271586000</v>
      </c>
      <c r="E102" s="66">
        <v>232152700000</v>
      </c>
      <c r="F102" s="66">
        <v>274432872000</v>
      </c>
      <c r="G102" s="66">
        <v>267424069000</v>
      </c>
      <c r="H102" s="160">
        <v>313303014000</v>
      </c>
      <c r="I102" s="66">
        <v>357756519000</v>
      </c>
      <c r="J102" s="66">
        <v>362536302000</v>
      </c>
      <c r="K102" s="66">
        <v>327474211000</v>
      </c>
      <c r="L102" s="66"/>
      <c r="M102" s="66"/>
      <c r="N102" s="66"/>
    </row>
    <row r="103" spans="2:14">
      <c r="B103" s="59" t="s">
        <v>412</v>
      </c>
      <c r="C103" s="66">
        <v>0</v>
      </c>
      <c r="D103" s="66">
        <v>3770990000</v>
      </c>
      <c r="E103" s="66">
        <v>1529415000</v>
      </c>
      <c r="F103" s="66">
        <v>2718949000</v>
      </c>
      <c r="G103" s="66">
        <v>904001000</v>
      </c>
      <c r="H103" s="160">
        <v>468944000</v>
      </c>
      <c r="I103" s="66">
        <v>0</v>
      </c>
      <c r="J103" s="66">
        <v>0</v>
      </c>
      <c r="K103" s="66">
        <v>6190504000</v>
      </c>
      <c r="L103" s="66"/>
      <c r="M103" s="66"/>
      <c r="N103" s="66"/>
    </row>
    <row r="104" spans="2:14">
      <c r="B104" s="59" t="s">
        <v>413</v>
      </c>
      <c r="C104" s="66">
        <v>18922117000</v>
      </c>
      <c r="D104" s="66">
        <v>21260646000</v>
      </c>
      <c r="E104" s="66">
        <v>22909126000</v>
      </c>
      <c r="F104" s="66">
        <v>21772506000</v>
      </c>
      <c r="G104" s="66">
        <v>0</v>
      </c>
      <c r="H104" s="160">
        <v>315182000</v>
      </c>
      <c r="I104" s="66">
        <v>251914000</v>
      </c>
      <c r="J104" s="66">
        <v>219046000</v>
      </c>
      <c r="K104" s="66">
        <v>781327000</v>
      </c>
      <c r="L104" s="66"/>
      <c r="M104" s="66"/>
      <c r="N104" s="66"/>
    </row>
    <row r="105" spans="2:14">
      <c r="B105" s="59" t="s">
        <v>414</v>
      </c>
      <c r="C105" s="66"/>
      <c r="D105" s="66"/>
      <c r="E105" s="66"/>
      <c r="F105" s="66"/>
      <c r="G105" s="66">
        <v>25498572000</v>
      </c>
      <c r="H105" s="160">
        <v>25808989000</v>
      </c>
      <c r="I105" s="66">
        <v>27267581000</v>
      </c>
      <c r="J105" s="66">
        <v>29145233000</v>
      </c>
      <c r="K105" s="66"/>
      <c r="L105" s="66"/>
      <c r="M105" s="66"/>
      <c r="N105" s="66"/>
    </row>
    <row r="106" spans="2:14">
      <c r="B106" s="59" t="s">
        <v>341</v>
      </c>
      <c r="C106" s="66">
        <f t="shared" ref="C106:N106" si="44">+C101-C102-C104-C105-C103</f>
        <v>0</v>
      </c>
      <c r="D106" s="66">
        <f t="shared" si="44"/>
        <v>0</v>
      </c>
      <c r="E106" s="66">
        <f t="shared" si="44"/>
        <v>0</v>
      </c>
      <c r="F106" s="66">
        <f t="shared" si="44"/>
        <v>0</v>
      </c>
      <c r="G106" s="66">
        <f t="shared" si="44"/>
        <v>0</v>
      </c>
      <c r="H106" s="66">
        <f t="shared" si="44"/>
        <v>0</v>
      </c>
      <c r="I106" s="66">
        <f t="shared" si="44"/>
        <v>0</v>
      </c>
      <c r="J106" s="66">
        <f t="shared" si="44"/>
        <v>0</v>
      </c>
      <c r="K106" s="66">
        <v>24728296000</v>
      </c>
      <c r="L106" s="66">
        <f t="shared" si="44"/>
        <v>0</v>
      </c>
      <c r="M106" s="66">
        <f t="shared" si="44"/>
        <v>0</v>
      </c>
      <c r="N106" s="66">
        <f t="shared" si="44"/>
        <v>0</v>
      </c>
    </row>
    <row r="107" spans="2:14">
      <c r="B107" s="60" t="s">
        <v>342</v>
      </c>
      <c r="C107" s="70">
        <f>+C101+C91</f>
        <v>365993654000</v>
      </c>
      <c r="D107" s="70">
        <f t="shared" ref="D107:N107" si="45">+D101+D91</f>
        <v>397174419000</v>
      </c>
      <c r="E107" s="70">
        <f t="shared" si="45"/>
        <v>469200781000</v>
      </c>
      <c r="F107" s="70">
        <f t="shared" si="45"/>
        <v>493335688000</v>
      </c>
      <c r="G107" s="70">
        <f t="shared" si="45"/>
        <v>611227628000</v>
      </c>
      <c r="H107" s="162">
        <f t="shared" si="45"/>
        <v>632883466000</v>
      </c>
      <c r="I107" s="162">
        <f>+I101+I91</f>
        <v>730367284000</v>
      </c>
      <c r="J107" s="162">
        <f t="shared" si="45"/>
        <v>709135175000</v>
      </c>
      <c r="K107" s="162">
        <f>+K101+K91</f>
        <v>622252882000</v>
      </c>
      <c r="L107" s="162">
        <f t="shared" si="45"/>
        <v>0</v>
      </c>
      <c r="M107" s="162">
        <f t="shared" si="45"/>
        <v>0</v>
      </c>
      <c r="N107" s="162">
        <f t="shared" si="45"/>
        <v>0</v>
      </c>
    </row>
    <row r="108" spans="2:14">
      <c r="B108" s="61"/>
      <c r="C108" s="61"/>
      <c r="D108" s="61"/>
      <c r="E108" s="61"/>
      <c r="F108" s="61"/>
      <c r="G108" s="61"/>
      <c r="H108" s="61"/>
      <c r="I108" s="61"/>
      <c r="J108" s="61"/>
      <c r="K108" s="61"/>
      <c r="L108" s="61"/>
      <c r="M108" s="61"/>
      <c r="N108" s="61"/>
    </row>
    <row r="109" spans="2:14">
      <c r="B109" s="57" t="s">
        <v>343</v>
      </c>
      <c r="C109" s="62"/>
      <c r="D109" s="62"/>
      <c r="E109" s="62"/>
      <c r="F109" s="62"/>
      <c r="G109" s="62"/>
      <c r="H109" s="164"/>
      <c r="I109" s="62"/>
      <c r="J109" s="62"/>
      <c r="K109" s="62"/>
      <c r="L109" s="62"/>
      <c r="M109" s="62"/>
      <c r="N109" s="62"/>
    </row>
    <row r="110" spans="2:14">
      <c r="B110" s="59" t="s">
        <v>415</v>
      </c>
      <c r="C110" s="160">
        <v>160519729000</v>
      </c>
      <c r="D110" s="160">
        <v>160519729000</v>
      </c>
      <c r="E110" s="160">
        <v>160519729000</v>
      </c>
      <c r="F110" s="160">
        <v>160519729000</v>
      </c>
      <c r="G110" s="160">
        <v>160519729000</v>
      </c>
      <c r="H110" s="160">
        <v>160519729000</v>
      </c>
      <c r="I110" s="160">
        <v>160519729000</v>
      </c>
      <c r="J110" s="160">
        <v>160519729000</v>
      </c>
      <c r="K110" s="160">
        <v>160519729000</v>
      </c>
      <c r="L110" s="160"/>
      <c r="M110" s="160"/>
      <c r="N110" s="160"/>
    </row>
    <row r="111" spans="2:14">
      <c r="B111" s="59" t="s">
        <v>416</v>
      </c>
      <c r="C111" s="66">
        <v>170689706000</v>
      </c>
      <c r="D111" s="66">
        <v>182702486000</v>
      </c>
      <c r="E111" s="66">
        <v>184719720000</v>
      </c>
      <c r="F111" s="66">
        <v>220633469000</v>
      </c>
      <c r="G111" s="66">
        <v>212889718000</v>
      </c>
      <c r="H111" s="160">
        <v>259308702000</v>
      </c>
      <c r="I111" s="66">
        <v>296193619000</v>
      </c>
      <c r="J111" s="66">
        <v>328847194000</v>
      </c>
      <c r="K111" s="66">
        <v>363676364000</v>
      </c>
      <c r="L111" s="66"/>
      <c r="M111" s="66"/>
      <c r="N111" s="66"/>
    </row>
    <row r="112" spans="2:14">
      <c r="B112" s="59" t="s">
        <v>345</v>
      </c>
      <c r="C112" s="66">
        <v>22362179000</v>
      </c>
      <c r="D112" s="66">
        <v>30962077000</v>
      </c>
      <c r="E112" s="66">
        <v>44395152000</v>
      </c>
      <c r="F112" s="66">
        <v>38773848000</v>
      </c>
      <c r="G112" s="66">
        <v>57204861000</v>
      </c>
      <c r="H112" s="160">
        <v>70922042000</v>
      </c>
      <c r="I112" s="66">
        <v>72990863000</v>
      </c>
      <c r="J112" s="66">
        <v>92942174000</v>
      </c>
      <c r="K112" s="66">
        <v>73488758000</v>
      </c>
      <c r="L112" s="66"/>
      <c r="M112" s="66"/>
      <c r="N112" s="66"/>
    </row>
    <row r="113" spans="2:14">
      <c r="B113" s="59" t="s">
        <v>419</v>
      </c>
      <c r="C113" s="66">
        <v>10929000</v>
      </c>
      <c r="D113" s="66">
        <v>10885000</v>
      </c>
      <c r="E113" s="66">
        <v>12771000</v>
      </c>
      <c r="F113" s="66">
        <v>14122000</v>
      </c>
      <c r="G113" s="66">
        <v>18551000</v>
      </c>
      <c r="H113" s="160">
        <v>23057000</v>
      </c>
      <c r="I113" s="66">
        <v>24777000</v>
      </c>
      <c r="J113" s="66">
        <v>27050000</v>
      </c>
      <c r="K113" s="66">
        <v>31122000</v>
      </c>
      <c r="L113" s="66"/>
      <c r="M113" s="66"/>
      <c r="N113" s="66"/>
    </row>
    <row r="114" spans="2:14">
      <c r="B114" s="60" t="s">
        <v>347</v>
      </c>
      <c r="C114" s="70">
        <f t="shared" ref="C114:F114" si="46">+C110+C112+C111</f>
        <v>353571614000</v>
      </c>
      <c r="D114" s="70">
        <f t="shared" si="46"/>
        <v>374184292000</v>
      </c>
      <c r="E114" s="70">
        <f t="shared" si="46"/>
        <v>389634601000</v>
      </c>
      <c r="F114" s="70">
        <f t="shared" si="46"/>
        <v>419927046000</v>
      </c>
      <c r="G114" s="70">
        <f>+G110+G112+G111</f>
        <v>430614308000</v>
      </c>
      <c r="H114" s="70">
        <f>+H110+H112+H111</f>
        <v>490750473000</v>
      </c>
      <c r="I114" s="70">
        <f>+I110+I112+I111</f>
        <v>529704211000</v>
      </c>
      <c r="J114" s="70">
        <f>+J110+J112+J111</f>
        <v>582309097000</v>
      </c>
      <c r="K114" s="70">
        <f>+K110+K112+K111</f>
        <v>597684851000</v>
      </c>
      <c r="L114" s="70"/>
      <c r="M114" s="70"/>
      <c r="N114" s="70"/>
    </row>
    <row r="116" spans="2:14">
      <c r="B116" s="75" t="s">
        <v>348</v>
      </c>
    </row>
    <row r="117" spans="2:14">
      <c r="B117" s="82" t="s">
        <v>308</v>
      </c>
      <c r="C117" s="88">
        <v>2017</v>
      </c>
      <c r="D117" s="88">
        <v>2018</v>
      </c>
      <c r="E117" s="88">
        <v>2019</v>
      </c>
      <c r="F117" s="88">
        <v>2020</v>
      </c>
      <c r="G117" s="88">
        <v>2021</v>
      </c>
      <c r="H117" s="88">
        <v>2022</v>
      </c>
      <c r="I117" s="88">
        <v>2023</v>
      </c>
      <c r="J117" s="88">
        <v>2024</v>
      </c>
      <c r="K117" s="88">
        <v>2025</v>
      </c>
      <c r="L117" s="88">
        <v>2026</v>
      </c>
      <c r="M117" s="88">
        <v>2027</v>
      </c>
      <c r="N117" s="88">
        <v>2028</v>
      </c>
    </row>
    <row r="118" spans="2:14">
      <c r="B118" s="83" t="s">
        <v>349</v>
      </c>
      <c r="C118" s="90">
        <v>547010044000</v>
      </c>
      <c r="D118" s="90">
        <v>564387521000</v>
      </c>
      <c r="E118" s="90">
        <v>623960268000</v>
      </c>
      <c r="F118" s="90">
        <v>668221244000</v>
      </c>
      <c r="G118" s="90">
        <v>934812880000</v>
      </c>
      <c r="H118" s="90">
        <v>1113177503000</v>
      </c>
      <c r="I118" s="90">
        <v>1201957961000</v>
      </c>
      <c r="J118" s="90">
        <v>1332494248000</v>
      </c>
      <c r="K118" s="90">
        <v>1329771177000</v>
      </c>
      <c r="L118" s="90"/>
      <c r="M118" s="90"/>
      <c r="N118" s="90"/>
    </row>
    <row r="119" spans="2:14">
      <c r="B119" s="85" t="s">
        <v>534</v>
      </c>
      <c r="C119" s="66">
        <v>-318891050000</v>
      </c>
      <c r="D119" s="66">
        <v>-324723729000</v>
      </c>
      <c r="E119" s="66">
        <v>-356235068000</v>
      </c>
      <c r="F119" s="66">
        <v>-381852127000</v>
      </c>
      <c r="G119" s="66">
        <v>-569020018000</v>
      </c>
      <c r="H119" s="66">
        <v>-693053832000</v>
      </c>
      <c r="I119" s="66">
        <v>-755570081000</v>
      </c>
      <c r="J119" s="66">
        <v>-839760380000</v>
      </c>
      <c r="K119" s="66">
        <v>-851400940000</v>
      </c>
      <c r="L119" s="66"/>
      <c r="M119" s="66"/>
      <c r="N119" s="66"/>
    </row>
    <row r="120" spans="2:14">
      <c r="B120" s="86" t="s">
        <v>422</v>
      </c>
      <c r="C120" s="64">
        <f t="shared" ref="C120:F120" si="47">+C118+C119</f>
        <v>228118994000</v>
      </c>
      <c r="D120" s="64">
        <f>+D118+D119</f>
        <v>239663792000</v>
      </c>
      <c r="E120" s="64">
        <f t="shared" si="47"/>
        <v>267725200000</v>
      </c>
      <c r="F120" s="64">
        <f t="shared" si="47"/>
        <v>286369117000</v>
      </c>
      <c r="G120" s="64">
        <f>+G118+G119</f>
        <v>365792862000</v>
      </c>
      <c r="H120" s="64">
        <f t="shared" ref="H120:K120" si="48">+H118+H119</f>
        <v>420123671000</v>
      </c>
      <c r="I120" s="64">
        <f t="shared" si="48"/>
        <v>446387880000</v>
      </c>
      <c r="J120" s="64">
        <f t="shared" si="48"/>
        <v>492733868000</v>
      </c>
      <c r="K120" s="64">
        <f t="shared" si="48"/>
        <v>478370237000</v>
      </c>
      <c r="L120" s="64"/>
      <c r="M120" s="64"/>
      <c r="N120" s="64"/>
    </row>
    <row r="121" spans="2:14">
      <c r="B121" s="85" t="s">
        <v>592</v>
      </c>
      <c r="C121" s="64">
        <v>422218000</v>
      </c>
      <c r="D121" s="64">
        <v>202779000</v>
      </c>
      <c r="E121" s="64">
        <v>498552000</v>
      </c>
      <c r="F121" s="117">
        <v>517908000</v>
      </c>
      <c r="G121" s="117">
        <v>692982000</v>
      </c>
      <c r="H121" s="117">
        <v>984770000</v>
      </c>
      <c r="I121" s="117">
        <v>577014000</v>
      </c>
      <c r="J121" s="117">
        <v>1594906000</v>
      </c>
      <c r="K121" s="117">
        <v>1940327000</v>
      </c>
      <c r="L121" s="117"/>
      <c r="M121" s="117"/>
      <c r="N121" s="117"/>
    </row>
    <row r="122" spans="2:14">
      <c r="B122" s="85" t="s">
        <v>711</v>
      </c>
      <c r="C122" s="64">
        <v>-126392878000</v>
      </c>
      <c r="D122" s="64">
        <v>-139082052000</v>
      </c>
      <c r="E122" s="64">
        <v>-154987964000</v>
      </c>
      <c r="F122" s="117">
        <v>-165628473000</v>
      </c>
      <c r="G122" s="117">
        <v>-208850320000</v>
      </c>
      <c r="H122" s="117">
        <v>-246360337000</v>
      </c>
      <c r="I122" s="117">
        <v>-282128808000</v>
      </c>
      <c r="J122" s="117">
        <v>-313978137000</v>
      </c>
      <c r="K122" s="117">
        <v>-309428019000</v>
      </c>
      <c r="L122" s="117"/>
      <c r="M122" s="117"/>
      <c r="N122" s="117"/>
    </row>
    <row r="123" spans="2:14">
      <c r="B123" s="85" t="s">
        <v>537</v>
      </c>
      <c r="C123" s="64">
        <v>-30486100000</v>
      </c>
      <c r="D123" s="64">
        <v>-31320452000</v>
      </c>
      <c r="E123" s="64">
        <v>-36550734000</v>
      </c>
      <c r="F123" s="117">
        <v>-38601609000</v>
      </c>
      <c r="G123" s="117">
        <v>-40150969000</v>
      </c>
      <c r="H123" s="117">
        <v>-46740040000</v>
      </c>
      <c r="I123" s="117">
        <v>-56265532000</v>
      </c>
      <c r="J123" s="117">
        <v>-60556720000</v>
      </c>
      <c r="K123" s="117">
        <v>-58603855000</v>
      </c>
      <c r="L123" s="117"/>
      <c r="M123" s="117"/>
      <c r="N123" s="117"/>
    </row>
    <row r="124" spans="2:14">
      <c r="B124" s="85" t="s">
        <v>427</v>
      </c>
      <c r="C124" s="66">
        <v>474733000</v>
      </c>
      <c r="D124" s="66">
        <v>989983000</v>
      </c>
      <c r="E124" s="66">
        <v>-817152000</v>
      </c>
      <c r="F124" s="117">
        <v>-514333000</v>
      </c>
      <c r="G124" s="117">
        <v>-1336756000</v>
      </c>
      <c r="H124" s="117">
        <v>-1190723000</v>
      </c>
      <c r="I124" s="117">
        <v>-70303000</v>
      </c>
      <c r="J124" s="117">
        <v>-1676909000</v>
      </c>
      <c r="K124" s="117">
        <v>-1839138000</v>
      </c>
      <c r="L124" s="117"/>
      <c r="M124" s="117"/>
      <c r="N124" s="117"/>
    </row>
    <row r="125" spans="2:14">
      <c r="B125" s="86" t="s">
        <v>542</v>
      </c>
      <c r="C125" s="64">
        <f t="shared" ref="C125:G125" si="49">+C120+C124+C121+C122+C123</f>
        <v>72136967000</v>
      </c>
      <c r="D125" s="64">
        <f t="shared" si="49"/>
        <v>70454050000</v>
      </c>
      <c r="E125" s="64">
        <f t="shared" si="49"/>
        <v>75867902000</v>
      </c>
      <c r="F125" s="64">
        <f t="shared" si="49"/>
        <v>82142610000</v>
      </c>
      <c r="G125" s="64">
        <f t="shared" si="49"/>
        <v>116147799000</v>
      </c>
      <c r="H125" s="64">
        <f>+H120+H124+H121+H122+H123</f>
        <v>126817341000</v>
      </c>
      <c r="I125" s="64">
        <f>+I120+I124+I121+I122+I123</f>
        <v>108500251000</v>
      </c>
      <c r="J125" s="64">
        <f>+J120+J124+J121+J122+J123</f>
        <v>118117008000</v>
      </c>
      <c r="K125" s="64">
        <f>+K120+K124+K121+K122+K123</f>
        <v>110439552000</v>
      </c>
      <c r="L125" s="64"/>
      <c r="M125" s="64"/>
      <c r="N125" s="64"/>
    </row>
    <row r="126" spans="2:14">
      <c r="B126" s="85" t="s">
        <v>429</v>
      </c>
      <c r="C126" s="66">
        <v>712614000</v>
      </c>
      <c r="D126" s="66">
        <v>1073172000</v>
      </c>
      <c r="E126" s="66">
        <v>863686000</v>
      </c>
      <c r="F126" s="66">
        <v>584659000</v>
      </c>
      <c r="G126" s="131">
        <v>636717000</v>
      </c>
      <c r="H126" s="131">
        <v>1792404000</v>
      </c>
      <c r="I126" s="131">
        <v>6464261000</v>
      </c>
      <c r="J126" s="131">
        <v>7329298000</v>
      </c>
      <c r="K126" s="131">
        <v>4866158000</v>
      </c>
      <c r="L126" s="131"/>
      <c r="M126" s="131"/>
      <c r="N126" s="131"/>
    </row>
    <row r="127" spans="2:14">
      <c r="B127" s="85" t="s">
        <v>430</v>
      </c>
      <c r="C127" s="66">
        <v>-11189165000</v>
      </c>
      <c r="D127" s="66">
        <v>-11048966000</v>
      </c>
      <c r="E127" s="66">
        <v>-13328178000</v>
      </c>
      <c r="F127" s="66">
        <v>-15383731000</v>
      </c>
      <c r="G127" s="131">
        <v>-13034897000</v>
      </c>
      <c r="H127" s="131">
        <v>-15971622000</v>
      </c>
      <c r="I127" s="131">
        <v>-17131418000</v>
      </c>
      <c r="J127" s="131">
        <v>-20125444000</v>
      </c>
      <c r="K127" s="131">
        <v>-20311066000</v>
      </c>
      <c r="L127" s="131"/>
      <c r="M127" s="131"/>
      <c r="N127" s="131"/>
    </row>
    <row r="128" spans="2:14">
      <c r="B128" s="85" t="s">
        <v>431</v>
      </c>
      <c r="C128" s="66">
        <v>1615613000</v>
      </c>
      <c r="D128" s="66">
        <v>877263000</v>
      </c>
      <c r="E128" s="66">
        <v>1649152000</v>
      </c>
      <c r="F128" s="66">
        <v>2455345000</v>
      </c>
      <c r="G128" s="131">
        <v>4345218000</v>
      </c>
      <c r="H128" s="131">
        <v>4284437000</v>
      </c>
      <c r="I128" s="131">
        <v>2942144000</v>
      </c>
      <c r="J128" s="131">
        <v>2099440000</v>
      </c>
      <c r="K128" s="131">
        <v>119024000</v>
      </c>
      <c r="L128" s="131"/>
      <c r="M128" s="131"/>
      <c r="N128" s="131"/>
    </row>
    <row r="129" spans="2:14">
      <c r="B129" s="85" t="s">
        <v>432</v>
      </c>
      <c r="C129" s="66">
        <v>-467135000</v>
      </c>
      <c r="D129" s="66">
        <v>2089159000</v>
      </c>
      <c r="E129" s="66">
        <v>-124735000</v>
      </c>
      <c r="F129" s="66">
        <v>-2934416000</v>
      </c>
      <c r="G129" s="131">
        <v>1769482000</v>
      </c>
      <c r="H129" s="131">
        <v>-1104212000</v>
      </c>
      <c r="I129" s="131">
        <v>-715362000</v>
      </c>
      <c r="J129" s="131">
        <v>-621346000</v>
      </c>
      <c r="K129" s="131">
        <v>-5196707000</v>
      </c>
      <c r="L129" s="131"/>
      <c r="M129" s="131"/>
      <c r="N129" s="131"/>
    </row>
    <row r="130" spans="2:14">
      <c r="B130" s="85" t="s">
        <v>433</v>
      </c>
      <c r="C130" s="66">
        <v>-1365282000</v>
      </c>
      <c r="D130" s="66">
        <v>-2321872000</v>
      </c>
      <c r="E130" s="66">
        <v>-703825000</v>
      </c>
      <c r="F130" s="66">
        <v>-1021586000</v>
      </c>
      <c r="G130" s="131">
        <v>-2636499000</v>
      </c>
      <c r="H130" s="131">
        <v>-5927642000</v>
      </c>
      <c r="I130" s="131">
        <v>-2021622000</v>
      </c>
      <c r="J130" s="131">
        <v>-4662062000</v>
      </c>
      <c r="K130" s="131">
        <v>-5120801000</v>
      </c>
      <c r="L130" s="131"/>
      <c r="M130" s="131"/>
      <c r="N130" s="131"/>
    </row>
    <row r="131" spans="2:14">
      <c r="B131" s="86" t="s">
        <v>362</v>
      </c>
      <c r="C131" s="64">
        <f t="shared" ref="C131:E131" si="50">+C125+C126+C127+C128+C129+C130</f>
        <v>61443612000</v>
      </c>
      <c r="D131" s="64">
        <f t="shared" si="50"/>
        <v>61122806000</v>
      </c>
      <c r="E131" s="64">
        <f t="shared" si="50"/>
        <v>64224002000</v>
      </c>
      <c r="F131" s="64">
        <f>+F125+F126+F127+F128+F129+F130</f>
        <v>65842881000</v>
      </c>
      <c r="G131" s="64">
        <f t="shared" ref="G131:K131" si="51">+G125+G126+G127+G128+G129+G130</f>
        <v>107227820000</v>
      </c>
      <c r="H131" s="64">
        <f t="shared" si="51"/>
        <v>109890706000</v>
      </c>
      <c r="I131" s="64">
        <f t="shared" si="51"/>
        <v>98038254000</v>
      </c>
      <c r="J131" s="64">
        <f t="shared" si="51"/>
        <v>102136894000</v>
      </c>
      <c r="K131" s="64">
        <f t="shared" si="51"/>
        <v>84796160000</v>
      </c>
      <c r="L131" s="64"/>
      <c r="M131" s="64"/>
      <c r="N131" s="64"/>
    </row>
    <row r="132" spans="2:14">
      <c r="B132" s="85" t="s">
        <v>363</v>
      </c>
      <c r="C132" s="66">
        <v>-19356864000</v>
      </c>
      <c r="D132" s="66">
        <v>-16976216000</v>
      </c>
      <c r="E132" s="66">
        <v>-17151188000</v>
      </c>
      <c r="F132" s="66">
        <v>-16206144000</v>
      </c>
      <c r="G132" s="91">
        <v>-20155767000</v>
      </c>
      <c r="H132" s="91">
        <v>-22651872000</v>
      </c>
      <c r="I132" s="91">
        <v>-26151670000</v>
      </c>
      <c r="J132" s="91">
        <v>-27852232000</v>
      </c>
      <c r="K132" s="91">
        <v>-24790502000</v>
      </c>
      <c r="L132" s="91"/>
      <c r="M132" s="91"/>
      <c r="N132" s="91"/>
    </row>
    <row r="133" spans="2:14">
      <c r="B133" s="84" t="s">
        <v>365</v>
      </c>
      <c r="C133" s="130">
        <f t="shared" ref="C133:G133" si="52">+C131+C132</f>
        <v>42086748000</v>
      </c>
      <c r="D133" s="130">
        <f t="shared" si="52"/>
        <v>44146590000</v>
      </c>
      <c r="E133" s="130">
        <f t="shared" si="52"/>
        <v>47072814000</v>
      </c>
      <c r="F133" s="130">
        <f t="shared" si="52"/>
        <v>49636737000</v>
      </c>
      <c r="G133" s="130">
        <f t="shared" si="52"/>
        <v>87072053000</v>
      </c>
      <c r="H133" s="130">
        <f>+H131+H132</f>
        <v>87238834000</v>
      </c>
      <c r="I133" s="130">
        <f>+I131+I132</f>
        <v>71886584000</v>
      </c>
      <c r="J133" s="130">
        <f>+J131+J132</f>
        <v>74284662000</v>
      </c>
      <c r="K133" s="130">
        <f>+K131+K132</f>
        <v>60005658000</v>
      </c>
      <c r="L133" s="130"/>
      <c r="M133" s="130"/>
      <c r="N133" s="130"/>
    </row>
    <row r="134" spans="2:14" ht="30.75">
      <c r="B134" s="87" t="s">
        <v>435</v>
      </c>
      <c r="C134" s="66">
        <v>547000</v>
      </c>
      <c r="D134" s="66">
        <v>48000</v>
      </c>
      <c r="E134" s="66">
        <v>1553000</v>
      </c>
      <c r="F134" s="66">
        <v>1641000</v>
      </c>
      <c r="G134" s="91">
        <v>4385000</v>
      </c>
      <c r="H134" s="91">
        <v>3009000</v>
      </c>
      <c r="I134" s="91">
        <v>2241000</v>
      </c>
      <c r="J134" s="91">
        <v>2356000</v>
      </c>
      <c r="K134" s="91">
        <v>3136000</v>
      </c>
      <c r="L134" s="91"/>
      <c r="M134" s="91"/>
      <c r="N134" s="91"/>
    </row>
    <row r="135" spans="2:14">
      <c r="B135" s="84" t="s">
        <v>366</v>
      </c>
      <c r="C135" s="111">
        <v>82.38</v>
      </c>
      <c r="D135" s="111">
        <v>86.42</v>
      </c>
      <c r="E135" s="111">
        <v>92.14</v>
      </c>
      <c r="F135" s="134">
        <v>97.16</v>
      </c>
      <c r="G135" s="134">
        <v>170.44</v>
      </c>
      <c r="H135" s="134">
        <v>170.76</v>
      </c>
      <c r="I135" s="134">
        <v>140.71</v>
      </c>
      <c r="J135" s="134">
        <v>145.41</v>
      </c>
      <c r="K135" s="134">
        <v>117.46</v>
      </c>
      <c r="L135" s="134"/>
      <c r="M135" s="134"/>
      <c r="N135" s="134"/>
    </row>
    <row r="137" spans="2:14">
      <c r="B137" s="75" t="s">
        <v>367</v>
      </c>
    </row>
    <row r="138" spans="2:14">
      <c r="B138" s="82" t="s">
        <v>308</v>
      </c>
      <c r="C138" s="88">
        <v>2017</v>
      </c>
      <c r="D138" s="88">
        <v>2018</v>
      </c>
      <c r="E138" s="88">
        <v>2019</v>
      </c>
      <c r="F138" s="88">
        <v>2020</v>
      </c>
      <c r="G138" s="88">
        <v>2021</v>
      </c>
      <c r="H138" s="88">
        <v>2022</v>
      </c>
      <c r="I138" s="88">
        <v>2023</v>
      </c>
      <c r="J138" s="88">
        <v>2024</v>
      </c>
      <c r="K138" s="88">
        <v>2025</v>
      </c>
      <c r="L138" s="88">
        <v>2026</v>
      </c>
      <c r="M138" s="88">
        <v>2027</v>
      </c>
      <c r="N138" s="88">
        <v>2028</v>
      </c>
    </row>
    <row r="139" spans="2:14">
      <c r="B139" s="83" t="s">
        <v>368</v>
      </c>
      <c r="C139" s="90">
        <v>88984052000</v>
      </c>
      <c r="D139" s="90">
        <v>95887239000</v>
      </c>
      <c r="E139" s="90">
        <v>103038328000</v>
      </c>
      <c r="F139" s="90">
        <v>117111119000</v>
      </c>
      <c r="G139" s="90">
        <v>140701576000</v>
      </c>
      <c r="H139" s="90">
        <v>104018831000</v>
      </c>
      <c r="I139" s="90">
        <v>122783350000</v>
      </c>
      <c r="J139" s="90">
        <v>120159853000</v>
      </c>
      <c r="K139" s="90">
        <v>116199366000</v>
      </c>
      <c r="L139" s="90"/>
      <c r="M139" s="90"/>
      <c r="N139" s="90"/>
    </row>
    <row r="140" spans="2:14">
      <c r="B140" s="86" t="s">
        <v>369</v>
      </c>
      <c r="C140" s="91">
        <v>-68213519000</v>
      </c>
      <c r="D140" s="93">
        <v>-55307550000</v>
      </c>
      <c r="E140" s="93">
        <v>-68296201000</v>
      </c>
      <c r="F140" s="66">
        <v>-124026650000</v>
      </c>
      <c r="G140" s="93">
        <v>-37561084000</v>
      </c>
      <c r="H140" s="66">
        <v>-23755540000</v>
      </c>
      <c r="I140" s="66">
        <v>-167991469000</v>
      </c>
      <c r="J140" s="66">
        <v>6936198000</v>
      </c>
      <c r="K140" s="66">
        <v>-34723805000</v>
      </c>
      <c r="L140" s="66"/>
      <c r="M140" s="66"/>
      <c r="N140" s="66"/>
    </row>
    <row r="141" spans="2:14">
      <c r="B141" s="85" t="s">
        <v>370</v>
      </c>
      <c r="C141" s="93">
        <v>-62618840000</v>
      </c>
      <c r="D141" s="93">
        <v>-50484260000</v>
      </c>
      <c r="E141" s="93">
        <v>-69269852000</v>
      </c>
      <c r="F141" s="93">
        <v>-54259543000</v>
      </c>
      <c r="G141" s="93">
        <v>-53952734000</v>
      </c>
      <c r="H141" s="93">
        <v>-75310442000</v>
      </c>
      <c r="I141" s="93">
        <v>-78698767000</v>
      </c>
      <c r="J141" s="93">
        <v>-69420648000</v>
      </c>
      <c r="K141" s="93">
        <v>-47684920000</v>
      </c>
      <c r="L141" s="93"/>
      <c r="M141" s="93"/>
      <c r="N141" s="93"/>
    </row>
    <row r="142" spans="2:14">
      <c r="B142" s="86" t="s">
        <v>372</v>
      </c>
      <c r="C142" s="120">
        <v>-15269964000</v>
      </c>
      <c r="D142" s="120">
        <v>-59417394000</v>
      </c>
      <c r="E142" s="64">
        <v>-27422041000</v>
      </c>
      <c r="F142" s="120">
        <v>4085097000</v>
      </c>
      <c r="G142" s="120">
        <v>-106969018000</v>
      </c>
      <c r="H142" s="120">
        <v>-55517248000</v>
      </c>
      <c r="I142" s="120">
        <v>36578755000</v>
      </c>
      <c r="J142" s="120">
        <v>-130313235000</v>
      </c>
      <c r="K142" s="120">
        <v>32330311000</v>
      </c>
      <c r="L142" s="120"/>
      <c r="M142" s="120"/>
      <c r="N142" s="120"/>
    </row>
    <row r="143" spans="2:14">
      <c r="B143" s="85" t="s">
        <v>373</v>
      </c>
      <c r="C143" s="93">
        <v>-29952850000</v>
      </c>
      <c r="D143" s="93">
        <v>-30951277000</v>
      </c>
      <c r="E143" s="66">
        <v>-44929272000</v>
      </c>
      <c r="F143" s="93">
        <v>-25959134000</v>
      </c>
      <c r="G143" s="93">
        <v>-70389194000</v>
      </c>
      <c r="H143" s="93">
        <v>-50919844000</v>
      </c>
      <c r="I143" s="93">
        <v>-39937133000</v>
      </c>
      <c r="J143" s="93">
        <v>-51918271000</v>
      </c>
      <c r="K143" s="93">
        <v>-32948133000</v>
      </c>
      <c r="L143" s="93"/>
      <c r="M143" s="93"/>
      <c r="N143" s="93"/>
    </row>
    <row r="144" spans="2:14">
      <c r="B144" s="85" t="s">
        <v>437</v>
      </c>
      <c r="C144" s="93">
        <v>-9544147000</v>
      </c>
      <c r="D144" s="93">
        <v>-11208200000</v>
      </c>
      <c r="E144" s="66">
        <v>-11326547000</v>
      </c>
      <c r="F144" s="93">
        <v>-13223419000</v>
      </c>
      <c r="G144" s="93">
        <v>-12493904000</v>
      </c>
      <c r="H144" s="93">
        <v>-14921127000</v>
      </c>
      <c r="I144" s="93">
        <v>-15684175000</v>
      </c>
      <c r="J144" s="93">
        <v>-16902772000</v>
      </c>
      <c r="K144" s="93">
        <v>-16484902000</v>
      </c>
      <c r="L144" s="93"/>
      <c r="M144" s="93"/>
      <c r="N144" s="93"/>
    </row>
    <row r="145" spans="2:14">
      <c r="B145" s="86" t="s">
        <v>375</v>
      </c>
      <c r="C145" s="64">
        <v>72143020000</v>
      </c>
      <c r="D145" s="64">
        <v>58779300000</v>
      </c>
      <c r="E145" s="64">
        <v>67376852000</v>
      </c>
      <c r="F145" s="64">
        <v>61267008000</v>
      </c>
      <c r="G145" s="64">
        <v>61641406000</v>
      </c>
      <c r="H145" s="64">
        <v>87653229000</v>
      </c>
      <c r="I145" s="64">
        <v>83718776000</v>
      </c>
      <c r="J145" s="64">
        <v>92557622000</v>
      </c>
      <c r="K145" s="64">
        <v>140482273000</v>
      </c>
      <c r="L145" s="64"/>
      <c r="M145" s="64"/>
      <c r="N145" s="64"/>
    </row>
    <row r="146" spans="2:14">
      <c r="B146" s="85"/>
      <c r="C146" s="66"/>
      <c r="D146" s="66"/>
      <c r="E146" s="66"/>
      <c r="F146" s="66"/>
      <c r="G146" s="66"/>
      <c r="H146" s="66"/>
      <c r="I146" s="66"/>
      <c r="J146" s="66"/>
      <c r="K146" s="66"/>
      <c r="L146" s="66"/>
      <c r="M146" s="66"/>
      <c r="N146" s="66"/>
    </row>
    <row r="147" spans="2:14">
      <c r="B147" s="84" t="s">
        <v>376</v>
      </c>
      <c r="C147" s="131">
        <f t="shared" ref="C147:G147" si="53">+C139+C141+C144</f>
        <v>16821065000</v>
      </c>
      <c r="D147" s="131">
        <f t="shared" si="53"/>
        <v>34194779000</v>
      </c>
      <c r="E147" s="131">
        <f t="shared" si="53"/>
        <v>22441929000</v>
      </c>
      <c r="F147" s="131">
        <f t="shared" si="53"/>
        <v>49628157000</v>
      </c>
      <c r="G147" s="131">
        <f t="shared" si="53"/>
        <v>74254938000</v>
      </c>
      <c r="H147" s="131">
        <f>+H139+H141+H144</f>
        <v>13787262000</v>
      </c>
      <c r="I147" s="131">
        <f>+I139+I141+I144</f>
        <v>28400408000</v>
      </c>
      <c r="J147" s="131">
        <f>+J139+J141+J144</f>
        <v>33836433000</v>
      </c>
      <c r="K147" s="131">
        <f>+K139+K141+K144</f>
        <v>52029544000</v>
      </c>
      <c r="L147" s="131"/>
      <c r="M147" s="131"/>
      <c r="N147" s="131"/>
    </row>
  </sheetData>
  <conditionalFormatting sqref="C67:H73 D74:H74 C75:H107">
    <cfRule type="cellIs" dxfId="168" priority="22" operator="lessThan">
      <formula>0</formula>
    </cfRule>
  </conditionalFormatting>
  <conditionalFormatting sqref="C118:N135">
    <cfRule type="cellIs" dxfId="167" priority="2" operator="lessThan">
      <formula>0</formula>
    </cfRule>
  </conditionalFormatting>
  <conditionalFormatting sqref="C139:N147">
    <cfRule type="cellIs" dxfId="166" priority="1" operator="lessThan">
      <formula>0</formula>
    </cfRule>
  </conditionalFormatting>
  <conditionalFormatting sqref="I67:N107 C109:N114">
    <cfRule type="cellIs" dxfId="165" priority="3" operator="lessThan">
      <formula>0</formula>
    </cfRule>
  </conditionalFormatting>
  <pageMargins left="0.7" right="0.7" top="0.75" bottom="0.75" header="0.3" footer="0.3"/>
  <pageSetup paperSize="9" orientation="portrait"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94670-4BDB-4369-9FBB-6D5520F55B9C}">
  <dimension ref="B2:P147"/>
  <sheetViews>
    <sheetView zoomScale="70" zoomScaleNormal="70" workbookViewId="0">
      <pane xSplit="2" ySplit="6" topLeftCell="G12" activePane="bottomRight" state="frozen"/>
      <selection pane="bottomRight" activeCell="G44" sqref="G44"/>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6" width="33.28515625" customWidth="1"/>
    <col min="7" max="7" width="36.28515625" customWidth="1"/>
    <col min="8" max="8" width="35.7109375" customWidth="1"/>
    <col min="9" max="9" width="31.7109375" customWidth="1"/>
    <col min="10" max="14" width="25.42578125" bestFit="1" customWidth="1"/>
  </cols>
  <sheetData>
    <row r="2" spans="2:14" ht="21">
      <c r="B2" s="313">
        <f ca="1">TODAY()-1</f>
        <v>46105</v>
      </c>
      <c r="C2" s="314"/>
      <c r="D2" s="344" t="s">
        <v>518</v>
      </c>
      <c r="E2" s="345" t="s">
        <v>266</v>
      </c>
    </row>
    <row r="3" spans="2:14" ht="25.5">
      <c r="B3" s="376" cm="1">
        <f t="array" aca="1" ref="B3" ca="1">_FV(B6,"Precio")</f>
        <v>77.5</v>
      </c>
      <c r="C3" s="316"/>
      <c r="D3" s="365">
        <f>AVERAGE(G48:I48)</f>
        <v>1.1806666666666665</v>
      </c>
      <c r="E3" s="365">
        <f>AVERAGE(G47:I47)</f>
        <v>1.5473333333333334</v>
      </c>
    </row>
    <row r="4" spans="2:14" ht="28.5">
      <c r="B4" s="319"/>
      <c r="C4" s="320"/>
      <c r="D4" s="328"/>
      <c r="E4" s="328"/>
    </row>
    <row r="5" spans="2:14" ht="21">
      <c r="B5" s="1" t="s">
        <v>713</v>
      </c>
    </row>
    <row r="6" spans="2:14" ht="33.4">
      <c r="B6" s="3" t="e" vm="29">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+C64</f>
        <v>0</v>
      </c>
      <c r="D7" s="5">
        <f t="shared" ref="D7:I7" si="0">+D64</f>
        <v>6383986000</v>
      </c>
      <c r="E7" s="5">
        <f t="shared" si="0"/>
        <v>6581254000</v>
      </c>
      <c r="F7" s="5">
        <f t="shared" si="0"/>
        <v>6179256000</v>
      </c>
      <c r="G7" s="5">
        <f t="shared" si="0"/>
        <v>7062479000</v>
      </c>
      <c r="H7" s="5">
        <f t="shared" si="0"/>
        <v>7763830000</v>
      </c>
      <c r="I7" s="5">
        <f t="shared" si="0"/>
        <v>10319549000</v>
      </c>
      <c r="J7" s="5">
        <f t="shared" ref="J7:N7" si="1">+J64</f>
        <v>0</v>
      </c>
      <c r="K7" s="5">
        <f t="shared" si="1"/>
        <v>0</v>
      </c>
      <c r="L7" s="5">
        <f t="shared" si="1"/>
        <v>0</v>
      </c>
      <c r="M7" s="5">
        <f t="shared" si="1"/>
        <v>0</v>
      </c>
      <c r="N7" s="5">
        <f t="shared" si="1"/>
        <v>0</v>
      </c>
    </row>
    <row r="8" spans="2:14" ht="25.5">
      <c r="B8" s="146" t="s">
        <v>377</v>
      </c>
      <c r="C8" s="147">
        <f>+C68</f>
        <v>0</v>
      </c>
      <c r="D8" s="147">
        <f t="shared" ref="D8:I8" si="2">+D68</f>
        <v>3551022000</v>
      </c>
      <c r="E8" s="147">
        <f t="shared" si="2"/>
        <v>3504457000</v>
      </c>
      <c r="F8" s="147">
        <f t="shared" si="2"/>
        <v>3234935000</v>
      </c>
      <c r="G8" s="147">
        <f t="shared" si="2"/>
        <v>3711141000</v>
      </c>
      <c r="H8" s="147">
        <f t="shared" si="2"/>
        <v>4434832000</v>
      </c>
      <c r="I8" s="147">
        <f t="shared" si="2"/>
        <v>3033039000</v>
      </c>
      <c r="J8" s="147">
        <f t="shared" ref="J8:N8" si="3">+J68</f>
        <v>0</v>
      </c>
      <c r="K8" s="147">
        <f t="shared" si="3"/>
        <v>0</v>
      </c>
      <c r="L8" s="147">
        <f t="shared" si="3"/>
        <v>0</v>
      </c>
      <c r="M8" s="147">
        <f t="shared" si="3"/>
        <v>0</v>
      </c>
      <c r="N8" s="147">
        <f t="shared" si="3"/>
        <v>0</v>
      </c>
    </row>
    <row r="9" spans="2:14" ht="25.5">
      <c r="B9" s="146" t="s">
        <v>378</v>
      </c>
      <c r="C9" s="147">
        <f>+C70</f>
        <v>0</v>
      </c>
      <c r="D9" s="147">
        <f t="shared" ref="D9:I9" si="4">+D70</f>
        <v>339398000</v>
      </c>
      <c r="E9" s="147">
        <f t="shared" si="4"/>
        <v>396239000</v>
      </c>
      <c r="F9" s="147">
        <f t="shared" si="4"/>
        <v>471433000</v>
      </c>
      <c r="G9" s="147">
        <f t="shared" si="4"/>
        <v>538276000</v>
      </c>
      <c r="H9" s="147">
        <f t="shared" si="4"/>
        <v>547447000</v>
      </c>
      <c r="I9" s="147">
        <f t="shared" si="4"/>
        <v>497890000</v>
      </c>
      <c r="J9" s="147">
        <f t="shared" ref="J9:N9" si="5">+J70</f>
        <v>0</v>
      </c>
      <c r="K9" s="147">
        <f t="shared" si="5"/>
        <v>0</v>
      </c>
      <c r="L9" s="147">
        <f t="shared" si="5"/>
        <v>0</v>
      </c>
      <c r="M9" s="147">
        <f t="shared" si="5"/>
        <v>0</v>
      </c>
      <c r="N9" s="147">
        <f t="shared" si="5"/>
        <v>0</v>
      </c>
    </row>
    <row r="10" spans="2:14" ht="25.5">
      <c r="B10" s="4" t="s">
        <v>379</v>
      </c>
      <c r="C10" s="5">
        <f>+C73</f>
        <v>0</v>
      </c>
      <c r="D10" s="5">
        <f t="shared" ref="D10:I10" si="6">+D73</f>
        <v>21012370000</v>
      </c>
      <c r="E10" s="5">
        <f t="shared" si="6"/>
        <v>23195130000</v>
      </c>
      <c r="F10" s="5">
        <f t="shared" si="6"/>
        <v>20754302000</v>
      </c>
      <c r="G10" s="5">
        <f t="shared" si="6"/>
        <v>27896459000</v>
      </c>
      <c r="H10" s="5">
        <f t="shared" si="6"/>
        <v>27009817000</v>
      </c>
      <c r="I10" s="5">
        <f t="shared" si="6"/>
        <v>26535221000</v>
      </c>
      <c r="J10" s="5">
        <f t="shared" ref="J10:N10" si="7">+J73</f>
        <v>0</v>
      </c>
      <c r="K10" s="5">
        <f t="shared" si="7"/>
        <v>0</v>
      </c>
      <c r="L10" s="5">
        <f t="shared" si="7"/>
        <v>0</v>
      </c>
      <c r="M10" s="5">
        <f t="shared" si="7"/>
        <v>0</v>
      </c>
      <c r="N10" s="5">
        <f t="shared" si="7"/>
        <v>0</v>
      </c>
    </row>
    <row r="11" spans="2:14" ht="25.5">
      <c r="B11" s="8" t="s">
        <v>272</v>
      </c>
      <c r="C11" s="9">
        <f>+C10+C7</f>
        <v>0</v>
      </c>
      <c r="D11" s="9">
        <f t="shared" ref="D11:I11" si="8">+D10+D7</f>
        <v>27396356000</v>
      </c>
      <c r="E11" s="9">
        <f t="shared" si="8"/>
        <v>29776384000</v>
      </c>
      <c r="F11" s="9">
        <f t="shared" si="8"/>
        <v>26933558000</v>
      </c>
      <c r="G11" s="9">
        <f t="shared" si="8"/>
        <v>34958938000</v>
      </c>
      <c r="H11" s="9">
        <f t="shared" si="8"/>
        <v>34773647000</v>
      </c>
      <c r="I11" s="9">
        <f t="shared" si="8"/>
        <v>36854770000</v>
      </c>
      <c r="J11" s="9">
        <f t="shared" ref="J11:N11" si="9">+J10+J7</f>
        <v>0</v>
      </c>
      <c r="K11" s="9">
        <f t="shared" si="9"/>
        <v>0</v>
      </c>
      <c r="L11" s="9">
        <f t="shared" si="9"/>
        <v>0</v>
      </c>
      <c r="M11" s="9">
        <f t="shared" si="9"/>
        <v>0</v>
      </c>
      <c r="N11" s="9">
        <f t="shared" si="9"/>
        <v>0</v>
      </c>
    </row>
    <row r="12" spans="2:14" ht="25.5">
      <c r="B12" s="10" t="s">
        <v>273</v>
      </c>
      <c r="C12" s="11">
        <f>+C87</f>
        <v>0</v>
      </c>
      <c r="D12" s="11">
        <f t="shared" ref="D12:I12" si="10">+D87</f>
        <v>9650756000</v>
      </c>
      <c r="E12" s="11">
        <f t="shared" si="10"/>
        <v>6735932000</v>
      </c>
      <c r="F12" s="11">
        <f t="shared" si="10"/>
        <v>7277222000</v>
      </c>
      <c r="G12" s="11">
        <f t="shared" si="10"/>
        <v>7795534000</v>
      </c>
      <c r="H12" s="11">
        <f t="shared" si="10"/>
        <v>7926972000</v>
      </c>
      <c r="I12" s="11">
        <f t="shared" si="10"/>
        <v>9727420000</v>
      </c>
      <c r="J12" s="11">
        <f t="shared" ref="J12:N12" si="11">+J87</f>
        <v>0</v>
      </c>
      <c r="K12" s="11">
        <f t="shared" si="11"/>
        <v>0</v>
      </c>
      <c r="L12" s="11">
        <f t="shared" si="11"/>
        <v>0</v>
      </c>
      <c r="M12" s="11">
        <f t="shared" si="11"/>
        <v>0</v>
      </c>
      <c r="N12" s="11">
        <f t="shared" si="11"/>
        <v>0</v>
      </c>
    </row>
    <row r="13" spans="2:14" ht="25.5">
      <c r="B13" s="10" t="s">
        <v>274</v>
      </c>
      <c r="C13" s="11">
        <f>+C97</f>
        <v>0</v>
      </c>
      <c r="D13" s="11">
        <f t="shared" ref="D13:I13" si="12">+D97</f>
        <v>8913700000</v>
      </c>
      <c r="E13" s="11">
        <f t="shared" si="12"/>
        <v>10794266000</v>
      </c>
      <c r="F13" s="11">
        <f t="shared" si="12"/>
        <v>9322673000</v>
      </c>
      <c r="G13" s="11">
        <f t="shared" si="12"/>
        <v>12133311000</v>
      </c>
      <c r="H13" s="11">
        <f t="shared" si="12"/>
        <v>11399557000</v>
      </c>
      <c r="I13" s="11">
        <f t="shared" si="12"/>
        <v>10106465000</v>
      </c>
      <c r="J13" s="11">
        <f t="shared" ref="J13:N13" si="13">+J97</f>
        <v>0</v>
      </c>
      <c r="K13" s="11">
        <f t="shared" si="13"/>
        <v>0</v>
      </c>
      <c r="L13" s="11">
        <f t="shared" si="13"/>
        <v>0</v>
      </c>
      <c r="M13" s="11">
        <f t="shared" si="13"/>
        <v>0</v>
      </c>
      <c r="N13" s="11">
        <f t="shared" si="13"/>
        <v>0</v>
      </c>
    </row>
    <row r="14" spans="2:14" ht="25.5">
      <c r="B14" s="12" t="s">
        <v>275</v>
      </c>
      <c r="C14" s="13">
        <f>+C12+C13</f>
        <v>0</v>
      </c>
      <c r="D14" s="13">
        <f t="shared" ref="D14:I14" si="14">+D12+D13</f>
        <v>18564456000</v>
      </c>
      <c r="E14" s="13">
        <f t="shared" si="14"/>
        <v>17530198000</v>
      </c>
      <c r="F14" s="13">
        <f t="shared" si="14"/>
        <v>16599895000</v>
      </c>
      <c r="G14" s="13">
        <f t="shared" si="14"/>
        <v>19928845000</v>
      </c>
      <c r="H14" s="13">
        <f t="shared" si="14"/>
        <v>19326529000</v>
      </c>
      <c r="I14" s="13">
        <f t="shared" si="14"/>
        <v>19833885000</v>
      </c>
      <c r="J14" s="13">
        <f t="shared" ref="J14:N14" si="15">+J12+J13</f>
        <v>0</v>
      </c>
      <c r="K14" s="13">
        <f t="shared" si="15"/>
        <v>0</v>
      </c>
      <c r="L14" s="13">
        <f t="shared" si="15"/>
        <v>0</v>
      </c>
      <c r="M14" s="13">
        <f t="shared" si="15"/>
        <v>0</v>
      </c>
      <c r="N14" s="13">
        <f t="shared" si="15"/>
        <v>0</v>
      </c>
    </row>
    <row r="15" spans="2:14" ht="25.5">
      <c r="B15" s="14" t="s">
        <v>276</v>
      </c>
      <c r="C15" s="15">
        <f>+C110</f>
        <v>0</v>
      </c>
      <c r="D15" s="15">
        <f t="shared" ref="D15:I15" si="16">+D110</f>
        <v>6724008000</v>
      </c>
      <c r="E15" s="15">
        <f t="shared" si="16"/>
        <v>9966287000</v>
      </c>
      <c r="F15" s="15">
        <f t="shared" si="16"/>
        <v>8105859000</v>
      </c>
      <c r="G15" s="15">
        <f t="shared" si="16"/>
        <v>12832657000</v>
      </c>
      <c r="H15" s="15">
        <f t="shared" si="16"/>
        <v>12956878000</v>
      </c>
      <c r="I15" s="15">
        <f t="shared" si="16"/>
        <v>14504637000</v>
      </c>
      <c r="J15" s="15">
        <f t="shared" ref="J15:N15" si="17">+J110</f>
        <v>0</v>
      </c>
      <c r="K15" s="15">
        <f t="shared" si="17"/>
        <v>0</v>
      </c>
      <c r="L15" s="15">
        <f t="shared" si="17"/>
        <v>0</v>
      </c>
      <c r="M15" s="15">
        <f t="shared" si="17"/>
        <v>0</v>
      </c>
      <c r="N15" s="15">
        <f t="shared" si="17"/>
        <v>0</v>
      </c>
    </row>
    <row r="16" spans="2:14" ht="25.5">
      <c r="B16" s="79" t="s">
        <v>278</v>
      </c>
      <c r="C16" s="180"/>
      <c r="D16" s="180">
        <v>57452641516</v>
      </c>
      <c r="E16" s="523">
        <v>76086311036</v>
      </c>
      <c r="F16" s="180">
        <v>76086311036</v>
      </c>
      <c r="G16" s="523">
        <v>107281698561</v>
      </c>
      <c r="H16" s="180">
        <v>107281698561</v>
      </c>
      <c r="I16" s="180">
        <v>107279889530</v>
      </c>
      <c r="J16" s="180"/>
      <c r="K16" s="180"/>
      <c r="L16" s="180"/>
      <c r="M16" s="180"/>
      <c r="N16" s="180"/>
    </row>
    <row r="18" spans="2:14" ht="25.5">
      <c r="B18" s="18" t="s">
        <v>714</v>
      </c>
      <c r="C18" s="19" t="e">
        <f t="shared" ref="C18:I18" si="18">(C15/C16)</f>
        <v>#DIV/0!</v>
      </c>
      <c r="D18" s="19">
        <f t="shared" si="18"/>
        <v>0.11703566315793207</v>
      </c>
      <c r="E18" s="19">
        <f t="shared" si="18"/>
        <v>0.13098659751403222</v>
      </c>
      <c r="F18" s="19">
        <f t="shared" si="18"/>
        <v>0.10653505065010628</v>
      </c>
      <c r="G18" s="19">
        <f t="shared" si="18"/>
        <v>0.11961645995661968</v>
      </c>
      <c r="H18" s="19">
        <f t="shared" si="18"/>
        <v>0.12077435549394069</v>
      </c>
      <c r="I18" s="19">
        <f t="shared" si="18"/>
        <v>0.13520369067814791</v>
      </c>
      <c r="J18" s="19" t="e">
        <f t="shared" ref="J18:N18" si="19">(J15/J16)</f>
        <v>#DIV/0!</v>
      </c>
      <c r="K18" s="19" t="e">
        <f t="shared" si="19"/>
        <v>#DIV/0!</v>
      </c>
      <c r="L18" s="19" t="e">
        <f t="shared" si="19"/>
        <v>#DIV/0!</v>
      </c>
      <c r="M18" s="19" t="e">
        <f t="shared" si="19"/>
        <v>#DIV/0!</v>
      </c>
      <c r="N18" s="19" t="e">
        <f t="shared" si="19"/>
        <v>#DIV/0!</v>
      </c>
    </row>
    <row r="19" spans="2:14" ht="25.5">
      <c r="B19" s="18" t="s">
        <v>715</v>
      </c>
      <c r="C19" s="19" t="e">
        <f t="shared" ref="C19:N19" si="20">+C18*C43</f>
        <v>#DIV/0!</v>
      </c>
      <c r="D19" s="19">
        <f t="shared" si="20"/>
        <v>79.584250947393812</v>
      </c>
      <c r="E19" s="19">
        <f t="shared" si="20"/>
        <v>90.904698674738356</v>
      </c>
      <c r="F19" s="19">
        <f t="shared" si="20"/>
        <v>81.392778696681205</v>
      </c>
      <c r="G19" s="19">
        <f t="shared" si="20"/>
        <v>101.91322388303996</v>
      </c>
      <c r="H19" s="19">
        <f t="shared" si="20"/>
        <v>102.44684704773519</v>
      </c>
      <c r="I19" s="19">
        <f t="shared" si="20"/>
        <v>119.59983273698286</v>
      </c>
      <c r="J19" s="19" t="e">
        <f t="shared" si="20"/>
        <v>#DIV/0!</v>
      </c>
      <c r="K19" s="19" t="e">
        <f t="shared" si="20"/>
        <v>#DIV/0!</v>
      </c>
      <c r="L19" s="19" t="e">
        <f t="shared" si="20"/>
        <v>#DIV/0!</v>
      </c>
      <c r="M19" s="19" t="e">
        <f t="shared" si="20"/>
        <v>#DIV/0!</v>
      </c>
      <c r="N19" s="19" t="e">
        <f t="shared" si="20"/>
        <v>#DIV/0!</v>
      </c>
    </row>
    <row r="20" spans="2:14" ht="25.5">
      <c r="B20" s="76" t="s">
        <v>282</v>
      </c>
      <c r="C20" s="77">
        <v>137</v>
      </c>
      <c r="D20" s="77">
        <v>122.5</v>
      </c>
      <c r="E20" s="77">
        <v>167</v>
      </c>
      <c r="F20" s="77">
        <v>116</v>
      </c>
      <c r="G20" s="77">
        <v>93</v>
      </c>
      <c r="H20" s="101">
        <v>113.66</v>
      </c>
      <c r="I20" s="101">
        <v>97.5</v>
      </c>
      <c r="J20" s="101"/>
      <c r="K20" s="101"/>
      <c r="L20" s="101"/>
      <c r="M20" s="101"/>
      <c r="N20" s="101"/>
    </row>
    <row r="21" spans="2:14" ht="25.5">
      <c r="B21" s="18" t="s">
        <v>283</v>
      </c>
      <c r="C21" s="22" t="e">
        <f>+C20/C41</f>
        <v>#DIV/0!</v>
      </c>
      <c r="D21" s="22">
        <f t="shared" ref="D21:I21" si="21">+D20/D41</f>
        <v>5858.4409373505496</v>
      </c>
      <c r="E21" s="22">
        <f t="shared" si="21"/>
        <v>6774.8478701825561</v>
      </c>
      <c r="F21" s="22">
        <f t="shared" si="21"/>
        <v>10691.244239631336</v>
      </c>
      <c r="G21" s="22">
        <f t="shared" si="21"/>
        <v>12500</v>
      </c>
      <c r="H21" s="22">
        <f t="shared" si="21"/>
        <v>-277219.51219512196</v>
      </c>
      <c r="I21" s="22">
        <f t="shared" si="21"/>
        <v>12096.774193548388</v>
      </c>
      <c r="J21" s="22" t="e">
        <f t="shared" ref="J21:N21" si="22">+J20/J41</f>
        <v>#DIV/0!</v>
      </c>
      <c r="K21" s="22" t="e">
        <f t="shared" si="22"/>
        <v>#DIV/0!</v>
      </c>
      <c r="L21" s="22" t="e">
        <f t="shared" si="22"/>
        <v>#DIV/0!</v>
      </c>
      <c r="M21" s="22" t="e">
        <f t="shared" si="22"/>
        <v>#DIV/0!</v>
      </c>
      <c r="N21" s="22" t="e">
        <f t="shared" si="22"/>
        <v>#DIV/0!</v>
      </c>
    </row>
    <row r="22" spans="2:14" ht="25.5">
      <c r="B22" s="18" t="s">
        <v>380</v>
      </c>
      <c r="C22" s="22" t="e">
        <f t="shared" ref="C22:I22" si="23">+C20/C18</f>
        <v>#DIV/0!</v>
      </c>
      <c r="D22" s="22">
        <f t="shared" si="23"/>
        <v>1046.6895021109435</v>
      </c>
      <c r="E22" s="22">
        <f t="shared" si="23"/>
        <v>1274.9395981685054</v>
      </c>
      <c r="F22" s="22">
        <f t="shared" si="23"/>
        <v>1088.8435241935492</v>
      </c>
      <c r="G22" s="22">
        <f t="shared" si="23"/>
        <v>777.48497183186612</v>
      </c>
      <c r="H22" s="22">
        <f t="shared" si="23"/>
        <v>941.09382356176081</v>
      </c>
      <c r="I22" s="22">
        <f t="shared" si="23"/>
        <v>721.13416069461107</v>
      </c>
      <c r="J22" s="22" t="e">
        <f t="shared" ref="J22:N22" si="24">+J20/J18</f>
        <v>#DIV/0!</v>
      </c>
      <c r="K22" s="22" t="e">
        <f t="shared" si="24"/>
        <v>#DIV/0!</v>
      </c>
      <c r="L22" s="22" t="e">
        <f t="shared" si="24"/>
        <v>#DIV/0!</v>
      </c>
      <c r="M22" s="22" t="e">
        <f t="shared" si="24"/>
        <v>#DIV/0!</v>
      </c>
      <c r="N22" s="22" t="e">
        <f t="shared" si="24"/>
        <v>#DIV/0!</v>
      </c>
    </row>
    <row r="23" spans="2:14" ht="25.5">
      <c r="B23" s="18" t="s">
        <v>285</v>
      </c>
      <c r="C23" s="22" t="e">
        <f>+C21*C22</f>
        <v>#DIV/0!</v>
      </c>
      <c r="D23" s="22">
        <f t="shared" ref="D23:I23" si="25">+D21*D22</f>
        <v>6131968.6278618164</v>
      </c>
      <c r="E23" s="22">
        <f t="shared" si="25"/>
        <v>8637521.8212633021</v>
      </c>
      <c r="F23" s="22">
        <f t="shared" si="25"/>
        <v>11641092.055894166</v>
      </c>
      <c r="G23" s="22">
        <f t="shared" si="25"/>
        <v>9718562.1478983257</v>
      </c>
      <c r="H23" s="22">
        <f t="shared" si="25"/>
        <v>-260889570.6976335</v>
      </c>
      <c r="I23" s="22">
        <f t="shared" si="25"/>
        <v>8723397.1051767468</v>
      </c>
      <c r="J23" s="22" t="e">
        <f t="shared" ref="J23:N23" si="26">+J21*J22</f>
        <v>#DIV/0!</v>
      </c>
      <c r="K23" s="22" t="e">
        <f t="shared" si="26"/>
        <v>#DIV/0!</v>
      </c>
      <c r="L23" s="22" t="e">
        <f t="shared" si="26"/>
        <v>#DIV/0!</v>
      </c>
      <c r="M23" s="22" t="e">
        <f t="shared" si="26"/>
        <v>#DIV/0!</v>
      </c>
      <c r="N23" s="22" t="e">
        <f t="shared" si="26"/>
        <v>#DIV/0!</v>
      </c>
    </row>
    <row r="24" spans="2:14" ht="25.5">
      <c r="B24" s="23" t="s">
        <v>286</v>
      </c>
      <c r="C24" s="24" t="e">
        <f>IF(C44&lt;10%,0,IF(15%&lt;C44,2,1))</f>
        <v>#DIV/0!</v>
      </c>
      <c r="D24" s="24">
        <f>IF(D44&lt;10%,0,IF(15%&lt;D44,2,1))</f>
        <v>2</v>
      </c>
      <c r="E24" s="24">
        <f t="shared" ref="E24:I24" si="27">IF(E44&lt;10%,0,IF(15%&lt;E44,2,1))</f>
        <v>2</v>
      </c>
      <c r="F24" s="24">
        <f t="shared" si="27"/>
        <v>1</v>
      </c>
      <c r="G24" s="24">
        <f t="shared" si="27"/>
        <v>0</v>
      </c>
      <c r="H24" s="24">
        <f t="shared" si="27"/>
        <v>0</v>
      </c>
      <c r="I24" s="24">
        <f t="shared" si="27"/>
        <v>0</v>
      </c>
      <c r="J24" s="24" t="e">
        <f t="shared" ref="J24:N24" si="28">IF(J44&lt;10%,0,IF(15%&lt;J44,2,1))</f>
        <v>#DIV/0!</v>
      </c>
      <c r="K24" s="24" t="e">
        <f t="shared" si="28"/>
        <v>#DIV/0!</v>
      </c>
      <c r="L24" s="24" t="e">
        <f t="shared" si="28"/>
        <v>#DIV/0!</v>
      </c>
      <c r="M24" s="24" t="e">
        <f t="shared" si="28"/>
        <v>#DIV/0!</v>
      </c>
      <c r="N24" s="24" t="e">
        <f t="shared" si="28"/>
        <v>#DIV/0!</v>
      </c>
    </row>
    <row r="25" spans="2:14" ht="25.5">
      <c r="B25" s="23" t="s">
        <v>287</v>
      </c>
      <c r="C25" s="24" t="e">
        <f>IF(C44&lt;10%,1,IF(15%&lt;C44,2.5,2))</f>
        <v>#DIV/0!</v>
      </c>
      <c r="D25" s="24">
        <f t="shared" ref="D25:I25" si="29">IF(D44&lt;10%,1,IF(15%&lt;D44,2.5,2))</f>
        <v>2.5</v>
      </c>
      <c r="E25" s="24">
        <f t="shared" si="29"/>
        <v>2.5</v>
      </c>
      <c r="F25" s="24">
        <f t="shared" si="29"/>
        <v>2</v>
      </c>
      <c r="G25" s="24">
        <f t="shared" si="29"/>
        <v>1</v>
      </c>
      <c r="H25" s="24">
        <f t="shared" si="29"/>
        <v>1</v>
      </c>
      <c r="I25" s="24">
        <f t="shared" si="29"/>
        <v>1</v>
      </c>
      <c r="J25" s="24" t="e">
        <f t="shared" ref="J25:N25" si="30">IF(J44&lt;10%,1,IF(15%&lt;J44,2.5,2))</f>
        <v>#DIV/0!</v>
      </c>
      <c r="K25" s="24" t="e">
        <f t="shared" si="30"/>
        <v>#DIV/0!</v>
      </c>
      <c r="L25" s="24" t="e">
        <f t="shared" si="30"/>
        <v>#DIV/0!</v>
      </c>
      <c r="M25" s="24" t="e">
        <f t="shared" si="30"/>
        <v>#DIV/0!</v>
      </c>
      <c r="N25" s="24" t="e">
        <f t="shared" si="30"/>
        <v>#DIV/0!</v>
      </c>
    </row>
    <row r="26" spans="2:14" ht="25.5">
      <c r="B26" s="25" t="s">
        <v>288</v>
      </c>
      <c r="C26" s="26" t="e">
        <f t="shared" ref="C26:I26" si="31">+C24*C18</f>
        <v>#DIV/0!</v>
      </c>
      <c r="D26" s="26">
        <f t="shared" si="31"/>
        <v>0.23407132631586414</v>
      </c>
      <c r="E26" s="26">
        <f t="shared" si="31"/>
        <v>0.26197319502806443</v>
      </c>
      <c r="F26" s="26">
        <f t="shared" si="31"/>
        <v>0.10653505065010628</v>
      </c>
      <c r="G26" s="26">
        <f t="shared" si="31"/>
        <v>0</v>
      </c>
      <c r="H26" s="26">
        <f t="shared" si="31"/>
        <v>0</v>
      </c>
      <c r="I26" s="26">
        <f t="shared" si="31"/>
        <v>0</v>
      </c>
      <c r="J26" s="26" t="e">
        <f t="shared" ref="J26:N26" si="32">+J24*J18</f>
        <v>#DIV/0!</v>
      </c>
      <c r="K26" s="26" t="e">
        <f t="shared" si="32"/>
        <v>#DIV/0!</v>
      </c>
      <c r="L26" s="26" t="e">
        <f t="shared" si="32"/>
        <v>#DIV/0!</v>
      </c>
      <c r="M26" s="26" t="e">
        <f t="shared" si="32"/>
        <v>#DIV/0!</v>
      </c>
      <c r="N26" s="26" t="e">
        <f t="shared" si="32"/>
        <v>#DIV/0!</v>
      </c>
    </row>
    <row r="27" spans="2:14" ht="25.5">
      <c r="B27" s="25" t="s">
        <v>289</v>
      </c>
      <c r="C27" s="26" t="e">
        <f>AVERAGE(C26,C28)</f>
        <v>#DIV/0!</v>
      </c>
      <c r="D27" s="26">
        <f t="shared" ref="D27:I27" si="33">AVERAGE(D26,D28)</f>
        <v>0.26333024210534717</v>
      </c>
      <c r="E27" s="26">
        <f t="shared" si="33"/>
        <v>0.29471984440657251</v>
      </c>
      <c r="F27" s="26">
        <f t="shared" si="33"/>
        <v>0.15980257597515943</v>
      </c>
      <c r="G27" s="26">
        <f t="shared" si="33"/>
        <v>5.980822997830984E-2</v>
      </c>
      <c r="H27" s="26">
        <f t="shared" si="33"/>
        <v>6.0387177746970347E-2</v>
      </c>
      <c r="I27" s="26">
        <f t="shared" si="33"/>
        <v>6.7601845339073957E-2</v>
      </c>
      <c r="J27" s="26" t="e">
        <f t="shared" ref="J27:N27" si="34">AVERAGE(J26,J28)</f>
        <v>#DIV/0!</v>
      </c>
      <c r="K27" s="26" t="e">
        <f t="shared" si="34"/>
        <v>#DIV/0!</v>
      </c>
      <c r="L27" s="26" t="e">
        <f t="shared" si="34"/>
        <v>#DIV/0!</v>
      </c>
      <c r="M27" s="26" t="e">
        <f t="shared" si="34"/>
        <v>#DIV/0!</v>
      </c>
      <c r="N27" s="26" t="e">
        <f t="shared" si="34"/>
        <v>#DIV/0!</v>
      </c>
    </row>
    <row r="28" spans="2:14" ht="25.5">
      <c r="B28" s="25" t="s">
        <v>290</v>
      </c>
      <c r="C28" s="26" t="e">
        <f t="shared" ref="C28:I28" si="35">+C18*C25</f>
        <v>#DIV/0!</v>
      </c>
      <c r="D28" s="26">
        <f t="shared" si="35"/>
        <v>0.2925891578948302</v>
      </c>
      <c r="E28" s="26">
        <f t="shared" si="35"/>
        <v>0.32746649378508053</v>
      </c>
      <c r="F28" s="26">
        <f t="shared" si="35"/>
        <v>0.21307010130021256</v>
      </c>
      <c r="G28" s="26">
        <f t="shared" si="35"/>
        <v>0.11961645995661968</v>
      </c>
      <c r="H28" s="26">
        <f t="shared" si="35"/>
        <v>0.12077435549394069</v>
      </c>
      <c r="I28" s="26">
        <f t="shared" si="35"/>
        <v>0.13520369067814791</v>
      </c>
      <c r="J28" s="26" t="e">
        <f t="shared" ref="J28:N28" si="36">+J18*J25</f>
        <v>#DIV/0!</v>
      </c>
      <c r="K28" s="26" t="e">
        <f t="shared" si="36"/>
        <v>#DIV/0!</v>
      </c>
      <c r="L28" s="26" t="e">
        <f t="shared" si="36"/>
        <v>#DIV/0!</v>
      </c>
      <c r="M28" s="26" t="e">
        <f t="shared" si="36"/>
        <v>#DIV/0!</v>
      </c>
      <c r="N28" s="26" t="e">
        <f t="shared" si="36"/>
        <v>#DIV/0!</v>
      </c>
    </row>
    <row r="30" spans="2:14" ht="25.5">
      <c r="B30" s="243" t="s">
        <v>291</v>
      </c>
      <c r="C30" s="81">
        <f t="shared" ref="C30:I30" si="37">C7-C12</f>
        <v>0</v>
      </c>
      <c r="D30" s="81">
        <f t="shared" si="37"/>
        <v>-3266770000</v>
      </c>
      <c r="E30" s="81">
        <f t="shared" si="37"/>
        <v>-154678000</v>
      </c>
      <c r="F30" s="81">
        <f t="shared" si="37"/>
        <v>-1097966000</v>
      </c>
      <c r="G30" s="81">
        <f t="shared" si="37"/>
        <v>-733055000</v>
      </c>
      <c r="H30" s="81">
        <f t="shared" si="37"/>
        <v>-163142000</v>
      </c>
      <c r="I30" s="81">
        <f t="shared" si="37"/>
        <v>592129000</v>
      </c>
      <c r="J30" s="81">
        <f t="shared" ref="J30:N30" si="38">J7-J12</f>
        <v>0</v>
      </c>
      <c r="K30" s="81">
        <f t="shared" si="38"/>
        <v>0</v>
      </c>
      <c r="L30" s="81">
        <f t="shared" si="38"/>
        <v>0</v>
      </c>
      <c r="M30" s="81">
        <f t="shared" si="38"/>
        <v>0</v>
      </c>
      <c r="N30" s="81">
        <f t="shared" si="38"/>
        <v>0</v>
      </c>
    </row>
    <row r="31" spans="2:14" ht="25.5">
      <c r="B31" s="30" t="s">
        <v>149</v>
      </c>
      <c r="C31" s="241" t="e">
        <f t="shared" ref="C31:I31" si="39">C7/C12</f>
        <v>#DIV/0!</v>
      </c>
      <c r="D31" s="241">
        <f t="shared" si="39"/>
        <v>0.66150113006690869</v>
      </c>
      <c r="E31" s="241">
        <f t="shared" si="39"/>
        <v>0.97703688220130491</v>
      </c>
      <c r="F31" s="241">
        <f t="shared" si="39"/>
        <v>0.84912292080686835</v>
      </c>
      <c r="G31" s="241">
        <f t="shared" si="39"/>
        <v>0.90596474853422482</v>
      </c>
      <c r="H31" s="242">
        <f t="shared" si="39"/>
        <v>0.97941937980858262</v>
      </c>
      <c r="I31" s="242">
        <f t="shared" si="39"/>
        <v>1.0608721531505785</v>
      </c>
      <c r="J31" s="242" t="e">
        <f t="shared" ref="J31:N31" si="40">J7/J12</f>
        <v>#DIV/0!</v>
      </c>
      <c r="K31" s="242" t="e">
        <f t="shared" si="40"/>
        <v>#DIV/0!</v>
      </c>
      <c r="L31" s="242" t="e">
        <f t="shared" si="40"/>
        <v>#DIV/0!</v>
      </c>
      <c r="M31" s="242" t="e">
        <f t="shared" si="40"/>
        <v>#DIV/0!</v>
      </c>
      <c r="N31" s="242" t="e">
        <f t="shared" si="40"/>
        <v>#DIV/0!</v>
      </c>
    </row>
    <row r="32" spans="2:14" ht="25.5">
      <c r="B32" s="30" t="s">
        <v>292</v>
      </c>
      <c r="C32" s="241" t="e">
        <f t="shared" ref="C32:I32" si="41">+(C7-C9)/C12</f>
        <v>#DIV/0!</v>
      </c>
      <c r="D32" s="241">
        <f t="shared" si="41"/>
        <v>0.62633310799692787</v>
      </c>
      <c r="E32" s="241">
        <f t="shared" si="41"/>
        <v>0.91821220879308163</v>
      </c>
      <c r="F32" s="241">
        <f t="shared" si="41"/>
        <v>0.78434092020279167</v>
      </c>
      <c r="G32" s="241">
        <f t="shared" si="41"/>
        <v>0.8369154698061736</v>
      </c>
      <c r="H32" s="241">
        <f t="shared" si="41"/>
        <v>0.91035807872161023</v>
      </c>
      <c r="I32" s="241">
        <f t="shared" si="41"/>
        <v>1.0096879748175775</v>
      </c>
      <c r="J32" s="241" t="e">
        <f t="shared" ref="J32:N32" si="42">+(J7-J9)/J12</f>
        <v>#DIV/0!</v>
      </c>
      <c r="K32" s="241" t="e">
        <f t="shared" si="42"/>
        <v>#DIV/0!</v>
      </c>
      <c r="L32" s="241" t="e">
        <f t="shared" si="42"/>
        <v>#DIV/0!</v>
      </c>
      <c r="M32" s="241" t="e">
        <f t="shared" si="42"/>
        <v>#DIV/0!</v>
      </c>
      <c r="N32" s="241" t="e">
        <f t="shared" si="42"/>
        <v>#DIV/0!</v>
      </c>
    </row>
    <row r="33" spans="2:14" ht="25.5">
      <c r="B33" s="32" t="s">
        <v>153</v>
      </c>
      <c r="C33" s="33" t="e">
        <f t="shared" ref="C33:I33" si="43">C14/C11</f>
        <v>#DIV/0!</v>
      </c>
      <c r="D33" s="33">
        <f t="shared" si="43"/>
        <v>0.67762500969106987</v>
      </c>
      <c r="E33" s="33">
        <f t="shared" si="43"/>
        <v>0.58872823510067573</v>
      </c>
      <c r="F33" s="33">
        <f t="shared" si="43"/>
        <v>0.61632759400002035</v>
      </c>
      <c r="G33" s="33">
        <f t="shared" si="43"/>
        <v>0.57006437094856832</v>
      </c>
      <c r="H33" s="33">
        <f t="shared" si="43"/>
        <v>0.55578090500544852</v>
      </c>
      <c r="I33" s="33">
        <f t="shared" si="43"/>
        <v>0.53816330966113746</v>
      </c>
      <c r="J33" s="33" t="e">
        <f t="shared" ref="J33:N33" si="44">J14/J11</f>
        <v>#DIV/0!</v>
      </c>
      <c r="K33" s="33" t="e">
        <f t="shared" si="44"/>
        <v>#DIV/0!</v>
      </c>
      <c r="L33" s="33" t="e">
        <f t="shared" si="44"/>
        <v>#DIV/0!</v>
      </c>
      <c r="M33" s="33" t="e">
        <f t="shared" si="44"/>
        <v>#DIV/0!</v>
      </c>
      <c r="N33" s="33" t="e">
        <f t="shared" si="44"/>
        <v>#DIV/0!</v>
      </c>
    </row>
    <row r="36" spans="2:14" ht="25.5">
      <c r="B36" s="35" t="s">
        <v>293</v>
      </c>
      <c r="C36" s="36">
        <f>+C115</f>
        <v>0</v>
      </c>
      <c r="D36" s="36">
        <f t="shared" ref="D36:I36" si="45">+D115</f>
        <v>11924761000</v>
      </c>
      <c r="E36" s="36">
        <f t="shared" si="45"/>
        <v>13053376000</v>
      </c>
      <c r="F36" s="36">
        <f t="shared" si="45"/>
        <v>11238976000</v>
      </c>
      <c r="G36" s="36">
        <f t="shared" si="45"/>
        <v>13230278000</v>
      </c>
      <c r="H36" s="36">
        <f t="shared" si="45"/>
        <v>12040111000</v>
      </c>
      <c r="I36" s="36">
        <f t="shared" si="45"/>
        <v>11768430000</v>
      </c>
      <c r="J36" s="36">
        <f t="shared" ref="J36:N36" si="46">+J115</f>
        <v>0</v>
      </c>
      <c r="K36" s="36">
        <f t="shared" si="46"/>
        <v>0</v>
      </c>
      <c r="L36" s="36">
        <f t="shared" si="46"/>
        <v>0</v>
      </c>
      <c r="M36" s="36">
        <f t="shared" si="46"/>
        <v>0</v>
      </c>
      <c r="N36" s="36">
        <f t="shared" si="46"/>
        <v>0</v>
      </c>
    </row>
    <row r="37" spans="2:14" ht="25.5">
      <c r="B37" s="39" t="s">
        <v>156</v>
      </c>
      <c r="C37" s="40">
        <f>+C123</f>
        <v>0</v>
      </c>
      <c r="D37" s="40">
        <f t="shared" ref="D37:I37" si="47">+D123</f>
        <v>2434520000</v>
      </c>
      <c r="E37" s="40">
        <f t="shared" si="47"/>
        <v>2768863000</v>
      </c>
      <c r="F37" s="40">
        <f t="shared" si="47"/>
        <v>2053115000</v>
      </c>
      <c r="G37" s="40">
        <f t="shared" si="47"/>
        <v>2274119000</v>
      </c>
      <c r="H37" s="40">
        <f t="shared" si="47"/>
        <v>1639485000</v>
      </c>
      <c r="I37" s="40">
        <f t="shared" si="47"/>
        <v>2387279000</v>
      </c>
      <c r="J37" s="40">
        <f t="shared" ref="J37:N37" si="48">+J123</f>
        <v>0</v>
      </c>
      <c r="K37" s="40">
        <f t="shared" si="48"/>
        <v>0</v>
      </c>
      <c r="L37" s="40">
        <f t="shared" si="48"/>
        <v>0</v>
      </c>
      <c r="M37" s="40">
        <f t="shared" si="48"/>
        <v>0</v>
      </c>
      <c r="N37" s="40">
        <f t="shared" si="48"/>
        <v>0</v>
      </c>
    </row>
    <row r="38" spans="2:14" ht="25.5">
      <c r="B38" s="35" t="s">
        <v>381</v>
      </c>
      <c r="C38" s="41" t="e">
        <f>C37/C36</f>
        <v>#DIV/0!</v>
      </c>
      <c r="D38" s="41">
        <f t="shared" ref="D38:I38" si="49">D37/D36</f>
        <v>0.20415671223934803</v>
      </c>
      <c r="E38" s="41">
        <f t="shared" si="49"/>
        <v>0.21211853546546119</v>
      </c>
      <c r="F38" s="41">
        <f t="shared" si="49"/>
        <v>0.18267811943009754</v>
      </c>
      <c r="G38" s="41">
        <f t="shared" si="49"/>
        <v>0.17188746903126298</v>
      </c>
      <c r="H38" s="41">
        <f t="shared" si="49"/>
        <v>0.13616859512341706</v>
      </c>
      <c r="I38" s="41">
        <f t="shared" si="49"/>
        <v>0.20285450140757944</v>
      </c>
      <c r="J38" s="41" t="e">
        <f t="shared" ref="J38:N38" si="50">J37/J36</f>
        <v>#DIV/0!</v>
      </c>
      <c r="K38" s="41" t="e">
        <f t="shared" si="50"/>
        <v>#DIV/0!</v>
      </c>
      <c r="L38" s="41" t="e">
        <f t="shared" si="50"/>
        <v>#DIV/0!</v>
      </c>
      <c r="M38" s="41" t="e">
        <f t="shared" si="50"/>
        <v>#DIV/0!</v>
      </c>
      <c r="N38" s="41" t="e">
        <f t="shared" si="50"/>
        <v>#DIV/0!</v>
      </c>
    </row>
    <row r="39" spans="2:14" ht="25.5">
      <c r="B39" s="43" t="s">
        <v>295</v>
      </c>
      <c r="C39" s="44">
        <f>+C134</f>
        <v>0</v>
      </c>
      <c r="D39" s="44">
        <f t="shared" ref="D39:I39" si="51">+D134</f>
        <v>1201381000</v>
      </c>
      <c r="E39" s="44">
        <f t="shared" si="51"/>
        <v>1614085000</v>
      </c>
      <c r="F39" s="44">
        <f t="shared" si="51"/>
        <v>825197000</v>
      </c>
      <c r="G39" s="44">
        <f t="shared" si="51"/>
        <v>740859000</v>
      </c>
      <c r="H39" s="44">
        <f t="shared" si="51"/>
        <v>-44145000</v>
      </c>
      <c r="I39" s="44">
        <f t="shared" si="51"/>
        <v>864269000</v>
      </c>
      <c r="J39" s="44">
        <f t="shared" ref="J39:N39" si="52">+J134</f>
        <v>0</v>
      </c>
      <c r="K39" s="44">
        <f t="shared" si="52"/>
        <v>0</v>
      </c>
      <c r="L39" s="44">
        <f t="shared" si="52"/>
        <v>0</v>
      </c>
      <c r="M39" s="44">
        <f t="shared" si="52"/>
        <v>0</v>
      </c>
      <c r="N39" s="44">
        <f t="shared" si="52"/>
        <v>0</v>
      </c>
    </row>
    <row r="40" spans="2:14" ht="25.5">
      <c r="B40" s="30" t="s">
        <v>296</v>
      </c>
      <c r="C40" s="45" t="e">
        <f>C39/C36</f>
        <v>#DIV/0!</v>
      </c>
      <c r="D40" s="45">
        <f t="shared" ref="D40:I40" si="53">D39/D36</f>
        <v>0.10074675710481745</v>
      </c>
      <c r="E40" s="45">
        <f t="shared" si="53"/>
        <v>0.12365268571134394</v>
      </c>
      <c r="F40" s="45">
        <f t="shared" si="53"/>
        <v>7.3422792254383321E-2</v>
      </c>
      <c r="G40" s="45">
        <f t="shared" si="53"/>
        <v>5.599723603691472E-2</v>
      </c>
      <c r="H40" s="45">
        <f t="shared" si="53"/>
        <v>-3.6664944368037804E-3</v>
      </c>
      <c r="I40" s="45">
        <f t="shared" si="53"/>
        <v>7.3439617689020534E-2</v>
      </c>
      <c r="J40" s="45" t="e">
        <f t="shared" ref="J40:N40" si="54">J39/J36</f>
        <v>#DIV/0!</v>
      </c>
      <c r="K40" s="45" t="e">
        <f t="shared" si="54"/>
        <v>#DIV/0!</v>
      </c>
      <c r="L40" s="45" t="e">
        <f t="shared" si="54"/>
        <v>#DIV/0!</v>
      </c>
      <c r="M40" s="45" t="e">
        <f t="shared" si="54"/>
        <v>#DIV/0!</v>
      </c>
      <c r="N40" s="45" t="e">
        <f t="shared" si="54"/>
        <v>#DIV/0!</v>
      </c>
    </row>
    <row r="41" spans="2:14" ht="25.5">
      <c r="B41" s="46" t="s">
        <v>599</v>
      </c>
      <c r="C41" s="121">
        <f>+C135</f>
        <v>0</v>
      </c>
      <c r="D41" s="121">
        <f t="shared" ref="D41:I41" si="55">+D135</f>
        <v>2.0910000000000002E-2</v>
      </c>
      <c r="E41" s="121">
        <f t="shared" si="55"/>
        <v>2.4649999999999998E-2</v>
      </c>
      <c r="F41" s="121">
        <f t="shared" si="55"/>
        <v>1.085E-2</v>
      </c>
      <c r="G41" s="121">
        <f t="shared" si="55"/>
        <v>7.4400000000000004E-3</v>
      </c>
      <c r="H41" s="121">
        <f t="shared" si="55"/>
        <v>-4.0999999999999999E-4</v>
      </c>
      <c r="I41" s="121">
        <f t="shared" si="55"/>
        <v>8.0599999999999995E-3</v>
      </c>
      <c r="J41" s="121">
        <f t="shared" ref="J41:N41" si="56">+J135</f>
        <v>0</v>
      </c>
      <c r="K41" s="121">
        <f t="shared" si="56"/>
        <v>0</v>
      </c>
      <c r="L41" s="121">
        <f t="shared" si="56"/>
        <v>0</v>
      </c>
      <c r="M41" s="121">
        <f t="shared" si="56"/>
        <v>0</v>
      </c>
      <c r="N41" s="121">
        <f t="shared" si="56"/>
        <v>0</v>
      </c>
    </row>
    <row r="42" spans="2:14" ht="25.5">
      <c r="B42" s="46" t="s">
        <v>159</v>
      </c>
      <c r="C42" s="167">
        <f t="shared" ref="C42:N42" si="57">+C41*C43</f>
        <v>0</v>
      </c>
      <c r="D42" s="167">
        <f t="shared" si="57"/>
        <v>14.218800000000002</v>
      </c>
      <c r="E42" s="167">
        <f t="shared" si="57"/>
        <v>17.107099999999999</v>
      </c>
      <c r="F42" s="167">
        <f t="shared" si="57"/>
        <v>8.2894000000000005</v>
      </c>
      <c r="G42" s="167">
        <f t="shared" si="57"/>
        <v>6.3388800000000005</v>
      </c>
      <c r="H42" s="167">
        <f t="shared" si="57"/>
        <v>-0.34778249999999999</v>
      </c>
      <c r="I42" s="167">
        <f t="shared" si="57"/>
        <v>7.1297953999999999</v>
      </c>
      <c r="J42" s="167">
        <f t="shared" si="57"/>
        <v>0</v>
      </c>
      <c r="K42" s="167">
        <f t="shared" si="57"/>
        <v>0</v>
      </c>
      <c r="L42" s="167">
        <f t="shared" si="57"/>
        <v>0</v>
      </c>
      <c r="M42" s="167">
        <f t="shared" si="57"/>
        <v>0</v>
      </c>
      <c r="N42" s="167">
        <f t="shared" si="57"/>
        <v>0</v>
      </c>
    </row>
    <row r="43" spans="2:14" ht="25.5">
      <c r="B43" s="79" t="s">
        <v>600</v>
      </c>
      <c r="C43" s="173">
        <v>668.8</v>
      </c>
      <c r="D43" s="173">
        <v>680</v>
      </c>
      <c r="E43" s="173">
        <v>694</v>
      </c>
      <c r="F43" s="173">
        <v>764</v>
      </c>
      <c r="G43" s="173">
        <v>852</v>
      </c>
      <c r="H43" s="173">
        <v>848.25</v>
      </c>
      <c r="I43" s="173">
        <v>884.59</v>
      </c>
      <c r="J43" s="173"/>
      <c r="K43" s="173"/>
      <c r="L43" s="173"/>
      <c r="M43" s="173"/>
      <c r="N43" s="173"/>
    </row>
    <row r="44" spans="2:14" ht="25.5">
      <c r="B44" s="48" t="s">
        <v>160</v>
      </c>
      <c r="C44" s="49" t="e">
        <f t="shared" ref="C44:I44" si="58">C39/C15</f>
        <v>#DIV/0!</v>
      </c>
      <c r="D44" s="49">
        <f t="shared" si="58"/>
        <v>0.17867037041002926</v>
      </c>
      <c r="E44" s="49">
        <f t="shared" si="58"/>
        <v>0.16195449719639821</v>
      </c>
      <c r="F44" s="49">
        <f t="shared" si="58"/>
        <v>0.10180253567203673</v>
      </c>
      <c r="G44" s="49">
        <f t="shared" si="58"/>
        <v>5.7732315295265818E-2</v>
      </c>
      <c r="H44" s="49">
        <f t="shared" si="58"/>
        <v>-3.4070707465177954E-3</v>
      </c>
      <c r="I44" s="49">
        <f t="shared" si="58"/>
        <v>5.9585703523638685E-2</v>
      </c>
      <c r="J44" s="49" t="e">
        <f t="shared" ref="J44:N44" si="59">J39/J15</f>
        <v>#DIV/0!</v>
      </c>
      <c r="K44" s="49" t="e">
        <f t="shared" si="59"/>
        <v>#DIV/0!</v>
      </c>
      <c r="L44" s="49" t="e">
        <f t="shared" si="59"/>
        <v>#DIV/0!</v>
      </c>
      <c r="M44" s="49" t="e">
        <f t="shared" si="59"/>
        <v>#DIV/0!</v>
      </c>
      <c r="N44" s="49" t="e">
        <f t="shared" si="59"/>
        <v>#DIV/0!</v>
      </c>
    </row>
    <row r="45" spans="2:14" ht="25.5">
      <c r="B45" s="48" t="s">
        <v>382</v>
      </c>
      <c r="C45" s="49">
        <f>AVERAGE(G44:I44)</f>
        <v>3.7970316024128904E-2</v>
      </c>
      <c r="D45" s="49"/>
      <c r="E45" s="49"/>
      <c r="F45" s="49"/>
      <c r="G45" s="49"/>
      <c r="H45" s="49"/>
      <c r="I45" s="49"/>
      <c r="J45" s="49"/>
      <c r="K45" s="49"/>
      <c r="L45" s="49"/>
      <c r="M45" s="49"/>
      <c r="N45" s="49"/>
    </row>
    <row r="46" spans="2:14" ht="25.5">
      <c r="B46" s="48" t="s">
        <v>298</v>
      </c>
      <c r="C46" s="50">
        <f>+C147</f>
        <v>0</v>
      </c>
      <c r="D46" s="50">
        <f t="shared" ref="D46:I46" si="60">+D147</f>
        <v>654578000</v>
      </c>
      <c r="E46" s="50">
        <f t="shared" si="60"/>
        <v>1021313000</v>
      </c>
      <c r="F46" s="50">
        <f t="shared" si="60"/>
        <v>1284980000</v>
      </c>
      <c r="G46" s="50">
        <f t="shared" si="60"/>
        <v>435394000</v>
      </c>
      <c r="H46" s="50">
        <f t="shared" si="60"/>
        <v>935409000</v>
      </c>
      <c r="I46" s="50">
        <f t="shared" si="60"/>
        <v>-453645000</v>
      </c>
      <c r="J46" s="50">
        <f t="shared" ref="J46:N46" si="61">+J147</f>
        <v>0</v>
      </c>
      <c r="K46" s="50">
        <f t="shared" si="61"/>
        <v>0</v>
      </c>
      <c r="L46" s="50">
        <f t="shared" si="61"/>
        <v>0</v>
      </c>
      <c r="M46" s="50">
        <f t="shared" si="61"/>
        <v>0</v>
      </c>
      <c r="N46" s="50">
        <f t="shared" si="61"/>
        <v>0</v>
      </c>
    </row>
    <row r="47" spans="2:14" ht="25.5">
      <c r="B47" s="51" t="s">
        <v>119</v>
      </c>
      <c r="C47" s="51">
        <f>SUM(C49:C52)</f>
        <v>3.3339999999999996</v>
      </c>
      <c r="D47" s="51">
        <f t="shared" ref="D47:F47" si="62">SUM(D49:D52)</f>
        <v>3.875</v>
      </c>
      <c r="E47" s="51">
        <f t="shared" si="62"/>
        <v>5.7210000000000001</v>
      </c>
      <c r="F47" s="51">
        <f t="shared" si="62"/>
        <v>8.4980000000000011</v>
      </c>
      <c r="G47" s="51">
        <f>SUM(G49:G52)</f>
        <v>2.95</v>
      </c>
      <c r="H47" s="51">
        <f>SUM(H49:H52)</f>
        <v>1.6919999999999999</v>
      </c>
      <c r="I47" s="51">
        <f t="shared" ref="I47:N47" si="63">SUM(I49:I51)</f>
        <v>0</v>
      </c>
      <c r="J47" s="51">
        <f t="shared" si="63"/>
        <v>2.2009999999999996</v>
      </c>
      <c r="K47" s="51">
        <f t="shared" si="63"/>
        <v>0</v>
      </c>
      <c r="L47" s="51">
        <f t="shared" si="63"/>
        <v>0</v>
      </c>
      <c r="M47" s="51">
        <f t="shared" si="63"/>
        <v>0</v>
      </c>
      <c r="N47" s="51">
        <f t="shared" si="63"/>
        <v>0</v>
      </c>
    </row>
    <row r="48" spans="2:14" ht="25.5">
      <c r="B48" s="51" t="s">
        <v>383</v>
      </c>
      <c r="C48" s="51">
        <f>+C49+C50</f>
        <v>2.0009999999999999</v>
      </c>
      <c r="D48" s="51">
        <f t="shared" ref="D48:I48" si="64">+D49+D50</f>
        <v>2.3140000000000001</v>
      </c>
      <c r="E48" s="51">
        <f t="shared" si="64"/>
        <v>4.2859999999999996</v>
      </c>
      <c r="F48" s="51">
        <f t="shared" si="64"/>
        <v>5.0780000000000003</v>
      </c>
      <c r="G48" s="51">
        <f t="shared" si="64"/>
        <v>1.85</v>
      </c>
      <c r="H48" s="51">
        <f t="shared" si="64"/>
        <v>1.6919999999999999</v>
      </c>
      <c r="I48" s="51">
        <f t="shared" si="64"/>
        <v>0</v>
      </c>
      <c r="J48" s="51">
        <f t="shared" ref="J48:N48" si="65">+J49+J50</f>
        <v>2.2009999999999996</v>
      </c>
      <c r="K48" s="51">
        <f t="shared" si="65"/>
        <v>0</v>
      </c>
      <c r="L48" s="51">
        <f t="shared" si="65"/>
        <v>0</v>
      </c>
      <c r="M48" s="51">
        <f t="shared" si="65"/>
        <v>0</v>
      </c>
      <c r="N48" s="51">
        <f t="shared" si="65"/>
        <v>0</v>
      </c>
    </row>
    <row r="49" spans="2:16" ht="18">
      <c r="B49" s="135" t="s">
        <v>121</v>
      </c>
      <c r="C49" s="94">
        <v>1.054</v>
      </c>
      <c r="D49" s="94">
        <v>1.7070000000000001</v>
      </c>
      <c r="E49" s="94">
        <v>3.387</v>
      </c>
      <c r="F49" s="94">
        <v>3.8250000000000002</v>
      </c>
      <c r="G49" s="94">
        <v>1.1639999999999999</v>
      </c>
      <c r="H49" s="94">
        <v>0.997</v>
      </c>
      <c r="I49" s="155">
        <v>0</v>
      </c>
      <c r="J49" s="155">
        <v>1.196</v>
      </c>
      <c r="K49" s="155"/>
      <c r="L49" s="155"/>
      <c r="M49" s="155"/>
      <c r="N49" s="155"/>
    </row>
    <row r="50" spans="2:16" ht="18">
      <c r="B50" s="135" t="s">
        <v>122</v>
      </c>
      <c r="C50" s="94">
        <v>0.94699999999999995</v>
      </c>
      <c r="D50" s="94">
        <v>0.60699999999999998</v>
      </c>
      <c r="E50" s="94">
        <v>0.89900000000000002</v>
      </c>
      <c r="F50" s="94">
        <v>1.2529999999999999</v>
      </c>
      <c r="G50" s="94">
        <v>0.68600000000000005</v>
      </c>
      <c r="H50" s="94">
        <v>0.69499999999999995</v>
      </c>
      <c r="I50" s="155">
        <v>0</v>
      </c>
      <c r="J50" s="155">
        <v>1.0049999999999999</v>
      </c>
      <c r="K50" s="155"/>
      <c r="L50" s="155"/>
      <c r="M50" s="155"/>
      <c r="N50" s="155"/>
    </row>
    <row r="51" spans="2:16" ht="18">
      <c r="B51" s="135" t="s">
        <v>123</v>
      </c>
      <c r="C51" s="94">
        <v>1.333</v>
      </c>
      <c r="D51" s="94">
        <v>1.5609999999999999</v>
      </c>
      <c r="E51" s="94">
        <v>1.4350000000000001</v>
      </c>
      <c r="F51" s="94">
        <v>3.42</v>
      </c>
      <c r="G51" s="94">
        <v>1.1000000000000001</v>
      </c>
      <c r="H51" s="94"/>
      <c r="I51" s="155">
        <v>0</v>
      </c>
      <c r="J51" s="155"/>
      <c r="K51" s="155"/>
      <c r="L51" s="155"/>
      <c r="M51" s="155"/>
      <c r="N51" s="155"/>
    </row>
    <row r="52" spans="2:16" ht="18">
      <c r="B52" s="135" t="s">
        <v>124</v>
      </c>
      <c r="C52" s="94"/>
      <c r="D52" s="94"/>
      <c r="E52" s="94"/>
      <c r="F52" s="94"/>
      <c r="G52" s="94"/>
      <c r="H52" s="94"/>
      <c r="I52" s="94">
        <v>0</v>
      </c>
      <c r="J52" s="94"/>
      <c r="K52" s="94"/>
      <c r="L52" s="94"/>
      <c r="M52" s="94"/>
      <c r="N52" s="94"/>
    </row>
    <row r="53" spans="2:16" ht="25.5">
      <c r="B53" s="541" t="s">
        <v>167</v>
      </c>
      <c r="C53" s="99" t="e">
        <f>(C50+C51+D49)/C42</f>
        <v>#DIV/0!</v>
      </c>
      <c r="D53" s="99">
        <f t="shared" ref="D53:N53" si="66">(D50+D51+E49)/D42</f>
        <v>0.3906799448617323</v>
      </c>
      <c r="E53" s="99">
        <f t="shared" si="66"/>
        <v>0.36002595413600208</v>
      </c>
      <c r="F53" s="99">
        <f t="shared" si="66"/>
        <v>0.70415229087750608</v>
      </c>
      <c r="G53" s="99">
        <f t="shared" si="66"/>
        <v>0.43903654904336409</v>
      </c>
      <c r="H53" s="99">
        <f t="shared" si="66"/>
        <v>-1.9983754214199967</v>
      </c>
      <c r="I53" s="99">
        <f t="shared" si="66"/>
        <v>0.16774674908623605</v>
      </c>
      <c r="J53" s="99" t="e">
        <f t="shared" si="66"/>
        <v>#DIV/0!</v>
      </c>
      <c r="K53" s="99" t="e">
        <f t="shared" si="66"/>
        <v>#DIV/0!</v>
      </c>
      <c r="L53" s="99" t="e">
        <f t="shared" si="66"/>
        <v>#DIV/0!</v>
      </c>
      <c r="M53" s="99" t="e">
        <f t="shared" si="66"/>
        <v>#DIV/0!</v>
      </c>
      <c r="N53" s="99" t="e">
        <f t="shared" si="66"/>
        <v>#DIV/0!</v>
      </c>
    </row>
    <row r="54" spans="2:16" ht="28.5">
      <c r="B54" s="540" t="s">
        <v>303</v>
      </c>
      <c r="C54" s="54">
        <f>AVERAGE(G53:I53)</f>
        <v>-0.46386404109679885</v>
      </c>
      <c r="D54" s="54"/>
      <c r="E54" s="54"/>
      <c r="F54" s="54"/>
      <c r="G54" s="54"/>
      <c r="H54" s="54"/>
      <c r="I54" s="54"/>
      <c r="J54" s="54"/>
      <c r="K54" s="54"/>
      <c r="L54" s="54"/>
      <c r="M54" s="54"/>
      <c r="N54" s="54"/>
    </row>
    <row r="55" spans="2:16" ht="25.5">
      <c r="B55" s="541" t="s">
        <v>299</v>
      </c>
      <c r="C55" s="99">
        <f t="shared" ref="C55:I55" si="67">+C47/C20</f>
        <v>2.4335766423357663E-2</v>
      </c>
      <c r="D55" s="99">
        <f t="shared" si="67"/>
        <v>3.1632653061224487E-2</v>
      </c>
      <c r="E55" s="99">
        <f t="shared" si="67"/>
        <v>3.4257485029940117E-2</v>
      </c>
      <c r="F55" s="99">
        <f t="shared" si="67"/>
        <v>7.3258620689655177E-2</v>
      </c>
      <c r="G55" s="99">
        <f t="shared" si="67"/>
        <v>3.1720430107526884E-2</v>
      </c>
      <c r="H55" s="99">
        <f t="shared" si="67"/>
        <v>1.4886503607249692E-2</v>
      </c>
      <c r="I55" s="99">
        <f t="shared" si="67"/>
        <v>0</v>
      </c>
      <c r="J55" s="99" t="e">
        <f t="shared" ref="J55:N55" si="68">+J47/J20</f>
        <v>#DIV/0!</v>
      </c>
      <c r="K55" s="99" t="e">
        <f t="shared" si="68"/>
        <v>#DIV/0!</v>
      </c>
      <c r="L55" s="99" t="e">
        <f t="shared" si="68"/>
        <v>#DIV/0!</v>
      </c>
      <c r="M55" s="99" t="e">
        <f t="shared" si="68"/>
        <v>#DIV/0!</v>
      </c>
      <c r="N55" s="99" t="e">
        <f t="shared" si="68"/>
        <v>#DIV/0!</v>
      </c>
    </row>
    <row r="56" spans="2:16" ht="25.5">
      <c r="B56" s="542" t="s">
        <v>384</v>
      </c>
      <c r="C56" s="534">
        <f>AVERAGE(G55:I55)</f>
        <v>1.5535644571592191E-2</v>
      </c>
      <c r="D56" s="534"/>
      <c r="E56" s="534"/>
      <c r="F56" s="534"/>
      <c r="G56" s="534"/>
      <c r="H56" s="534"/>
      <c r="I56" s="534"/>
      <c r="J56" s="534"/>
      <c r="K56" s="534"/>
      <c r="L56" s="534"/>
      <c r="M56" s="534"/>
      <c r="N56" s="534"/>
      <c r="O56" s="534"/>
      <c r="P56" s="534"/>
    </row>
    <row r="57" spans="2:16" ht="25.5">
      <c r="B57" s="543" t="s">
        <v>176</v>
      </c>
      <c r="C57" s="355" t="e">
        <f>+C44*(100%-C53)</f>
        <v>#DIV/0!</v>
      </c>
      <c r="D57" s="355">
        <f t="shared" ref="D57:I57" si="69">+D44*(100%-D53)</f>
        <v>0.10886743994981374</v>
      </c>
      <c r="E57" s="355">
        <f t="shared" si="69"/>
        <v>0.10364667481664848</v>
      </c>
      <c r="F57" s="549">
        <f t="shared" si="69"/>
        <v>3.0118046961433033E-2</v>
      </c>
      <c r="G57" s="355">
        <f t="shared" si="69"/>
        <v>3.2385718819748888E-2</v>
      </c>
      <c r="H57" s="355">
        <f t="shared" si="69"/>
        <v>-1.0215677185398038E-2</v>
      </c>
      <c r="I57" s="355">
        <f t="shared" si="69"/>
        <v>4.9590395465532011E-2</v>
      </c>
      <c r="J57" s="355" t="e">
        <f t="shared" ref="J57:N57" si="70">+J44*(100%-J53)</f>
        <v>#DIV/0!</v>
      </c>
      <c r="K57" s="355" t="e">
        <f t="shared" si="70"/>
        <v>#DIV/0!</v>
      </c>
      <c r="L57" s="355" t="e">
        <f t="shared" si="70"/>
        <v>#DIV/0!</v>
      </c>
      <c r="M57" s="355" t="e">
        <f t="shared" si="70"/>
        <v>#DIV/0!</v>
      </c>
      <c r="N57" s="355" t="e">
        <f t="shared" si="70"/>
        <v>#DIV/0!</v>
      </c>
    </row>
    <row r="58" spans="2:16" ht="25.5">
      <c r="B58" s="542" t="s">
        <v>306</v>
      </c>
      <c r="C58" s="534">
        <f>AVERAGE(G57:I57)</f>
        <v>2.3920145699960954E-2</v>
      </c>
      <c r="D58" s="534"/>
      <c r="E58" s="534"/>
      <c r="F58" s="534"/>
      <c r="G58" s="534"/>
      <c r="H58" s="534"/>
      <c r="I58" s="534"/>
      <c r="J58" s="534"/>
      <c r="K58" s="534"/>
      <c r="L58" s="534"/>
      <c r="M58" s="534"/>
      <c r="N58" s="534"/>
      <c r="O58" s="534"/>
    </row>
    <row r="60" spans="2:16">
      <c r="B60" s="75" t="s">
        <v>307</v>
      </c>
    </row>
    <row r="61" spans="2:16" ht="14.65" thickBot="1"/>
    <row r="62" spans="2:16">
      <c r="B62" s="57" t="s">
        <v>385</v>
      </c>
      <c r="C62" s="158">
        <v>2017</v>
      </c>
      <c r="D62" s="158">
        <v>2018</v>
      </c>
      <c r="E62" s="158">
        <v>2019</v>
      </c>
      <c r="F62" s="158">
        <v>2020</v>
      </c>
      <c r="G62" s="158">
        <v>2021</v>
      </c>
      <c r="H62" s="158">
        <v>2022</v>
      </c>
      <c r="I62" s="158">
        <v>2023</v>
      </c>
      <c r="J62" s="158">
        <v>2024</v>
      </c>
      <c r="K62" s="158">
        <v>2025</v>
      </c>
      <c r="L62" s="158">
        <v>2026</v>
      </c>
      <c r="M62" s="158">
        <v>2027</v>
      </c>
      <c r="N62" s="158">
        <v>2028</v>
      </c>
    </row>
    <row r="63" spans="2:16">
      <c r="B63" s="157" t="s">
        <v>309</v>
      </c>
      <c r="C63" s="66"/>
      <c r="D63" s="66"/>
      <c r="E63" s="66"/>
      <c r="F63" s="66"/>
      <c r="G63" s="66"/>
      <c r="H63" s="66"/>
      <c r="I63" s="66"/>
      <c r="J63" s="66"/>
      <c r="K63" s="66"/>
      <c r="L63" s="66"/>
      <c r="M63" s="66"/>
      <c r="N63" s="66"/>
    </row>
    <row r="64" spans="2:16">
      <c r="B64" s="58" t="s">
        <v>310</v>
      </c>
      <c r="C64" s="64"/>
      <c r="D64" s="64">
        <v>6383986000</v>
      </c>
      <c r="E64" s="64">
        <v>6581254000</v>
      </c>
      <c r="F64" s="159">
        <v>6179256000</v>
      </c>
      <c r="G64" s="64">
        <v>7062479000</v>
      </c>
      <c r="H64" s="141">
        <v>7763830000</v>
      </c>
      <c r="I64" s="64">
        <v>10319549000</v>
      </c>
      <c r="J64" s="64"/>
      <c r="K64" s="64"/>
      <c r="L64" s="64"/>
      <c r="M64" s="64"/>
      <c r="N64" s="64"/>
    </row>
    <row r="65" spans="2:14">
      <c r="B65" s="59" t="s">
        <v>386</v>
      </c>
      <c r="C65" s="66"/>
      <c r="D65" s="66"/>
      <c r="E65" s="66"/>
      <c r="F65" s="66"/>
      <c r="G65" s="66"/>
      <c r="H65" s="160"/>
      <c r="I65" s="66"/>
      <c r="J65" s="66"/>
      <c r="K65" s="66"/>
      <c r="L65" s="66"/>
      <c r="M65" s="66"/>
      <c r="N65" s="66"/>
    </row>
    <row r="66" spans="2:14">
      <c r="B66" s="59" t="s">
        <v>387</v>
      </c>
      <c r="C66" s="66"/>
      <c r="D66" s="66"/>
      <c r="E66" s="66"/>
      <c r="F66" s="66"/>
      <c r="G66" s="66"/>
      <c r="H66" s="160"/>
      <c r="I66" s="66"/>
      <c r="J66" s="66"/>
      <c r="K66" s="66"/>
      <c r="L66" s="66"/>
      <c r="M66" s="66"/>
      <c r="N66" s="66"/>
    </row>
    <row r="67" spans="2:14">
      <c r="B67" s="59" t="s">
        <v>388</v>
      </c>
      <c r="C67" s="66"/>
      <c r="D67" s="66"/>
      <c r="E67" s="66"/>
      <c r="F67" s="66"/>
      <c r="G67" s="66"/>
      <c r="H67" s="160"/>
      <c r="I67" s="66"/>
      <c r="J67" s="66"/>
      <c r="K67" s="66"/>
      <c r="L67" s="66"/>
      <c r="M67" s="66"/>
      <c r="N67" s="66"/>
    </row>
    <row r="68" spans="2:14">
      <c r="B68" s="59" t="s">
        <v>389</v>
      </c>
      <c r="C68" s="66"/>
      <c r="D68" s="66">
        <v>3551022000</v>
      </c>
      <c r="E68" s="66">
        <v>3504457000</v>
      </c>
      <c r="F68" s="66">
        <v>3234935000</v>
      </c>
      <c r="G68" s="66">
        <v>3711141000</v>
      </c>
      <c r="H68" s="160">
        <v>4434832000</v>
      </c>
      <c r="I68" s="66">
        <v>3033039000</v>
      </c>
      <c r="J68" s="66"/>
      <c r="K68" s="66"/>
      <c r="L68" s="66"/>
      <c r="M68" s="66"/>
      <c r="N68" s="66"/>
    </row>
    <row r="69" spans="2:14">
      <c r="B69" s="59" t="s">
        <v>390</v>
      </c>
      <c r="C69" s="66"/>
      <c r="D69" s="66"/>
      <c r="E69" s="66"/>
      <c r="F69" s="66"/>
      <c r="G69" s="66"/>
      <c r="H69" s="160"/>
      <c r="I69" s="66"/>
      <c r="J69" s="66"/>
      <c r="K69" s="66"/>
      <c r="L69" s="66"/>
      <c r="M69" s="66"/>
      <c r="N69" s="66"/>
    </row>
    <row r="70" spans="2:14">
      <c r="B70" s="59" t="s">
        <v>391</v>
      </c>
      <c r="C70" s="161"/>
      <c r="D70" s="66">
        <v>339398000</v>
      </c>
      <c r="E70" s="66">
        <v>396239000</v>
      </c>
      <c r="F70" s="66">
        <v>471433000</v>
      </c>
      <c r="G70" s="66">
        <v>538276000</v>
      </c>
      <c r="H70" s="160">
        <v>547447000</v>
      </c>
      <c r="I70" s="66">
        <v>497890000</v>
      </c>
      <c r="J70" s="66"/>
      <c r="K70" s="66"/>
      <c r="L70" s="66"/>
      <c r="M70" s="66"/>
      <c r="N70" s="66"/>
    </row>
    <row r="71" spans="2:14">
      <c r="B71" s="59" t="s">
        <v>392</v>
      </c>
      <c r="C71" s="66"/>
      <c r="D71" s="66"/>
      <c r="E71" s="66"/>
      <c r="F71" s="66"/>
      <c r="G71" s="66"/>
      <c r="H71" s="160"/>
      <c r="I71" s="66"/>
      <c r="J71" s="66"/>
      <c r="K71" s="66"/>
      <c r="L71" s="66"/>
      <c r="M71" s="66"/>
      <c r="N71" s="66"/>
    </row>
    <row r="72" spans="2:14">
      <c r="B72" s="59" t="s">
        <v>318</v>
      </c>
      <c r="C72" s="66">
        <f t="shared" ref="C72:N72" si="71">+C64-C65-C70-C71-C69-C68-C67-C66</f>
        <v>0</v>
      </c>
      <c r="D72" s="66">
        <f t="shared" si="71"/>
        <v>2493566000</v>
      </c>
      <c r="E72" s="66">
        <f t="shared" si="71"/>
        <v>2680558000</v>
      </c>
      <c r="F72" s="66">
        <f t="shared" si="71"/>
        <v>2472888000</v>
      </c>
      <c r="G72" s="66">
        <f t="shared" si="71"/>
        <v>2813062000</v>
      </c>
      <c r="H72" s="66">
        <f t="shared" si="71"/>
        <v>2781551000</v>
      </c>
      <c r="I72" s="66">
        <f t="shared" si="71"/>
        <v>6788620000</v>
      </c>
      <c r="J72" s="66">
        <f t="shared" si="71"/>
        <v>0</v>
      </c>
      <c r="K72" s="66">
        <f t="shared" si="71"/>
        <v>0</v>
      </c>
      <c r="L72" s="66">
        <f t="shared" si="71"/>
        <v>0</v>
      </c>
      <c r="M72" s="66">
        <f t="shared" si="71"/>
        <v>0</v>
      </c>
      <c r="N72" s="66">
        <f t="shared" si="71"/>
        <v>0</v>
      </c>
    </row>
    <row r="73" spans="2:14">
      <c r="B73" s="58" t="s">
        <v>319</v>
      </c>
      <c r="C73" s="64"/>
      <c r="D73" s="64">
        <v>21012370000</v>
      </c>
      <c r="E73" s="64">
        <v>23195130000</v>
      </c>
      <c r="F73" s="159">
        <v>20754302000</v>
      </c>
      <c r="G73" s="64">
        <v>27896459000</v>
      </c>
      <c r="H73" s="141">
        <v>27009817000</v>
      </c>
      <c r="I73" s="64">
        <v>26535221000</v>
      </c>
      <c r="J73" s="64"/>
      <c r="K73" s="64"/>
      <c r="L73" s="64"/>
      <c r="M73" s="64"/>
      <c r="N73" s="64"/>
    </row>
    <row r="74" spans="2:14">
      <c r="B74" s="59" t="s">
        <v>393</v>
      </c>
      <c r="C74" s="66"/>
      <c r="D74" s="66"/>
      <c r="E74" s="66"/>
      <c r="F74" s="66"/>
      <c r="G74" s="66"/>
      <c r="H74" s="160"/>
      <c r="I74" s="66"/>
      <c r="J74" s="66"/>
      <c r="K74" s="66"/>
      <c r="L74" s="66"/>
      <c r="M74" s="66"/>
      <c r="N74" s="66"/>
    </row>
    <row r="75" spans="2:14">
      <c r="B75" s="59" t="s">
        <v>394</v>
      </c>
      <c r="C75" s="66"/>
      <c r="D75" s="66"/>
      <c r="E75" s="66"/>
      <c r="F75" s="66"/>
      <c r="G75" s="66"/>
      <c r="H75" s="160"/>
      <c r="I75" s="66"/>
      <c r="J75" s="66"/>
      <c r="K75" s="66"/>
      <c r="L75" s="66"/>
      <c r="M75" s="66"/>
      <c r="N75" s="66"/>
    </row>
    <row r="76" spans="2:14">
      <c r="B76" s="59" t="s">
        <v>590</v>
      </c>
      <c r="C76" s="66"/>
      <c r="D76" s="66"/>
      <c r="E76" s="66"/>
      <c r="F76" s="66"/>
      <c r="G76" s="66"/>
      <c r="H76" s="160"/>
      <c r="I76" s="66"/>
      <c r="J76" s="66"/>
      <c r="K76" s="66"/>
      <c r="L76" s="66"/>
      <c r="M76" s="66"/>
      <c r="N76" s="66"/>
    </row>
    <row r="77" spans="2:14">
      <c r="B77" s="59" t="s">
        <v>396</v>
      </c>
      <c r="C77" s="66"/>
      <c r="D77" s="66"/>
      <c r="E77" s="66"/>
      <c r="F77" s="66"/>
      <c r="G77" s="66"/>
      <c r="H77" s="160"/>
      <c r="I77" s="66"/>
      <c r="J77" s="66"/>
      <c r="K77" s="66"/>
      <c r="L77" s="66"/>
      <c r="M77" s="66"/>
      <c r="N77" s="66"/>
    </row>
    <row r="78" spans="2:14">
      <c r="B78" s="59" t="s">
        <v>397</v>
      </c>
      <c r="C78" s="66"/>
      <c r="D78" s="66"/>
      <c r="E78" s="66"/>
      <c r="F78" s="66"/>
      <c r="G78" s="66"/>
      <c r="H78" s="160"/>
      <c r="I78" s="66"/>
      <c r="J78" s="66"/>
      <c r="K78" s="66"/>
      <c r="L78" s="66"/>
      <c r="M78" s="66"/>
      <c r="N78" s="66"/>
    </row>
    <row r="79" spans="2:14">
      <c r="B79" s="59" t="s">
        <v>398</v>
      </c>
      <c r="C79" s="66"/>
      <c r="D79" s="66">
        <v>8686827000</v>
      </c>
      <c r="E79" s="66">
        <v>9019237000</v>
      </c>
      <c r="F79" s="66">
        <v>8354672000</v>
      </c>
      <c r="G79" s="66">
        <v>12997528000</v>
      </c>
      <c r="H79" s="160">
        <v>13682190000</v>
      </c>
      <c r="I79" s="66">
        <v>12811169000</v>
      </c>
      <c r="J79" s="66"/>
      <c r="K79" s="66"/>
      <c r="L79" s="66"/>
      <c r="M79" s="66"/>
      <c r="N79" s="66"/>
    </row>
    <row r="80" spans="2:14">
      <c r="B80" s="59" t="s">
        <v>399</v>
      </c>
      <c r="C80" s="66"/>
      <c r="D80" s="66"/>
      <c r="E80" s="66"/>
      <c r="F80" s="66"/>
      <c r="G80" s="66"/>
      <c r="H80" s="160"/>
      <c r="I80" s="66"/>
      <c r="J80" s="66"/>
      <c r="K80" s="66"/>
      <c r="L80" s="66"/>
      <c r="M80" s="66"/>
      <c r="N80" s="66"/>
    </row>
    <row r="81" spans="2:14">
      <c r="B81" s="59" t="s">
        <v>400</v>
      </c>
      <c r="C81" s="66"/>
      <c r="D81" s="66"/>
      <c r="E81" s="66"/>
      <c r="F81" s="161"/>
      <c r="G81" s="66"/>
      <c r="H81" s="160"/>
      <c r="I81" s="66"/>
      <c r="J81" s="66"/>
      <c r="K81" s="66"/>
      <c r="L81" s="66"/>
      <c r="M81" s="66"/>
      <c r="N81" s="66"/>
    </row>
    <row r="82" spans="2:14">
      <c r="B82" s="59" t="s">
        <v>401</v>
      </c>
      <c r="C82" s="66"/>
      <c r="D82" s="66"/>
      <c r="E82" s="66"/>
      <c r="F82" s="66"/>
      <c r="G82" s="66"/>
      <c r="H82" s="160"/>
      <c r="I82" s="66"/>
      <c r="J82" s="66"/>
      <c r="K82" s="66"/>
      <c r="L82" s="66"/>
      <c r="M82" s="66"/>
      <c r="N82" s="66"/>
    </row>
    <row r="83" spans="2:14">
      <c r="B83" s="59" t="s">
        <v>328</v>
      </c>
      <c r="C83" s="66">
        <f t="shared" ref="C83:H83" si="72">+C73-C80-C81-C79-C74-C82-C78-C77-C76-C75</f>
        <v>0</v>
      </c>
      <c r="D83" s="66">
        <f t="shared" si="72"/>
        <v>12325543000</v>
      </c>
      <c r="E83" s="66">
        <f t="shared" si="72"/>
        <v>14175893000</v>
      </c>
      <c r="F83" s="66">
        <f t="shared" si="72"/>
        <v>12399630000</v>
      </c>
      <c r="G83" s="66">
        <f t="shared" si="72"/>
        <v>14898931000</v>
      </c>
      <c r="H83" s="66">
        <f t="shared" si="72"/>
        <v>13327627000</v>
      </c>
      <c r="I83" s="66">
        <f t="shared" ref="I83:N83" si="73">+I73-I80-I81-I79-I74-I82-I78-I77-I76-I75</f>
        <v>13724052000</v>
      </c>
      <c r="J83" s="66">
        <f t="shared" si="73"/>
        <v>0</v>
      </c>
      <c r="K83" s="66">
        <f t="shared" si="73"/>
        <v>0</v>
      </c>
      <c r="L83" s="66">
        <f t="shared" si="73"/>
        <v>0</v>
      </c>
      <c r="M83" s="66">
        <f t="shared" si="73"/>
        <v>0</v>
      </c>
      <c r="N83" s="66">
        <f t="shared" si="73"/>
        <v>0</v>
      </c>
    </row>
    <row r="84" spans="2:14" ht="14.65" thickBot="1">
      <c r="B84" s="60" t="s">
        <v>329</v>
      </c>
      <c r="C84" s="70">
        <f t="shared" ref="C84:H84" si="74">+C73+C64</f>
        <v>0</v>
      </c>
      <c r="D84" s="70">
        <f t="shared" si="74"/>
        <v>27396356000</v>
      </c>
      <c r="E84" s="70">
        <f t="shared" si="74"/>
        <v>29776384000</v>
      </c>
      <c r="F84" s="70">
        <f t="shared" si="74"/>
        <v>26933558000</v>
      </c>
      <c r="G84" s="70">
        <f t="shared" si="74"/>
        <v>34958938000</v>
      </c>
      <c r="H84" s="162">
        <f t="shared" si="74"/>
        <v>34773647000</v>
      </c>
      <c r="I84" s="162">
        <f t="shared" ref="I84:N84" si="75">+I73+I64</f>
        <v>36854770000</v>
      </c>
      <c r="J84" s="162">
        <f t="shared" si="75"/>
        <v>0</v>
      </c>
      <c r="K84" s="162">
        <f t="shared" si="75"/>
        <v>0</v>
      </c>
      <c r="L84" s="162">
        <f t="shared" si="75"/>
        <v>0</v>
      </c>
      <c r="M84" s="162">
        <f t="shared" si="75"/>
        <v>0</v>
      </c>
      <c r="N84" s="162">
        <f t="shared" si="75"/>
        <v>0</v>
      </c>
    </row>
    <row r="85" spans="2:14" ht="14.65" thickBot="1">
      <c r="B85" s="61"/>
      <c r="C85" s="72"/>
      <c r="D85" s="72"/>
      <c r="E85" s="72"/>
      <c r="F85" s="72"/>
      <c r="G85" s="72"/>
      <c r="H85" s="163"/>
      <c r="I85" s="72"/>
      <c r="J85" s="72"/>
      <c r="K85" s="72"/>
      <c r="L85" s="72"/>
      <c r="M85" s="72"/>
      <c r="N85" s="72"/>
    </row>
    <row r="86" spans="2:14">
      <c r="B86" s="57" t="s">
        <v>330</v>
      </c>
      <c r="C86" s="62"/>
      <c r="D86" s="62"/>
      <c r="E86" s="62"/>
      <c r="F86" s="62"/>
      <c r="G86" s="62"/>
      <c r="H86" s="164"/>
      <c r="I86" s="62"/>
      <c r="J86" s="62"/>
      <c r="K86" s="62"/>
      <c r="L86" s="62"/>
      <c r="M86" s="62"/>
      <c r="N86" s="62"/>
    </row>
    <row r="87" spans="2:14">
      <c r="B87" s="58" t="s">
        <v>310</v>
      </c>
      <c r="C87" s="64"/>
      <c r="D87" s="64">
        <v>9650756000</v>
      </c>
      <c r="E87" s="64">
        <v>6735932000</v>
      </c>
      <c r="F87" s="64">
        <v>7277222000</v>
      </c>
      <c r="G87" s="64">
        <v>7795534000</v>
      </c>
      <c r="H87" s="141">
        <v>7926972000</v>
      </c>
      <c r="I87" s="64">
        <v>9727420000</v>
      </c>
      <c r="J87" s="64"/>
      <c r="K87" s="64"/>
      <c r="L87" s="64"/>
      <c r="M87" s="64"/>
      <c r="N87" s="64"/>
    </row>
    <row r="88" spans="2:14">
      <c r="B88" s="59" t="s">
        <v>402</v>
      </c>
      <c r="C88" s="66"/>
      <c r="D88" s="66"/>
      <c r="E88" s="66"/>
      <c r="F88" s="66"/>
      <c r="G88" s="66"/>
      <c r="H88" s="160"/>
      <c r="I88" s="66"/>
      <c r="J88" s="66"/>
      <c r="K88" s="66"/>
      <c r="L88" s="66"/>
      <c r="M88" s="66"/>
      <c r="N88" s="66"/>
    </row>
    <row r="89" spans="2:14">
      <c r="B89" s="59" t="s">
        <v>403</v>
      </c>
      <c r="C89" s="66"/>
      <c r="D89" s="66"/>
      <c r="E89" s="66"/>
      <c r="F89" s="66"/>
      <c r="G89" s="66"/>
      <c r="H89" s="160"/>
      <c r="I89" s="66"/>
      <c r="J89" s="66"/>
      <c r="K89" s="66"/>
      <c r="L89" s="66"/>
      <c r="M89" s="66"/>
      <c r="N89" s="66"/>
    </row>
    <row r="90" spans="2:14">
      <c r="B90" s="59" t="s">
        <v>404</v>
      </c>
      <c r="C90" s="66"/>
      <c r="D90" s="66"/>
      <c r="E90" s="66"/>
      <c r="F90" s="66"/>
      <c r="G90" s="66"/>
      <c r="H90" s="160"/>
      <c r="I90" s="66"/>
      <c r="J90" s="66"/>
      <c r="K90" s="66"/>
      <c r="L90" s="66"/>
      <c r="M90" s="66"/>
      <c r="N90" s="66"/>
    </row>
    <row r="91" spans="2:14">
      <c r="B91" s="59" t="s">
        <v>405</v>
      </c>
      <c r="C91" s="66"/>
      <c r="D91" s="66">
        <v>4116247000</v>
      </c>
      <c r="E91" s="66">
        <v>3920045000</v>
      </c>
      <c r="F91" s="66">
        <v>4093576000</v>
      </c>
      <c r="G91" s="66">
        <v>4912130000</v>
      </c>
      <c r="H91" s="160">
        <v>4305679000</v>
      </c>
      <c r="I91" s="66">
        <v>3685645000</v>
      </c>
      <c r="J91" s="66"/>
      <c r="K91" s="66"/>
      <c r="L91" s="66"/>
      <c r="M91" s="66"/>
      <c r="N91" s="66"/>
    </row>
    <row r="92" spans="2:14">
      <c r="B92" s="59" t="s">
        <v>406</v>
      </c>
      <c r="C92" s="66"/>
      <c r="D92" s="66"/>
      <c r="E92" s="66"/>
      <c r="F92" s="66"/>
      <c r="G92" s="66"/>
      <c r="H92" s="160"/>
      <c r="I92" s="66"/>
      <c r="J92" s="66"/>
      <c r="K92" s="66"/>
      <c r="L92" s="66"/>
      <c r="M92" s="66"/>
      <c r="N92" s="66"/>
    </row>
    <row r="93" spans="2:14">
      <c r="B93" s="59" t="s">
        <v>407</v>
      </c>
      <c r="C93" s="66"/>
      <c r="D93" s="66"/>
      <c r="E93" s="66"/>
      <c r="F93" s="66"/>
      <c r="G93" s="66"/>
      <c r="H93" s="160"/>
      <c r="I93" s="66"/>
      <c r="J93" s="66"/>
      <c r="K93" s="66"/>
      <c r="L93" s="66"/>
      <c r="M93" s="66"/>
      <c r="N93" s="66"/>
    </row>
    <row r="94" spans="2:14">
      <c r="B94" s="59" t="s">
        <v>408</v>
      </c>
      <c r="C94" s="66"/>
      <c r="D94" s="66"/>
      <c r="E94" s="66"/>
      <c r="F94" s="66"/>
      <c r="G94" s="66"/>
      <c r="H94" s="160"/>
      <c r="I94" s="66"/>
      <c r="J94" s="66"/>
      <c r="K94" s="66"/>
      <c r="L94" s="66"/>
      <c r="M94" s="66"/>
      <c r="N94" s="66"/>
    </row>
    <row r="95" spans="2:14">
      <c r="B95" s="59" t="s">
        <v>409</v>
      </c>
      <c r="C95" s="66"/>
      <c r="D95" s="66"/>
      <c r="E95" s="66"/>
      <c r="F95" s="66"/>
      <c r="G95" s="66"/>
      <c r="H95" s="160"/>
      <c r="I95" s="66"/>
      <c r="J95" s="66"/>
      <c r="K95" s="66"/>
      <c r="L95" s="66"/>
      <c r="M95" s="66"/>
      <c r="N95" s="66"/>
    </row>
    <row r="96" spans="2:14">
      <c r="B96" s="59" t="s">
        <v>410</v>
      </c>
      <c r="C96" s="66">
        <f t="shared" ref="C96:N96" si="76">+C87-C88-C94-C95-C93-C92-C91-C90-C89</f>
        <v>0</v>
      </c>
      <c r="D96" s="66">
        <f t="shared" si="76"/>
        <v>5534509000</v>
      </c>
      <c r="E96" s="66">
        <f t="shared" si="76"/>
        <v>2815887000</v>
      </c>
      <c r="F96" s="66">
        <f t="shared" si="76"/>
        <v>3183646000</v>
      </c>
      <c r="G96" s="66">
        <f t="shared" si="76"/>
        <v>2883404000</v>
      </c>
      <c r="H96" s="66">
        <f t="shared" si="76"/>
        <v>3621293000</v>
      </c>
      <c r="I96" s="66">
        <f t="shared" si="76"/>
        <v>6041775000</v>
      </c>
      <c r="J96" s="66">
        <f t="shared" si="76"/>
        <v>0</v>
      </c>
      <c r="K96" s="66">
        <f t="shared" si="76"/>
        <v>0</v>
      </c>
      <c r="L96" s="66">
        <f t="shared" si="76"/>
        <v>0</v>
      </c>
      <c r="M96" s="66">
        <f t="shared" si="76"/>
        <v>0</v>
      </c>
      <c r="N96" s="66">
        <f t="shared" si="76"/>
        <v>0</v>
      </c>
    </row>
    <row r="97" spans="2:14">
      <c r="B97" s="58" t="s">
        <v>319</v>
      </c>
      <c r="C97" s="64"/>
      <c r="D97" s="64">
        <v>8913700000</v>
      </c>
      <c r="E97" s="64">
        <v>10794266000</v>
      </c>
      <c r="F97" s="64">
        <v>9322673000</v>
      </c>
      <c r="G97" s="64">
        <v>12133311000</v>
      </c>
      <c r="H97" s="141">
        <v>11399557000</v>
      </c>
      <c r="I97" s="64">
        <v>10106465000</v>
      </c>
      <c r="J97" s="64"/>
      <c r="K97" s="64"/>
      <c r="L97" s="64"/>
      <c r="M97" s="64"/>
      <c r="N97" s="64"/>
    </row>
    <row r="98" spans="2:14">
      <c r="B98" s="59" t="s">
        <v>411</v>
      </c>
      <c r="C98" s="66"/>
      <c r="D98" s="66"/>
      <c r="E98" s="66"/>
      <c r="F98" s="66"/>
      <c r="G98" s="66"/>
      <c r="H98" s="160"/>
      <c r="I98" s="66"/>
      <c r="J98" s="66"/>
      <c r="K98" s="66"/>
      <c r="L98" s="66"/>
      <c r="M98" s="66"/>
      <c r="N98" s="66"/>
    </row>
    <row r="99" spans="2:14">
      <c r="B99" s="59" t="s">
        <v>412</v>
      </c>
      <c r="C99" s="66"/>
      <c r="D99" s="66"/>
      <c r="E99" s="66"/>
      <c r="F99" s="66"/>
      <c r="G99" s="66"/>
      <c r="H99" s="160"/>
      <c r="I99" s="66"/>
      <c r="J99" s="66"/>
      <c r="K99" s="66"/>
      <c r="L99" s="66"/>
      <c r="M99" s="66"/>
      <c r="N99" s="66"/>
    </row>
    <row r="100" spans="2:14">
      <c r="B100" s="59" t="s">
        <v>413</v>
      </c>
      <c r="C100" s="66"/>
      <c r="D100" s="66"/>
      <c r="E100" s="66"/>
      <c r="F100" s="66"/>
      <c r="G100" s="66"/>
      <c r="H100" s="160"/>
      <c r="I100" s="66"/>
      <c r="J100" s="66"/>
      <c r="K100" s="66"/>
      <c r="L100" s="66"/>
      <c r="M100" s="66"/>
      <c r="N100" s="66"/>
    </row>
    <row r="101" spans="2:14">
      <c r="B101" s="59" t="s">
        <v>414</v>
      </c>
      <c r="C101" s="66"/>
      <c r="D101" s="66"/>
      <c r="E101" s="66"/>
      <c r="F101" s="66"/>
      <c r="G101" s="66"/>
      <c r="H101" s="160"/>
      <c r="I101" s="66"/>
      <c r="J101" s="66"/>
      <c r="K101" s="66"/>
      <c r="L101" s="66"/>
      <c r="M101" s="66"/>
      <c r="N101" s="66"/>
    </row>
    <row r="102" spans="2:14">
      <c r="B102" s="59" t="s">
        <v>341</v>
      </c>
      <c r="C102" s="66">
        <f t="shared" ref="C102:H102" si="77">+C97-C98-C100-C101-C99</f>
        <v>0</v>
      </c>
      <c r="D102" s="66">
        <f t="shared" si="77"/>
        <v>8913700000</v>
      </c>
      <c r="E102" s="66">
        <f t="shared" si="77"/>
        <v>10794266000</v>
      </c>
      <c r="F102" s="66">
        <f t="shared" si="77"/>
        <v>9322673000</v>
      </c>
      <c r="G102" s="66">
        <f t="shared" si="77"/>
        <v>12133311000</v>
      </c>
      <c r="H102" s="66">
        <f t="shared" si="77"/>
        <v>11399557000</v>
      </c>
      <c r="I102" s="66">
        <f t="shared" ref="I102:N102" si="78">+I97-I98-I100-I101-I99</f>
        <v>10106465000</v>
      </c>
      <c r="J102" s="66">
        <f t="shared" si="78"/>
        <v>0</v>
      </c>
      <c r="K102" s="66">
        <f t="shared" si="78"/>
        <v>0</v>
      </c>
      <c r="L102" s="66">
        <f t="shared" si="78"/>
        <v>0</v>
      </c>
      <c r="M102" s="66">
        <f t="shared" si="78"/>
        <v>0</v>
      </c>
      <c r="N102" s="66">
        <f t="shared" si="78"/>
        <v>0</v>
      </c>
    </row>
    <row r="103" spans="2:14" ht="14.65" thickBot="1">
      <c r="B103" s="60" t="s">
        <v>342</v>
      </c>
      <c r="C103" s="70">
        <f t="shared" ref="C103:H103" si="79">+C97+C87</f>
        <v>0</v>
      </c>
      <c r="D103" s="70">
        <f t="shared" si="79"/>
        <v>18564456000</v>
      </c>
      <c r="E103" s="70">
        <f t="shared" si="79"/>
        <v>17530198000</v>
      </c>
      <c r="F103" s="70">
        <f t="shared" si="79"/>
        <v>16599895000</v>
      </c>
      <c r="G103" s="70">
        <f t="shared" si="79"/>
        <v>19928845000</v>
      </c>
      <c r="H103" s="162">
        <f t="shared" si="79"/>
        <v>19326529000</v>
      </c>
      <c r="I103" s="162">
        <f t="shared" ref="I103:N103" si="80">+I97+I87</f>
        <v>19833885000</v>
      </c>
      <c r="J103" s="162">
        <f t="shared" si="80"/>
        <v>0</v>
      </c>
      <c r="K103" s="162">
        <f t="shared" si="80"/>
        <v>0</v>
      </c>
      <c r="L103" s="162">
        <f t="shared" si="80"/>
        <v>0</v>
      </c>
      <c r="M103" s="162">
        <f t="shared" si="80"/>
        <v>0</v>
      </c>
      <c r="N103" s="162">
        <f t="shared" si="80"/>
        <v>0</v>
      </c>
    </row>
    <row r="104" spans="2:14" ht="14.65" thickBot="1">
      <c r="B104" s="61"/>
      <c r="C104" s="61"/>
      <c r="D104" s="61"/>
      <c r="E104" s="61"/>
      <c r="F104" s="61"/>
      <c r="G104" s="61"/>
      <c r="H104" s="61"/>
      <c r="I104" s="61"/>
      <c r="J104" s="61"/>
      <c r="K104" s="61"/>
      <c r="L104" s="61"/>
      <c r="M104" s="61"/>
      <c r="N104" s="61"/>
    </row>
    <row r="105" spans="2:14">
      <c r="B105" s="57" t="s">
        <v>343</v>
      </c>
      <c r="C105" s="62"/>
      <c r="D105" s="62"/>
      <c r="E105" s="62"/>
      <c r="F105" s="62"/>
      <c r="G105" s="62"/>
      <c r="H105" s="164"/>
      <c r="I105" s="62"/>
      <c r="J105" s="62"/>
      <c r="K105" s="62"/>
      <c r="L105" s="62"/>
      <c r="M105" s="62"/>
      <c r="N105" s="62"/>
    </row>
    <row r="106" spans="2:14">
      <c r="B106" s="59" t="s">
        <v>415</v>
      </c>
      <c r="C106" s="160"/>
      <c r="D106" s="160">
        <v>6763204000</v>
      </c>
      <c r="E106" s="160">
        <v>9783875000</v>
      </c>
      <c r="F106" s="160">
        <v>9763078000</v>
      </c>
      <c r="G106" s="160">
        <v>15799499000</v>
      </c>
      <c r="H106" s="160">
        <v>15799227000</v>
      </c>
      <c r="I106" s="160">
        <v>15799227000</v>
      </c>
      <c r="J106" s="160"/>
      <c r="K106" s="160"/>
      <c r="L106" s="160"/>
      <c r="M106" s="160"/>
      <c r="N106" s="160"/>
    </row>
    <row r="107" spans="2:14">
      <c r="B107" s="59" t="s">
        <v>416</v>
      </c>
      <c r="C107" s="66"/>
      <c r="D107" s="66">
        <v>4841687000</v>
      </c>
      <c r="E107" s="66">
        <v>5474411000</v>
      </c>
      <c r="F107" s="66">
        <v>5415698000</v>
      </c>
      <c r="G107" s="66">
        <v>5768691000</v>
      </c>
      <c r="H107" s="160">
        <v>5715317000</v>
      </c>
      <c r="I107" s="66">
        <v>6200229000</v>
      </c>
      <c r="J107" s="66"/>
      <c r="K107" s="66"/>
      <c r="L107" s="66"/>
      <c r="M107" s="66"/>
      <c r="N107" s="66"/>
    </row>
    <row r="108" spans="2:14">
      <c r="B108" s="59" t="s">
        <v>345</v>
      </c>
      <c r="C108" s="66"/>
      <c r="D108" s="66">
        <v>-4880883000</v>
      </c>
      <c r="E108" s="66">
        <v>-5291999000</v>
      </c>
      <c r="F108" s="66">
        <v>-7072917000</v>
      </c>
      <c r="G108" s="66">
        <f>-8735261000-272000</f>
        <v>-8735533000</v>
      </c>
      <c r="H108" s="160">
        <f>-8557394000-272000</f>
        <v>-8557666000</v>
      </c>
      <c r="I108" s="66">
        <v>-7494819000</v>
      </c>
      <c r="J108" s="66"/>
      <c r="K108" s="66"/>
      <c r="L108" s="66"/>
      <c r="M108" s="66"/>
      <c r="N108" s="66"/>
    </row>
    <row r="109" spans="2:14">
      <c r="B109" s="59" t="s">
        <v>419</v>
      </c>
      <c r="C109" s="66"/>
      <c r="D109" s="66">
        <v>2107892000</v>
      </c>
      <c r="E109" s="66">
        <v>2279899000</v>
      </c>
      <c r="F109" s="66">
        <v>2227804000</v>
      </c>
      <c r="G109" s="66">
        <v>2197436000</v>
      </c>
      <c r="H109" s="160">
        <v>2489968000</v>
      </c>
      <c r="I109" s="66">
        <v>2516158000</v>
      </c>
      <c r="J109" s="66"/>
      <c r="K109" s="66"/>
      <c r="L109" s="66"/>
      <c r="M109" s="66"/>
      <c r="N109" s="66"/>
    </row>
    <row r="110" spans="2:14" ht="14.65" thickBot="1">
      <c r="B110" s="60" t="s">
        <v>420</v>
      </c>
      <c r="C110" s="70">
        <f t="shared" ref="C110:F110" si="81">+C106+C108+C107</f>
        <v>0</v>
      </c>
      <c r="D110" s="70">
        <f t="shared" si="81"/>
        <v>6724008000</v>
      </c>
      <c r="E110" s="70">
        <f t="shared" si="81"/>
        <v>9966287000</v>
      </c>
      <c r="F110" s="70">
        <f t="shared" si="81"/>
        <v>8105859000</v>
      </c>
      <c r="G110" s="70">
        <f>+G106+G108+G107</f>
        <v>12832657000</v>
      </c>
      <c r="H110" s="70">
        <f>+H106+H108+H107</f>
        <v>12956878000</v>
      </c>
      <c r="I110" s="70">
        <f t="shared" ref="I110:N110" si="82">+I106+I108+I107</f>
        <v>14504637000</v>
      </c>
      <c r="J110" s="70">
        <f t="shared" si="82"/>
        <v>0</v>
      </c>
      <c r="K110" s="70">
        <f t="shared" si="82"/>
        <v>0</v>
      </c>
      <c r="L110" s="70">
        <f t="shared" si="82"/>
        <v>0</v>
      </c>
      <c r="M110" s="70">
        <f t="shared" si="82"/>
        <v>0</v>
      </c>
      <c r="N110" s="70">
        <f t="shared" si="82"/>
        <v>0</v>
      </c>
    </row>
    <row r="111" spans="2:14" ht="14.65" thickBot="1">
      <c r="B111" s="60" t="s">
        <v>347</v>
      </c>
      <c r="C111" s="70">
        <f>+C110+C109</f>
        <v>0</v>
      </c>
      <c r="D111" s="70">
        <f t="shared" ref="D111:I111" si="83">+D110+D109</f>
        <v>8831900000</v>
      </c>
      <c r="E111" s="70">
        <f t="shared" si="83"/>
        <v>12246186000</v>
      </c>
      <c r="F111" s="70">
        <f t="shared" si="83"/>
        <v>10333663000</v>
      </c>
      <c r="G111" s="70">
        <f t="shared" si="83"/>
        <v>15030093000</v>
      </c>
      <c r="H111" s="70">
        <f t="shared" si="83"/>
        <v>15446846000</v>
      </c>
      <c r="I111" s="70">
        <f t="shared" si="83"/>
        <v>17020795000</v>
      </c>
      <c r="J111" s="70">
        <f t="shared" ref="J111:N111" si="84">+J110+J109</f>
        <v>0</v>
      </c>
      <c r="K111" s="70">
        <f t="shared" si="84"/>
        <v>0</v>
      </c>
      <c r="L111" s="70">
        <f t="shared" si="84"/>
        <v>0</v>
      </c>
      <c r="M111" s="70">
        <f t="shared" si="84"/>
        <v>0</v>
      </c>
      <c r="N111" s="70">
        <f t="shared" si="84"/>
        <v>0</v>
      </c>
    </row>
    <row r="113" spans="2:14" ht="14.65" thickBot="1">
      <c r="B113" s="75" t="s">
        <v>348</v>
      </c>
    </row>
    <row r="114" spans="2:14" ht="14.65" thickBot="1">
      <c r="B114" s="82" t="s">
        <v>308</v>
      </c>
      <c r="C114" s="88">
        <v>2017</v>
      </c>
      <c r="D114" s="88">
        <v>2018</v>
      </c>
      <c r="E114" s="88">
        <v>2019</v>
      </c>
      <c r="F114" s="88">
        <v>2020</v>
      </c>
      <c r="G114" s="88">
        <v>2021</v>
      </c>
      <c r="H114" s="88">
        <v>2022</v>
      </c>
      <c r="I114" s="88">
        <v>2023</v>
      </c>
      <c r="J114" s="88">
        <v>2024</v>
      </c>
      <c r="K114" s="88">
        <v>2025</v>
      </c>
      <c r="L114" s="88">
        <v>2026</v>
      </c>
      <c r="M114" s="88">
        <v>2027</v>
      </c>
      <c r="N114" s="88">
        <v>2028</v>
      </c>
    </row>
    <row r="115" spans="2:14">
      <c r="B115" s="83" t="s">
        <v>349</v>
      </c>
      <c r="C115" s="90"/>
      <c r="D115" s="90">
        <v>11924761000</v>
      </c>
      <c r="E115" s="90">
        <v>13053376000</v>
      </c>
      <c r="F115" s="90">
        <v>11238976000</v>
      </c>
      <c r="G115" s="90">
        <v>13230278000</v>
      </c>
      <c r="H115" s="90">
        <v>12040111000</v>
      </c>
      <c r="I115" s="90">
        <v>11768430000</v>
      </c>
      <c r="J115" s="90"/>
      <c r="K115" s="90"/>
      <c r="L115" s="90"/>
      <c r="M115" s="90"/>
      <c r="N115" s="90"/>
    </row>
    <row r="116" spans="2:14">
      <c r="B116" s="83" t="s">
        <v>716</v>
      </c>
      <c r="C116" s="90"/>
      <c r="D116" s="90">
        <v>1064928000</v>
      </c>
      <c r="E116" s="90">
        <v>1260736000</v>
      </c>
      <c r="F116" s="90">
        <v>953698000</v>
      </c>
      <c r="G116" s="90">
        <v>1645337000</v>
      </c>
      <c r="H116" s="90">
        <v>2147092000</v>
      </c>
      <c r="I116" s="90">
        <v>1119609000</v>
      </c>
      <c r="J116" s="90"/>
      <c r="K116" s="90"/>
      <c r="L116" s="90"/>
      <c r="M116" s="90"/>
      <c r="N116" s="90"/>
    </row>
    <row r="117" spans="2:14">
      <c r="B117" s="85" t="s">
        <v>534</v>
      </c>
      <c r="C117" s="66"/>
      <c r="D117" s="66">
        <v>-7948400000</v>
      </c>
      <c r="E117" s="66">
        <v>-8541023000</v>
      </c>
      <c r="F117" s="66">
        <v>-7555915000</v>
      </c>
      <c r="G117" s="66">
        <v>-9798987000</v>
      </c>
      <c r="H117" s="66">
        <v>-8369738000</v>
      </c>
      <c r="I117" s="66">
        <v>-7671711000</v>
      </c>
      <c r="J117" s="66"/>
      <c r="K117" s="66"/>
      <c r="L117" s="66"/>
      <c r="M117" s="66"/>
      <c r="N117" s="66"/>
    </row>
    <row r="118" spans="2:14">
      <c r="B118" s="86" t="s">
        <v>422</v>
      </c>
      <c r="C118" s="64">
        <f t="shared" ref="C118:H118" si="85">+C115+C117+C116</f>
        <v>0</v>
      </c>
      <c r="D118" s="64">
        <f t="shared" si="85"/>
        <v>5041289000</v>
      </c>
      <c r="E118" s="64">
        <f t="shared" si="85"/>
        <v>5773089000</v>
      </c>
      <c r="F118" s="64">
        <f t="shared" si="85"/>
        <v>4636759000</v>
      </c>
      <c r="G118" s="64">
        <f t="shared" si="85"/>
        <v>5076628000</v>
      </c>
      <c r="H118" s="64">
        <f t="shared" si="85"/>
        <v>5817465000</v>
      </c>
      <c r="I118" s="64">
        <f>+I115+I117+I116</f>
        <v>5216328000</v>
      </c>
      <c r="J118" s="64">
        <f t="shared" ref="J118:N118" si="86">+J115+J117+J116</f>
        <v>0</v>
      </c>
      <c r="K118" s="64">
        <f t="shared" si="86"/>
        <v>0</v>
      </c>
      <c r="L118" s="64">
        <f t="shared" si="86"/>
        <v>0</v>
      </c>
      <c r="M118" s="64">
        <f t="shared" si="86"/>
        <v>0</v>
      </c>
      <c r="N118" s="64">
        <f t="shared" si="86"/>
        <v>0</v>
      </c>
    </row>
    <row r="119" spans="2:14">
      <c r="B119" s="85" t="s">
        <v>592</v>
      </c>
      <c r="C119" s="64"/>
      <c r="D119" s="64"/>
      <c r="E119" s="64"/>
      <c r="F119" s="117"/>
      <c r="G119" s="117"/>
      <c r="H119" s="117"/>
      <c r="I119" s="117"/>
      <c r="J119" s="117"/>
      <c r="K119" s="117"/>
      <c r="L119" s="117"/>
      <c r="M119" s="117"/>
      <c r="N119" s="117"/>
    </row>
    <row r="120" spans="2:14">
      <c r="B120" s="85" t="s">
        <v>536</v>
      </c>
      <c r="C120" s="64"/>
      <c r="D120" s="64"/>
      <c r="E120" s="64"/>
      <c r="F120" s="117"/>
      <c r="G120" s="117"/>
      <c r="H120" s="117"/>
      <c r="I120" s="117"/>
      <c r="J120" s="117"/>
      <c r="K120" s="117"/>
      <c r="L120" s="117"/>
      <c r="M120" s="117"/>
      <c r="N120" s="117"/>
    </row>
    <row r="121" spans="2:14">
      <c r="B121" s="85" t="s">
        <v>537</v>
      </c>
      <c r="C121" s="64"/>
      <c r="D121" s="64"/>
      <c r="E121" s="64"/>
      <c r="F121" s="117"/>
      <c r="G121" s="117"/>
      <c r="H121" s="117"/>
      <c r="I121" s="117"/>
      <c r="J121" s="117"/>
      <c r="K121" s="117"/>
      <c r="L121" s="117"/>
      <c r="M121" s="117"/>
      <c r="N121" s="117"/>
    </row>
    <row r="122" spans="2:14">
      <c r="B122" s="85" t="s">
        <v>593</v>
      </c>
      <c r="C122" s="66"/>
      <c r="D122" s="66"/>
      <c r="E122" s="66"/>
      <c r="F122" s="117"/>
      <c r="G122" s="117"/>
      <c r="H122" s="117"/>
      <c r="I122" s="117"/>
      <c r="J122" s="117"/>
      <c r="K122" s="117"/>
      <c r="L122" s="117"/>
      <c r="M122" s="117"/>
      <c r="N122" s="117"/>
    </row>
    <row r="123" spans="2:14">
      <c r="B123" s="86" t="s">
        <v>428</v>
      </c>
      <c r="C123" s="64">
        <f t="shared" ref="C123" si="87">+C118+C122+C119+C120+C121</f>
        <v>0</v>
      </c>
      <c r="D123" s="64">
        <v>2434520000</v>
      </c>
      <c r="E123" s="64">
        <v>2768863000</v>
      </c>
      <c r="F123" s="64">
        <v>2053115000</v>
      </c>
      <c r="G123" s="64">
        <v>2274119000</v>
      </c>
      <c r="H123" s="64">
        <v>1639485000</v>
      </c>
      <c r="I123" s="64">
        <v>2387279000</v>
      </c>
      <c r="J123" s="64">
        <f t="shared" ref="J123:N123" si="88">+J118+J122+J119+J120+J121</f>
        <v>0</v>
      </c>
      <c r="K123" s="64">
        <f t="shared" si="88"/>
        <v>0</v>
      </c>
      <c r="L123" s="64">
        <f t="shared" si="88"/>
        <v>0</v>
      </c>
      <c r="M123" s="64">
        <f t="shared" si="88"/>
        <v>0</v>
      </c>
      <c r="N123" s="64">
        <f t="shared" si="88"/>
        <v>0</v>
      </c>
    </row>
    <row r="124" spans="2:14">
      <c r="B124" s="85" t="s">
        <v>429</v>
      </c>
      <c r="C124" s="66"/>
      <c r="D124" s="66"/>
      <c r="E124" s="66"/>
      <c r="F124" s="66"/>
      <c r="G124" s="131"/>
      <c r="H124" s="131"/>
      <c r="I124" s="131"/>
      <c r="J124" s="131"/>
      <c r="K124" s="131"/>
      <c r="L124" s="131"/>
      <c r="M124" s="131"/>
      <c r="N124" s="131"/>
    </row>
    <row r="125" spans="2:14">
      <c r="B125" s="85" t="s">
        <v>430</v>
      </c>
      <c r="C125" s="66"/>
      <c r="D125" s="66"/>
      <c r="E125" s="66"/>
      <c r="F125" s="66"/>
      <c r="G125" s="131"/>
      <c r="H125" s="131"/>
      <c r="I125" s="131"/>
      <c r="J125" s="131"/>
      <c r="K125" s="131"/>
      <c r="L125" s="131"/>
      <c r="M125" s="131"/>
      <c r="N125" s="131"/>
    </row>
    <row r="126" spans="2:14">
      <c r="B126" s="85" t="s">
        <v>431</v>
      </c>
      <c r="C126" s="66"/>
      <c r="D126" s="66"/>
      <c r="E126" s="66"/>
      <c r="F126" s="66"/>
      <c r="G126" s="131"/>
      <c r="H126" s="131"/>
      <c r="I126" s="131"/>
      <c r="J126" s="131"/>
      <c r="K126" s="131"/>
      <c r="L126" s="131"/>
      <c r="M126" s="131"/>
      <c r="N126" s="131"/>
    </row>
    <row r="127" spans="2:14">
      <c r="B127" s="85" t="s">
        <v>432</v>
      </c>
      <c r="C127" s="66"/>
      <c r="D127" s="66"/>
      <c r="E127" s="66"/>
      <c r="F127" s="66"/>
      <c r="G127" s="131"/>
      <c r="H127" s="131"/>
      <c r="I127" s="131"/>
      <c r="J127" s="131"/>
      <c r="K127" s="131"/>
      <c r="L127" s="131"/>
      <c r="M127" s="131"/>
      <c r="N127" s="131"/>
    </row>
    <row r="128" spans="2:14">
      <c r="B128" s="85" t="s">
        <v>433</v>
      </c>
      <c r="C128" s="66"/>
      <c r="D128" s="66"/>
      <c r="E128" s="66"/>
      <c r="F128" s="66"/>
      <c r="G128" s="131"/>
      <c r="H128" s="131"/>
      <c r="I128" s="131"/>
      <c r="J128" s="131"/>
      <c r="K128" s="131"/>
      <c r="L128" s="131"/>
      <c r="M128" s="131"/>
      <c r="N128" s="131"/>
    </row>
    <row r="129" spans="2:14">
      <c r="B129" s="86" t="s">
        <v>362</v>
      </c>
      <c r="C129" s="64">
        <f t="shared" ref="C129" si="89">+C123+C124+C125+C126+C127+C128</f>
        <v>0</v>
      </c>
      <c r="D129" s="64">
        <v>2104990000</v>
      </c>
      <c r="E129" s="64">
        <v>2406109000</v>
      </c>
      <c r="F129" s="64">
        <v>1747812000</v>
      </c>
      <c r="G129" s="64">
        <v>1578345000</v>
      </c>
      <c r="H129" s="64">
        <v>655261000</v>
      </c>
      <c r="I129" s="64">
        <v>1450462000</v>
      </c>
      <c r="J129" s="64">
        <f t="shared" ref="J129:N129" si="90">+J123+J124+J125+J126+J127+J128</f>
        <v>0</v>
      </c>
      <c r="K129" s="64">
        <f t="shared" si="90"/>
        <v>0</v>
      </c>
      <c r="L129" s="64">
        <f t="shared" si="90"/>
        <v>0</v>
      </c>
      <c r="M129" s="64">
        <f t="shared" si="90"/>
        <v>0</v>
      </c>
      <c r="N129" s="64">
        <f t="shared" si="90"/>
        <v>0</v>
      </c>
    </row>
    <row r="130" spans="2:14">
      <c r="B130" s="85" t="s">
        <v>363</v>
      </c>
      <c r="C130" s="66"/>
      <c r="D130" s="66">
        <v>-437932000</v>
      </c>
      <c r="E130" s="66">
        <v>-236346000</v>
      </c>
      <c r="F130" s="66">
        <v>-566560000</v>
      </c>
      <c r="G130" s="91">
        <v>-680701000</v>
      </c>
      <c r="H130" s="91">
        <v>-691710000</v>
      </c>
      <c r="I130" s="91">
        <v>-672901000</v>
      </c>
      <c r="J130" s="91"/>
      <c r="K130" s="91"/>
      <c r="L130" s="91"/>
      <c r="M130" s="91"/>
      <c r="N130" s="91"/>
    </row>
    <row r="131" spans="2:14">
      <c r="B131" s="85" t="s">
        <v>717</v>
      </c>
      <c r="C131" s="132"/>
      <c r="D131" s="132"/>
      <c r="E131" s="132"/>
      <c r="F131" s="132"/>
      <c r="G131" s="278">
        <v>236867000</v>
      </c>
      <c r="H131" s="278">
        <v>339548000</v>
      </c>
      <c r="I131" s="278">
        <v>394957000</v>
      </c>
      <c r="J131" s="278"/>
      <c r="K131" s="278"/>
      <c r="L131" s="278"/>
      <c r="M131" s="278"/>
      <c r="N131" s="278"/>
    </row>
    <row r="132" spans="2:14">
      <c r="B132" s="84" t="s">
        <v>365</v>
      </c>
      <c r="C132" s="130">
        <f t="shared" ref="C132:H132" si="91">+C129+C130+C131</f>
        <v>0</v>
      </c>
      <c r="D132" s="130">
        <f t="shared" si="91"/>
        <v>1667058000</v>
      </c>
      <c r="E132" s="130">
        <f t="shared" si="91"/>
        <v>2169763000</v>
      </c>
      <c r="F132" s="130">
        <f t="shared" si="91"/>
        <v>1181252000</v>
      </c>
      <c r="G132" s="130">
        <f t="shared" si="91"/>
        <v>1134511000</v>
      </c>
      <c r="H132" s="130">
        <f t="shared" si="91"/>
        <v>303099000</v>
      </c>
      <c r="I132" s="130">
        <f>+I129+I130+I131</f>
        <v>1172518000</v>
      </c>
      <c r="J132" s="130">
        <f t="shared" ref="J132:N132" si="92">+J129+J130+J131</f>
        <v>0</v>
      </c>
      <c r="K132" s="130">
        <f t="shared" si="92"/>
        <v>0</v>
      </c>
      <c r="L132" s="130">
        <f t="shared" si="92"/>
        <v>0</v>
      </c>
      <c r="M132" s="130">
        <f t="shared" si="92"/>
        <v>0</v>
      </c>
      <c r="N132" s="130">
        <f t="shared" si="92"/>
        <v>0</v>
      </c>
    </row>
    <row r="133" spans="2:14" ht="28.5">
      <c r="B133" s="87" t="s">
        <v>435</v>
      </c>
      <c r="C133" s="66"/>
      <c r="D133" s="66">
        <v>465677000</v>
      </c>
      <c r="E133" s="66">
        <v>555678000</v>
      </c>
      <c r="F133" s="66">
        <v>356055000</v>
      </c>
      <c r="G133" s="91">
        <v>393652000</v>
      </c>
      <c r="H133" s="91">
        <v>347244000</v>
      </c>
      <c r="I133" s="91">
        <v>308249000</v>
      </c>
      <c r="J133" s="91"/>
      <c r="K133" s="91"/>
      <c r="L133" s="91"/>
      <c r="M133" s="91"/>
      <c r="N133" s="91"/>
    </row>
    <row r="134" spans="2:14">
      <c r="B134" s="84" t="s">
        <v>436</v>
      </c>
      <c r="C134" s="66">
        <f>+C132-C133</f>
        <v>0</v>
      </c>
      <c r="D134" s="66">
        <f t="shared" ref="D134:I134" si="93">+D132-D133</f>
        <v>1201381000</v>
      </c>
      <c r="E134" s="66">
        <f t="shared" si="93"/>
        <v>1614085000</v>
      </c>
      <c r="F134" s="66">
        <f t="shared" si="93"/>
        <v>825197000</v>
      </c>
      <c r="G134" s="66">
        <f t="shared" si="93"/>
        <v>740859000</v>
      </c>
      <c r="H134" s="66">
        <f t="shared" si="93"/>
        <v>-44145000</v>
      </c>
      <c r="I134" s="66">
        <f t="shared" si="93"/>
        <v>864269000</v>
      </c>
      <c r="J134" s="66">
        <f t="shared" ref="J134:N134" si="94">+J132-J133</f>
        <v>0</v>
      </c>
      <c r="K134" s="66">
        <f t="shared" si="94"/>
        <v>0</v>
      </c>
      <c r="L134" s="66">
        <f t="shared" si="94"/>
        <v>0</v>
      </c>
      <c r="M134" s="66">
        <f t="shared" si="94"/>
        <v>0</v>
      </c>
      <c r="N134" s="66">
        <f t="shared" si="94"/>
        <v>0</v>
      </c>
    </row>
    <row r="135" spans="2:14">
      <c r="B135" s="84" t="s">
        <v>366</v>
      </c>
      <c r="C135" s="111"/>
      <c r="D135" s="172">
        <v>2.0910000000000002E-2</v>
      </c>
      <c r="E135" s="172">
        <v>2.4649999999999998E-2</v>
      </c>
      <c r="F135" s="199">
        <v>1.085E-2</v>
      </c>
      <c r="G135" s="311">
        <v>7.4400000000000004E-3</v>
      </c>
      <c r="H135" s="311">
        <v>-4.0999999999999999E-4</v>
      </c>
      <c r="I135" s="311">
        <v>8.0599999999999995E-3</v>
      </c>
      <c r="J135" s="311"/>
      <c r="K135" s="311"/>
      <c r="L135" s="311"/>
      <c r="M135" s="311"/>
      <c r="N135" s="311"/>
    </row>
    <row r="137" spans="2:14" ht="14.65" thickBot="1">
      <c r="B137" s="75" t="s">
        <v>367</v>
      </c>
    </row>
    <row r="138" spans="2:14" ht="14.65" thickBot="1">
      <c r="B138" s="82" t="s">
        <v>308</v>
      </c>
      <c r="C138" s="88">
        <v>2017</v>
      </c>
      <c r="D138" s="88">
        <v>2018</v>
      </c>
      <c r="E138" s="88">
        <v>2019</v>
      </c>
      <c r="F138" s="88">
        <v>2020</v>
      </c>
      <c r="G138" s="88">
        <v>2021</v>
      </c>
      <c r="H138" s="88">
        <v>2022</v>
      </c>
      <c r="I138" s="88">
        <v>2023</v>
      </c>
      <c r="J138" s="88">
        <v>2024</v>
      </c>
      <c r="K138" s="88">
        <v>2025</v>
      </c>
      <c r="L138" s="88">
        <v>2026</v>
      </c>
      <c r="M138" s="88">
        <v>2027</v>
      </c>
      <c r="N138" s="88">
        <v>2028</v>
      </c>
    </row>
    <row r="139" spans="2:14">
      <c r="B139" s="83" t="s">
        <v>368</v>
      </c>
      <c r="C139" s="90"/>
      <c r="D139" s="90">
        <v>1844565000</v>
      </c>
      <c r="E139" s="90">
        <v>2527511000</v>
      </c>
      <c r="F139" s="90">
        <v>2425510000</v>
      </c>
      <c r="G139" s="90">
        <v>2615576000</v>
      </c>
      <c r="H139" s="90">
        <v>3818547000</v>
      </c>
      <c r="I139" s="90">
        <v>2538583000</v>
      </c>
      <c r="J139" s="90"/>
      <c r="K139" s="90"/>
      <c r="L139" s="90"/>
      <c r="M139" s="90"/>
      <c r="N139" s="90"/>
    </row>
    <row r="140" spans="2:14">
      <c r="B140" s="86" t="s">
        <v>369</v>
      </c>
      <c r="C140" s="91"/>
      <c r="D140" s="93">
        <v>-3069189000</v>
      </c>
      <c r="E140" s="93">
        <v>-1599798000</v>
      </c>
      <c r="F140" s="66">
        <v>-1535616000</v>
      </c>
      <c r="G140" s="93">
        <v>-1934297000</v>
      </c>
      <c r="H140" s="66">
        <v>-3193775000</v>
      </c>
      <c r="I140" s="66">
        <v>-1296507000</v>
      </c>
      <c r="J140" s="66"/>
      <c r="K140" s="66"/>
      <c r="L140" s="66"/>
      <c r="M140" s="66"/>
      <c r="N140" s="66"/>
    </row>
    <row r="141" spans="2:14">
      <c r="B141" s="85" t="s">
        <v>370</v>
      </c>
      <c r="C141" s="93"/>
      <c r="D141" s="93">
        <v>-750435000</v>
      </c>
      <c r="E141" s="93">
        <v>-891599000</v>
      </c>
      <c r="F141" s="93">
        <v>-813827000</v>
      </c>
      <c r="G141" s="93">
        <v>-1841204000</v>
      </c>
      <c r="H141" s="93">
        <v>-2124983000</v>
      </c>
      <c r="I141" s="93">
        <v>-2134815000</v>
      </c>
      <c r="J141" s="93"/>
      <c r="K141" s="93"/>
      <c r="L141" s="93"/>
      <c r="M141" s="93"/>
      <c r="N141" s="93"/>
    </row>
    <row r="142" spans="2:14">
      <c r="B142" s="86" t="s">
        <v>372</v>
      </c>
      <c r="C142" s="120"/>
      <c r="D142" s="120">
        <v>1867066000</v>
      </c>
      <c r="E142" s="64">
        <v>-822904000</v>
      </c>
      <c r="F142" s="120">
        <v>-1186535000</v>
      </c>
      <c r="G142" s="120">
        <v>-594750000</v>
      </c>
      <c r="H142" s="120">
        <v>-862623000</v>
      </c>
      <c r="I142" s="120">
        <v>-874153000</v>
      </c>
      <c r="J142" s="120"/>
      <c r="K142" s="120"/>
      <c r="L142" s="120"/>
      <c r="M142" s="120"/>
      <c r="N142" s="120"/>
    </row>
    <row r="143" spans="2:14">
      <c r="B143" s="85" t="s">
        <v>373</v>
      </c>
      <c r="C143" s="93"/>
      <c r="D143" s="93">
        <v>-591958000</v>
      </c>
      <c r="E143" s="66">
        <v>-723983000</v>
      </c>
      <c r="F143" s="93">
        <v>-1057692000</v>
      </c>
      <c r="G143" s="93">
        <v>-962959000</v>
      </c>
      <c r="H143" s="93">
        <v>-665372000</v>
      </c>
      <c r="I143" s="93">
        <v>-360585000</v>
      </c>
      <c r="J143" s="93"/>
      <c r="K143" s="93"/>
      <c r="L143" s="93"/>
      <c r="M143" s="93"/>
      <c r="N143" s="93"/>
    </row>
    <row r="144" spans="2:14">
      <c r="B144" s="85" t="s">
        <v>437</v>
      </c>
      <c r="C144" s="93"/>
      <c r="D144" s="93">
        <v>-439552000</v>
      </c>
      <c r="E144" s="66">
        <v>-614599000</v>
      </c>
      <c r="F144" s="93">
        <v>-326703000</v>
      </c>
      <c r="G144" s="93">
        <v>-338978000</v>
      </c>
      <c r="H144" s="93">
        <v>-758155000</v>
      </c>
      <c r="I144" s="93">
        <v>-857413000</v>
      </c>
      <c r="J144" s="93"/>
      <c r="K144" s="93"/>
      <c r="L144" s="93"/>
      <c r="M144" s="93"/>
      <c r="N144" s="93"/>
    </row>
    <row r="145" spans="2:14">
      <c r="B145" s="86" t="s">
        <v>375</v>
      </c>
      <c r="C145" s="64"/>
      <c r="D145" s="64"/>
      <c r="E145" s="64"/>
      <c r="F145" s="64"/>
      <c r="G145" s="64"/>
      <c r="H145" s="64"/>
      <c r="I145" s="64"/>
      <c r="J145" s="64"/>
      <c r="K145" s="64"/>
      <c r="L145" s="64"/>
      <c r="M145" s="64"/>
      <c r="N145" s="64"/>
    </row>
    <row r="146" spans="2:14">
      <c r="B146" s="85"/>
      <c r="C146" s="66"/>
      <c r="D146" s="66"/>
      <c r="E146" s="66"/>
      <c r="F146" s="66"/>
      <c r="G146" s="66"/>
      <c r="H146" s="66"/>
      <c r="I146" s="66"/>
      <c r="J146" s="66"/>
      <c r="K146" s="66"/>
      <c r="L146" s="66"/>
      <c r="M146" s="66"/>
      <c r="N146" s="66"/>
    </row>
    <row r="147" spans="2:14">
      <c r="B147" s="84" t="s">
        <v>376</v>
      </c>
      <c r="C147" s="131">
        <f t="shared" ref="C147:G147" si="95">+C139+C141+C144</f>
        <v>0</v>
      </c>
      <c r="D147" s="131">
        <f t="shared" si="95"/>
        <v>654578000</v>
      </c>
      <c r="E147" s="131">
        <f t="shared" si="95"/>
        <v>1021313000</v>
      </c>
      <c r="F147" s="131">
        <f t="shared" si="95"/>
        <v>1284980000</v>
      </c>
      <c r="G147" s="131">
        <f t="shared" si="95"/>
        <v>435394000</v>
      </c>
      <c r="H147" s="131">
        <f>+H139+H141+H144</f>
        <v>935409000</v>
      </c>
      <c r="I147" s="131">
        <f t="shared" ref="I147:N147" si="96">+I139+I141+I144</f>
        <v>-453645000</v>
      </c>
      <c r="J147" s="131">
        <f t="shared" si="96"/>
        <v>0</v>
      </c>
      <c r="K147" s="131">
        <f t="shared" si="96"/>
        <v>0</v>
      </c>
      <c r="L147" s="131">
        <f t="shared" si="96"/>
        <v>0</v>
      </c>
      <c r="M147" s="131">
        <f t="shared" si="96"/>
        <v>0</v>
      </c>
      <c r="N147" s="131">
        <f t="shared" si="96"/>
        <v>0</v>
      </c>
    </row>
  </sheetData>
  <conditionalFormatting sqref="C63:H69 D70:H70 C71:H103">
    <cfRule type="cellIs" dxfId="164" priority="18" operator="lessThan">
      <formula>0</formula>
    </cfRule>
  </conditionalFormatting>
  <conditionalFormatting sqref="C115:N135">
    <cfRule type="cellIs" dxfId="163" priority="2" operator="lessThan">
      <formula>0</formula>
    </cfRule>
  </conditionalFormatting>
  <conditionalFormatting sqref="C139:N147">
    <cfRule type="cellIs" dxfId="162" priority="1" operator="lessThan">
      <formula>0</formula>
    </cfRule>
  </conditionalFormatting>
  <conditionalFormatting sqref="I63:N103 C105:N111">
    <cfRule type="cellIs" dxfId="161" priority="3" operator="lessThan">
      <formula>0</formula>
    </cfRule>
  </conditionalFormatting>
  <pageMargins left="0.7" right="0.7" top="0.75" bottom="0.75" header="0.3" footer="0.3"/>
  <pageSetup paperSize="9" orientation="portrait"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E448-0C34-4B19-98D9-81DE287BCF9F}">
  <sheetPr codeName="Hoja10"/>
  <dimension ref="B2:P161"/>
  <sheetViews>
    <sheetView zoomScaleNormal="100" workbookViewId="0">
      <pane xSplit="2" ySplit="6" topLeftCell="C40" activePane="bottomRight" state="frozen"/>
      <selection pane="bottomRight" activeCell="C40" sqref="C40"/>
      <selection pane="bottomLeft" activeCell="A7" sqref="A7"/>
      <selection pane="topRight" activeCell="C1" sqref="C1"/>
    </sheetView>
  </sheetViews>
  <sheetFormatPr defaultColWidth="10.7109375" defaultRowHeight="14.25"/>
  <cols>
    <col min="1" max="1" width="3" customWidth="1"/>
    <col min="2" max="2" width="42.28515625" bestFit="1" customWidth="1"/>
    <col min="3" max="7" width="35.7109375" bestFit="1" customWidth="1"/>
    <col min="8" max="9" width="38" bestFit="1" customWidth="1"/>
    <col min="10" max="10" width="37" bestFit="1" customWidth="1"/>
    <col min="11" max="14" width="30.7109375" customWidth="1"/>
  </cols>
  <sheetData>
    <row r="2" spans="2:14" ht="21">
      <c r="B2" s="313">
        <f ca="1">TODAY()-1</f>
        <v>46105</v>
      </c>
      <c r="C2" s="314"/>
      <c r="D2" s="344" t="s">
        <v>265</v>
      </c>
      <c r="E2" s="345" t="s">
        <v>266</v>
      </c>
    </row>
    <row r="3" spans="2:14" ht="25.5">
      <c r="B3" s="376" cm="1">
        <f t="array" aca="1" ref="B3" ca="1">_FV(B6,"Precio")</f>
        <v>70.7</v>
      </c>
      <c r="C3" s="316"/>
      <c r="D3" s="346">
        <f>AVERAGE(G45:I45)</f>
        <v>2.9589999999999996</v>
      </c>
      <c r="E3" s="346">
        <f>AVERAGE(G44:I44)</f>
        <v>2.9589999999999996</v>
      </c>
    </row>
    <row r="4" spans="2:14" ht="28.5">
      <c r="B4" s="319"/>
      <c r="C4" s="320"/>
      <c r="D4" s="328"/>
      <c r="E4" s="328"/>
    </row>
    <row r="6" spans="2:14" ht="33.4">
      <c r="B6" s="3" t="e" vm="30">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+C69</f>
        <v>1055136552000</v>
      </c>
      <c r="D7" s="5">
        <f t="shared" ref="D7:I7" si="0">+D69</f>
        <v>996947772000</v>
      </c>
      <c r="E7" s="5">
        <f t="shared" si="0"/>
        <v>1018212660000</v>
      </c>
      <c r="F7" s="5">
        <f t="shared" si="0"/>
        <v>1026401196000</v>
      </c>
      <c r="G7" s="5">
        <f t="shared" si="0"/>
        <v>1268252493000</v>
      </c>
      <c r="H7" s="5">
        <f t="shared" si="0"/>
        <v>3064242319000</v>
      </c>
      <c r="I7" s="5">
        <f t="shared" si="0"/>
        <v>2370971259000</v>
      </c>
      <c r="J7" s="5">
        <f t="shared" ref="J7:N7" si="1">+J69</f>
        <v>2234218853000</v>
      </c>
      <c r="K7" s="5">
        <f t="shared" si="1"/>
        <v>0</v>
      </c>
      <c r="L7" s="5">
        <f t="shared" si="1"/>
        <v>0</v>
      </c>
      <c r="M7" s="5">
        <f t="shared" si="1"/>
        <v>0</v>
      </c>
      <c r="N7" s="5">
        <f t="shared" si="1"/>
        <v>0</v>
      </c>
    </row>
    <row r="8" spans="2:14" ht="25.5">
      <c r="B8" s="175" t="s">
        <v>377</v>
      </c>
      <c r="C8" s="176">
        <f>+C73</f>
        <v>406968537000</v>
      </c>
      <c r="D8" s="176">
        <f t="shared" ref="D8:I8" si="2">+D73</f>
        <v>478170067000</v>
      </c>
      <c r="E8" s="176">
        <f t="shared" si="2"/>
        <v>511455330000</v>
      </c>
      <c r="F8" s="176">
        <f t="shared" si="2"/>
        <v>554886639000</v>
      </c>
      <c r="G8" s="176">
        <f t="shared" si="2"/>
        <v>688185127000</v>
      </c>
      <c r="H8" s="176">
        <f t="shared" si="2"/>
        <v>1509513355000</v>
      </c>
      <c r="I8" s="176">
        <f t="shared" si="2"/>
        <v>1449294549000</v>
      </c>
      <c r="J8" s="176">
        <f t="shared" ref="J8:N8" si="3">+J73</f>
        <v>1489965233000</v>
      </c>
      <c r="K8" s="176">
        <f t="shared" si="3"/>
        <v>0</v>
      </c>
      <c r="L8" s="176">
        <f t="shared" si="3"/>
        <v>0</v>
      </c>
      <c r="M8" s="176">
        <f t="shared" si="3"/>
        <v>0</v>
      </c>
      <c r="N8" s="176">
        <f t="shared" si="3"/>
        <v>0</v>
      </c>
    </row>
    <row r="9" spans="2:14" ht="25.5">
      <c r="B9" s="175" t="s">
        <v>718</v>
      </c>
      <c r="C9" s="176">
        <f>+C75</f>
        <v>39686942000</v>
      </c>
      <c r="D9" s="176">
        <f t="shared" ref="D9:I9" si="4">+D75</f>
        <v>56961643000</v>
      </c>
      <c r="E9" s="176">
        <f t="shared" si="4"/>
        <v>39672250000</v>
      </c>
      <c r="F9" s="176">
        <f t="shared" si="4"/>
        <v>23310029000</v>
      </c>
      <c r="G9" s="176">
        <f t="shared" si="4"/>
        <v>31247710000</v>
      </c>
      <c r="H9" s="176">
        <f t="shared" si="4"/>
        <v>77916093000</v>
      </c>
      <c r="I9" s="176">
        <f t="shared" si="4"/>
        <v>58761879000</v>
      </c>
      <c r="J9" s="176">
        <f t="shared" ref="J9:N9" si="5">+J75</f>
        <v>65168573000</v>
      </c>
      <c r="K9" s="176">
        <f t="shared" si="5"/>
        <v>0</v>
      </c>
      <c r="L9" s="176">
        <f t="shared" si="5"/>
        <v>0</v>
      </c>
      <c r="M9" s="176">
        <f t="shared" si="5"/>
        <v>0</v>
      </c>
      <c r="N9" s="176">
        <f t="shared" si="5"/>
        <v>0</v>
      </c>
    </row>
    <row r="10" spans="2:14" ht="25.5">
      <c r="B10" s="4" t="s">
        <v>719</v>
      </c>
      <c r="C10" s="5">
        <f>+C79</f>
        <v>4639636456000</v>
      </c>
      <c r="D10" s="5">
        <f t="shared" ref="D10:I10" si="6">+D79</f>
        <v>6491072392000</v>
      </c>
      <c r="E10" s="5">
        <f t="shared" si="6"/>
        <v>6839775504000</v>
      </c>
      <c r="F10" s="5">
        <f t="shared" si="6"/>
        <v>6878070388000</v>
      </c>
      <c r="G10" s="5">
        <f t="shared" si="6"/>
        <v>8232071103000</v>
      </c>
      <c r="H10" s="5">
        <f t="shared" si="6"/>
        <v>8801337413000</v>
      </c>
      <c r="I10" s="5">
        <f t="shared" si="6"/>
        <v>9462749777000</v>
      </c>
      <c r="J10" s="5">
        <f t="shared" ref="J10:N10" si="7">+J79</f>
        <v>10485678731000</v>
      </c>
      <c r="K10" s="5">
        <f t="shared" si="7"/>
        <v>0</v>
      </c>
      <c r="L10" s="5">
        <f t="shared" si="7"/>
        <v>0</v>
      </c>
      <c r="M10" s="5">
        <f t="shared" si="7"/>
        <v>0</v>
      </c>
      <c r="N10" s="5">
        <f t="shared" si="7"/>
        <v>0</v>
      </c>
    </row>
    <row r="11" spans="2:14" ht="25.5">
      <c r="B11" s="8" t="s">
        <v>272</v>
      </c>
      <c r="C11" s="9">
        <f t="shared" ref="C11" si="8">+C7+C10</f>
        <v>5694773008000</v>
      </c>
      <c r="D11" s="9">
        <f t="shared" ref="D11:I11" si="9">+D7+D10</f>
        <v>7488020164000</v>
      </c>
      <c r="E11" s="9">
        <f t="shared" si="9"/>
        <v>7857988164000</v>
      </c>
      <c r="F11" s="9">
        <f t="shared" si="9"/>
        <v>7904471584000</v>
      </c>
      <c r="G11" s="9">
        <f t="shared" si="9"/>
        <v>9500323596000</v>
      </c>
      <c r="H11" s="9">
        <f t="shared" si="9"/>
        <v>11865579732000</v>
      </c>
      <c r="I11" s="9">
        <f t="shared" si="9"/>
        <v>11833721036000</v>
      </c>
      <c r="J11" s="9">
        <f t="shared" ref="J11:N11" si="10">+J7+J10</f>
        <v>12719897584000</v>
      </c>
      <c r="K11" s="9">
        <f t="shared" si="10"/>
        <v>0</v>
      </c>
      <c r="L11" s="9">
        <f t="shared" si="10"/>
        <v>0</v>
      </c>
      <c r="M11" s="9">
        <f t="shared" si="10"/>
        <v>0</v>
      </c>
      <c r="N11" s="9">
        <f t="shared" si="10"/>
        <v>0</v>
      </c>
    </row>
    <row r="12" spans="2:14" ht="25.5">
      <c r="B12" s="10" t="s">
        <v>273</v>
      </c>
      <c r="C12" s="11">
        <f>+C95</f>
        <v>816816646000</v>
      </c>
      <c r="D12" s="11">
        <f t="shared" ref="D12:I12" si="11">+D95</f>
        <v>1217464152000</v>
      </c>
      <c r="E12" s="11">
        <f t="shared" si="11"/>
        <v>1041299852000</v>
      </c>
      <c r="F12" s="11">
        <f t="shared" si="11"/>
        <v>1045480165000</v>
      </c>
      <c r="G12" s="11">
        <f t="shared" si="11"/>
        <v>2132326217000</v>
      </c>
      <c r="H12" s="11">
        <f t="shared" si="11"/>
        <v>3168491880000</v>
      </c>
      <c r="I12" s="11">
        <f t="shared" si="11"/>
        <v>2793918344000</v>
      </c>
      <c r="J12" s="11">
        <f t="shared" ref="J12:N12" si="12">+J95</f>
        <v>2243487401000</v>
      </c>
      <c r="K12" s="11">
        <f t="shared" si="12"/>
        <v>0</v>
      </c>
      <c r="L12" s="11">
        <f t="shared" si="12"/>
        <v>0</v>
      </c>
      <c r="M12" s="11">
        <f t="shared" si="12"/>
        <v>0</v>
      </c>
      <c r="N12" s="11">
        <f t="shared" si="12"/>
        <v>0</v>
      </c>
    </row>
    <row r="13" spans="2:14" ht="25.5">
      <c r="B13" s="10" t="s">
        <v>274</v>
      </c>
      <c r="C13" s="11">
        <f>+C105</f>
        <v>1090994705000</v>
      </c>
      <c r="D13" s="11">
        <f t="shared" ref="D13:I13" si="13">+D105</f>
        <v>2596392231000</v>
      </c>
      <c r="E13" s="11">
        <f t="shared" si="13"/>
        <v>3069404660000</v>
      </c>
      <c r="F13" s="11">
        <f t="shared" si="13"/>
        <v>3264716920000</v>
      </c>
      <c r="G13" s="11">
        <f t="shared" si="13"/>
        <v>4021504481000</v>
      </c>
      <c r="H13" s="11">
        <f t="shared" si="13"/>
        <v>4308148549000</v>
      </c>
      <c r="I13" s="11">
        <f t="shared" si="13"/>
        <v>4278916420000</v>
      </c>
      <c r="J13" s="11">
        <f t="shared" ref="J13:N13" si="14">+J105</f>
        <v>5150030668000</v>
      </c>
      <c r="K13" s="11">
        <f t="shared" si="14"/>
        <v>0</v>
      </c>
      <c r="L13" s="11">
        <f t="shared" si="14"/>
        <v>0</v>
      </c>
      <c r="M13" s="11">
        <f t="shared" si="14"/>
        <v>0</v>
      </c>
      <c r="N13" s="11">
        <f t="shared" si="14"/>
        <v>0</v>
      </c>
    </row>
    <row r="14" spans="2:14" ht="25.5">
      <c r="B14" s="12" t="s">
        <v>275</v>
      </c>
      <c r="C14" s="13">
        <f t="shared" ref="C14" si="15">SUM(C12:C13)</f>
        <v>1907811351000</v>
      </c>
      <c r="D14" s="13">
        <f t="shared" ref="D14:I14" si="16">SUM(D12:D13)</f>
        <v>3813856383000</v>
      </c>
      <c r="E14" s="13">
        <f t="shared" si="16"/>
        <v>4110704512000</v>
      </c>
      <c r="F14" s="13">
        <f t="shared" si="16"/>
        <v>4310197085000</v>
      </c>
      <c r="G14" s="13">
        <f t="shared" si="16"/>
        <v>6153830698000</v>
      </c>
      <c r="H14" s="13">
        <f t="shared" si="16"/>
        <v>7476640429000</v>
      </c>
      <c r="I14" s="13">
        <f t="shared" si="16"/>
        <v>7072834764000</v>
      </c>
      <c r="J14" s="13">
        <f t="shared" ref="J14:N14" si="17">SUM(J12:J13)</f>
        <v>7393518069000</v>
      </c>
      <c r="K14" s="13">
        <f t="shared" si="17"/>
        <v>0</v>
      </c>
      <c r="L14" s="13">
        <f t="shared" si="17"/>
        <v>0</v>
      </c>
      <c r="M14" s="13">
        <f t="shared" si="17"/>
        <v>0</v>
      </c>
      <c r="N14" s="13">
        <f t="shared" si="17"/>
        <v>0</v>
      </c>
    </row>
    <row r="15" spans="2:14" ht="25.5">
      <c r="B15" s="14" t="s">
        <v>276</v>
      </c>
      <c r="C15" s="15">
        <f>+C122</f>
        <v>2983384010000</v>
      </c>
      <c r="D15" s="15">
        <f t="shared" ref="D15:I15" si="18">+D122</f>
        <v>3421228519000</v>
      </c>
      <c r="E15" s="15">
        <f t="shared" si="18"/>
        <v>3483697986000</v>
      </c>
      <c r="F15" s="15">
        <f t="shared" si="18"/>
        <v>3351915790000</v>
      </c>
      <c r="G15" s="15">
        <f t="shared" si="18"/>
        <v>3097868353000</v>
      </c>
      <c r="H15" s="15">
        <f t="shared" si="18"/>
        <v>4097200895000</v>
      </c>
      <c r="I15" s="15">
        <f t="shared" si="18"/>
        <v>4446079918000</v>
      </c>
      <c r="J15" s="15">
        <f t="shared" ref="J15:N15" si="19">+J122</f>
        <v>4958798421000</v>
      </c>
      <c r="K15" s="15">
        <f t="shared" si="19"/>
        <v>0</v>
      </c>
      <c r="L15" s="15">
        <f t="shared" si="19"/>
        <v>0</v>
      </c>
      <c r="M15" s="15">
        <f t="shared" si="19"/>
        <v>0</v>
      </c>
      <c r="N15" s="15">
        <f t="shared" si="19"/>
        <v>0</v>
      </c>
    </row>
    <row r="16" spans="2:14" ht="25.5">
      <c r="B16" s="205" t="s">
        <v>278</v>
      </c>
      <c r="C16" s="206">
        <v>49092772762</v>
      </c>
      <c r="D16" s="206">
        <v>69166557220</v>
      </c>
      <c r="E16" s="206">
        <v>69166557220</v>
      </c>
      <c r="F16" s="206">
        <v>69166557220</v>
      </c>
      <c r="G16" s="206">
        <v>69166557220</v>
      </c>
      <c r="H16" s="206">
        <v>69166557220</v>
      </c>
      <c r="I16" s="206">
        <v>69166557220</v>
      </c>
      <c r="J16" s="206">
        <v>69166557220</v>
      </c>
      <c r="K16" s="206"/>
      <c r="L16" s="206"/>
      <c r="M16" s="206"/>
      <c r="N16" s="206"/>
    </row>
    <row r="18" spans="2:14" ht="25.5">
      <c r="B18" s="18" t="s">
        <v>279</v>
      </c>
      <c r="C18" s="19">
        <f t="shared" ref="C18:I18" si="20">(C15/C16)</f>
        <v>60.770330175957639</v>
      </c>
      <c r="D18" s="19">
        <f t="shared" si="20"/>
        <v>49.463623122342248</v>
      </c>
      <c r="E18" s="19">
        <f t="shared" si="20"/>
        <v>50.366797568358137</v>
      </c>
      <c r="F18" s="19">
        <f t="shared" si="20"/>
        <v>48.461509792058436</v>
      </c>
      <c r="G18" s="19">
        <f t="shared" si="20"/>
        <v>44.788528987304133</v>
      </c>
      <c r="H18" s="19">
        <f t="shared" si="20"/>
        <v>59.236733179705887</v>
      </c>
      <c r="I18" s="19">
        <f t="shared" si="20"/>
        <v>64.280775228673434</v>
      </c>
      <c r="J18" s="19">
        <f>(J15/J16)</f>
        <v>71.693584592152121</v>
      </c>
      <c r="K18" s="19" t="e">
        <f t="shared" ref="K18:N18" si="21">(K15/K16)</f>
        <v>#DIV/0!</v>
      </c>
      <c r="L18" s="19" t="e">
        <f t="shared" si="21"/>
        <v>#DIV/0!</v>
      </c>
      <c r="M18" s="19" t="e">
        <f t="shared" si="21"/>
        <v>#DIV/0!</v>
      </c>
      <c r="N18" s="19" t="e">
        <f t="shared" si="21"/>
        <v>#DIV/0!</v>
      </c>
    </row>
    <row r="19" spans="2:14" ht="25.5">
      <c r="B19" s="76" t="s">
        <v>282</v>
      </c>
      <c r="C19" s="77">
        <v>72.81</v>
      </c>
      <c r="D19" s="77">
        <v>66.97</v>
      </c>
      <c r="E19" s="77">
        <v>70.59</v>
      </c>
      <c r="F19" s="77">
        <v>55.24</v>
      </c>
      <c r="G19" s="77">
        <v>30.01</v>
      </c>
      <c r="H19" s="101">
        <v>38.99</v>
      </c>
      <c r="I19" s="101">
        <v>57</v>
      </c>
      <c r="J19" s="101">
        <v>58.3</v>
      </c>
      <c r="K19" s="101"/>
      <c r="L19" s="101"/>
      <c r="M19" s="101"/>
      <c r="N19" s="101"/>
    </row>
    <row r="20" spans="2:14" ht="25.5">
      <c r="B20" s="18" t="s">
        <v>283</v>
      </c>
      <c r="C20" s="19">
        <f>+C19/C40</f>
        <v>10.226123595505618</v>
      </c>
      <c r="D20" s="19">
        <f t="shared" ref="D20:I20" si="22">+D19/D40</f>
        <v>11.832155477031801</v>
      </c>
      <c r="E20" s="19">
        <f t="shared" si="22"/>
        <v>16.492990654205606</v>
      </c>
      <c r="F20" s="19">
        <f t="shared" si="22"/>
        <v>-74.648648648648646</v>
      </c>
      <c r="G20" s="19">
        <f t="shared" si="22"/>
        <v>24.398373983739837</v>
      </c>
      <c r="H20" s="19">
        <f t="shared" si="22"/>
        <v>2.1541436464088397</v>
      </c>
      <c r="I20" s="19">
        <f t="shared" si="22"/>
        <v>6.2227074235807862</v>
      </c>
      <c r="J20" s="19">
        <f t="shared" ref="J20:N20" si="23">+J19/J40</f>
        <v>27.761904761904759</v>
      </c>
      <c r="K20" s="19" t="e">
        <f t="shared" si="23"/>
        <v>#DIV/0!</v>
      </c>
      <c r="L20" s="19" t="e">
        <f t="shared" si="23"/>
        <v>#DIV/0!</v>
      </c>
      <c r="M20" s="19" t="e">
        <f t="shared" si="23"/>
        <v>#DIV/0!</v>
      </c>
      <c r="N20" s="19" t="e">
        <f t="shared" si="23"/>
        <v>#DIV/0!</v>
      </c>
    </row>
    <row r="21" spans="2:14" ht="25.5">
      <c r="B21" s="18" t="s">
        <v>284</v>
      </c>
      <c r="C21" s="22">
        <f t="shared" ref="C21:H21" si="24">+C19/C18</f>
        <v>1.1981175647586917</v>
      </c>
      <c r="D21" s="22">
        <f t="shared" si="24"/>
        <v>1.3539242734879704</v>
      </c>
      <c r="E21" s="22">
        <f t="shared" si="24"/>
        <v>1.4015185282366782</v>
      </c>
      <c r="F21" s="22">
        <f t="shared" si="24"/>
        <v>1.1398736902136792</v>
      </c>
      <c r="G21" s="22">
        <f t="shared" si="24"/>
        <v>0.67003763415643125</v>
      </c>
      <c r="H21" s="22">
        <f t="shared" si="24"/>
        <v>0.65820645243410758</v>
      </c>
      <c r="I21" s="22">
        <f t="shared" ref="I21:J21" si="25">+I19/I18</f>
        <v>0.88673479430245372</v>
      </c>
      <c r="J21" s="22">
        <f t="shared" si="25"/>
        <v>0.81318294142572078</v>
      </c>
      <c r="K21" s="22" t="e">
        <f t="shared" ref="K21:N21" si="26">+K19/K18</f>
        <v>#DIV/0!</v>
      </c>
      <c r="L21" s="22" t="e">
        <f t="shared" si="26"/>
        <v>#DIV/0!</v>
      </c>
      <c r="M21" s="22" t="e">
        <f t="shared" si="26"/>
        <v>#DIV/0!</v>
      </c>
      <c r="N21" s="22" t="e">
        <f t="shared" si="26"/>
        <v>#DIV/0!</v>
      </c>
    </row>
    <row r="22" spans="2:14" ht="25.5">
      <c r="B22" s="18" t="s">
        <v>285</v>
      </c>
      <c r="C22" s="22">
        <f>+C21*C20</f>
        <v>12.252098299168587</v>
      </c>
      <c r="D22" s="22">
        <f t="shared" ref="D22:N22" si="27">+D21*D20</f>
        <v>16.019842508036991</v>
      </c>
      <c r="E22" s="22">
        <f t="shared" si="27"/>
        <v>23.115231987903531</v>
      </c>
      <c r="F22" s="22">
        <f t="shared" si="27"/>
        <v>-85.090030604599505</v>
      </c>
      <c r="G22" s="22">
        <f t="shared" si="27"/>
        <v>16.347828781328865</v>
      </c>
      <c r="H22" s="22">
        <f t="shared" si="27"/>
        <v>1.4178712475362349</v>
      </c>
      <c r="I22" s="22">
        <f t="shared" si="27"/>
        <v>5.5178911872532606</v>
      </c>
      <c r="J22" s="22">
        <f t="shared" si="27"/>
        <v>22.575507373866436</v>
      </c>
      <c r="K22" s="22" t="e">
        <f t="shared" si="27"/>
        <v>#DIV/0!</v>
      </c>
      <c r="L22" s="22" t="e">
        <f t="shared" si="27"/>
        <v>#DIV/0!</v>
      </c>
      <c r="M22" s="22" t="e">
        <f t="shared" si="27"/>
        <v>#DIV/0!</v>
      </c>
      <c r="N22" s="22" t="e">
        <f t="shared" si="27"/>
        <v>#DIV/0!</v>
      </c>
    </row>
    <row r="23" spans="2:14" ht="25.5">
      <c r="B23" s="23" t="s">
        <v>286</v>
      </c>
      <c r="C23" s="24">
        <f>IF(C41&lt;10%,0,IF(15%&lt;C41,2,1))</f>
        <v>2</v>
      </c>
      <c r="D23" s="24">
        <f t="shared" ref="D23:I23" si="28">IF(D41&lt;10%,0,IF(15%&lt;D41,2,1))</f>
        <v>1</v>
      </c>
      <c r="E23" s="24">
        <f t="shared" si="28"/>
        <v>0</v>
      </c>
      <c r="F23" s="24">
        <f t="shared" si="28"/>
        <v>0</v>
      </c>
      <c r="G23" s="24">
        <f t="shared" si="28"/>
        <v>0</v>
      </c>
      <c r="H23" s="24">
        <f t="shared" si="28"/>
        <v>2</v>
      </c>
      <c r="I23" s="24">
        <f t="shared" si="28"/>
        <v>1</v>
      </c>
      <c r="J23" s="24">
        <f t="shared" ref="J23:N23" si="29">IF(J41&lt;10%,0,IF(15%&lt;J41,2,1))</f>
        <v>0</v>
      </c>
      <c r="K23" s="24" t="e">
        <f t="shared" si="29"/>
        <v>#DIV/0!</v>
      </c>
      <c r="L23" s="24" t="e">
        <f t="shared" si="29"/>
        <v>#DIV/0!</v>
      </c>
      <c r="M23" s="24" t="e">
        <f t="shared" si="29"/>
        <v>#DIV/0!</v>
      </c>
      <c r="N23" s="24" t="e">
        <f t="shared" si="29"/>
        <v>#DIV/0!</v>
      </c>
    </row>
    <row r="24" spans="2:14" ht="25.5">
      <c r="B24" s="23" t="s">
        <v>287</v>
      </c>
      <c r="C24" s="24">
        <f>IF(C41&lt;10%,1,IF(15%&lt;C41,2.5,2))</f>
        <v>2.5</v>
      </c>
      <c r="D24" s="24">
        <f t="shared" ref="D24:I24" si="30">IF(D41&lt;10%,1,IF(15%&lt;D41,2.5,2))</f>
        <v>2</v>
      </c>
      <c r="E24" s="24">
        <f t="shared" si="30"/>
        <v>1</v>
      </c>
      <c r="F24" s="24">
        <f t="shared" si="30"/>
        <v>1</v>
      </c>
      <c r="G24" s="24">
        <f t="shared" si="30"/>
        <v>1</v>
      </c>
      <c r="H24" s="24">
        <f t="shared" si="30"/>
        <v>2.5</v>
      </c>
      <c r="I24" s="24">
        <f t="shared" si="30"/>
        <v>2</v>
      </c>
      <c r="J24" s="24">
        <f t="shared" ref="J24:N24" si="31">IF(J41&lt;10%,1,IF(15%&lt;J41,2.5,2))</f>
        <v>1</v>
      </c>
      <c r="K24" s="24" t="e">
        <f t="shared" si="31"/>
        <v>#DIV/0!</v>
      </c>
      <c r="L24" s="24" t="e">
        <f t="shared" si="31"/>
        <v>#DIV/0!</v>
      </c>
      <c r="M24" s="24" t="e">
        <f t="shared" si="31"/>
        <v>#DIV/0!</v>
      </c>
      <c r="N24" s="24" t="e">
        <f t="shared" si="31"/>
        <v>#DIV/0!</v>
      </c>
    </row>
    <row r="25" spans="2:14" ht="25.5">
      <c r="B25" s="25" t="s">
        <v>288</v>
      </c>
      <c r="C25" s="26">
        <f t="shared" ref="C25:H25" si="32">+C23*C18</f>
        <v>121.54066035191528</v>
      </c>
      <c r="D25" s="26">
        <f t="shared" si="32"/>
        <v>49.463623122342248</v>
      </c>
      <c r="E25" s="26">
        <f t="shared" si="32"/>
        <v>0</v>
      </c>
      <c r="F25" s="26">
        <f t="shared" si="32"/>
        <v>0</v>
      </c>
      <c r="G25" s="26">
        <f t="shared" si="32"/>
        <v>0</v>
      </c>
      <c r="H25" s="26">
        <f t="shared" si="32"/>
        <v>118.47346635941177</v>
      </c>
      <c r="I25" s="26">
        <f t="shared" ref="I25:J25" si="33">+I23*I18</f>
        <v>64.280775228673434</v>
      </c>
      <c r="J25" s="26">
        <f t="shared" si="33"/>
        <v>0</v>
      </c>
      <c r="K25" s="26" t="e">
        <f t="shared" ref="K25:N25" si="34">+K23*K18</f>
        <v>#DIV/0!</v>
      </c>
      <c r="L25" s="26" t="e">
        <f t="shared" si="34"/>
        <v>#DIV/0!</v>
      </c>
      <c r="M25" s="26" t="e">
        <f t="shared" si="34"/>
        <v>#DIV/0!</v>
      </c>
      <c r="N25" s="26" t="e">
        <f t="shared" si="34"/>
        <v>#DIV/0!</v>
      </c>
    </row>
    <row r="26" spans="2:14" ht="25.5">
      <c r="B26" s="25" t="s">
        <v>289</v>
      </c>
      <c r="C26" s="26">
        <f>AVERAGE(C25,C27)</f>
        <v>136.73324289590468</v>
      </c>
      <c r="D26" s="26">
        <f t="shared" ref="D26:H26" si="35">AVERAGE(D25,D27)</f>
        <v>74.195434683513369</v>
      </c>
      <c r="E26" s="26">
        <f t="shared" si="35"/>
        <v>25.183398784179069</v>
      </c>
      <c r="F26" s="26">
        <f t="shared" si="35"/>
        <v>24.230754896029218</v>
      </c>
      <c r="G26" s="26">
        <f t="shared" si="35"/>
        <v>22.394264493652067</v>
      </c>
      <c r="H26" s="26">
        <f t="shared" si="35"/>
        <v>133.28264965433826</v>
      </c>
      <c r="I26" s="26">
        <f t="shared" ref="I26:J26" si="36">AVERAGE(I25,I27)</f>
        <v>96.421162843010151</v>
      </c>
      <c r="J26" s="26">
        <f t="shared" si="36"/>
        <v>35.84679229607606</v>
      </c>
      <c r="K26" s="26" t="e">
        <f t="shared" ref="K26:N26" si="37">AVERAGE(K25,K27)</f>
        <v>#DIV/0!</v>
      </c>
      <c r="L26" s="26" t="e">
        <f t="shared" si="37"/>
        <v>#DIV/0!</v>
      </c>
      <c r="M26" s="26" t="e">
        <f t="shared" si="37"/>
        <v>#DIV/0!</v>
      </c>
      <c r="N26" s="26" t="e">
        <f t="shared" si="37"/>
        <v>#DIV/0!</v>
      </c>
    </row>
    <row r="27" spans="2:14" ht="25.5">
      <c r="B27" s="25" t="s">
        <v>290</v>
      </c>
      <c r="C27" s="26">
        <f t="shared" ref="C27:H27" si="38">+C18*C24</f>
        <v>151.92582543989408</v>
      </c>
      <c r="D27" s="26">
        <f t="shared" si="38"/>
        <v>98.927246244684497</v>
      </c>
      <c r="E27" s="26">
        <f t="shared" si="38"/>
        <v>50.366797568358137</v>
      </c>
      <c r="F27" s="26">
        <f t="shared" si="38"/>
        <v>48.461509792058436</v>
      </c>
      <c r="G27" s="26">
        <f t="shared" si="38"/>
        <v>44.788528987304133</v>
      </c>
      <c r="H27" s="26">
        <f t="shared" si="38"/>
        <v>148.09183294926473</v>
      </c>
      <c r="I27" s="26">
        <f t="shared" ref="I27:J27" si="39">+I18*I24</f>
        <v>128.56155045734687</v>
      </c>
      <c r="J27" s="26">
        <f t="shared" si="39"/>
        <v>71.693584592152121</v>
      </c>
      <c r="K27" s="26" t="e">
        <f t="shared" ref="K27:N27" si="40">+K18*K24</f>
        <v>#DIV/0!</v>
      </c>
      <c r="L27" s="26" t="e">
        <f t="shared" si="40"/>
        <v>#DIV/0!</v>
      </c>
      <c r="M27" s="26" t="e">
        <f t="shared" si="40"/>
        <v>#DIV/0!</v>
      </c>
      <c r="N27" s="26" t="e">
        <f t="shared" si="40"/>
        <v>#DIV/0!</v>
      </c>
    </row>
    <row r="29" spans="2:14" ht="25.5">
      <c r="B29" s="27" t="s">
        <v>291</v>
      </c>
      <c r="C29" s="28">
        <f>C7-C12</f>
        <v>238319906000</v>
      </c>
      <c r="D29" s="207">
        <f t="shared" ref="D29:I29" si="41">D7-D12</f>
        <v>-220516380000</v>
      </c>
      <c r="E29" s="207">
        <f t="shared" si="41"/>
        <v>-23087192000</v>
      </c>
      <c r="F29" s="207">
        <f t="shared" si="41"/>
        <v>-19078969000</v>
      </c>
      <c r="G29" s="207">
        <f t="shared" si="41"/>
        <v>-864073724000</v>
      </c>
      <c r="H29" s="207">
        <f t="shared" si="41"/>
        <v>-104249561000</v>
      </c>
      <c r="I29" s="207">
        <f t="shared" si="41"/>
        <v>-422947085000</v>
      </c>
      <c r="J29" s="207">
        <f t="shared" ref="J29:N29" si="42">J7-J12</f>
        <v>-9268548000</v>
      </c>
      <c r="K29" s="28">
        <f t="shared" si="42"/>
        <v>0</v>
      </c>
      <c r="L29" s="28">
        <f t="shared" si="42"/>
        <v>0</v>
      </c>
      <c r="M29" s="28">
        <f t="shared" si="42"/>
        <v>0</v>
      </c>
      <c r="N29" s="28">
        <f t="shared" si="42"/>
        <v>0</v>
      </c>
    </row>
    <row r="30" spans="2:14" ht="25.5">
      <c r="B30" s="30" t="s">
        <v>149</v>
      </c>
      <c r="C30" s="31">
        <f>C7/C12</f>
        <v>1.2917667106407134</v>
      </c>
      <c r="D30" s="31">
        <f t="shared" ref="D30:I30" si="43">D7/D12</f>
        <v>0.81887238352131786</v>
      </c>
      <c r="E30" s="31">
        <f t="shared" si="43"/>
        <v>0.97782848815770307</v>
      </c>
      <c r="F30" s="31">
        <f t="shared" si="43"/>
        <v>0.98175099859498527</v>
      </c>
      <c r="G30" s="31">
        <f t="shared" si="43"/>
        <v>0.59477414050853927</v>
      </c>
      <c r="H30" s="31">
        <f t="shared" si="43"/>
        <v>0.96709805012976713</v>
      </c>
      <c r="I30" s="31">
        <f t="shared" si="43"/>
        <v>0.84861866635856131</v>
      </c>
      <c r="J30" s="31">
        <f t="shared" ref="J30:N30" si="44">J7/J12</f>
        <v>0.9958686872964525</v>
      </c>
      <c r="K30" s="31" t="e">
        <f t="shared" si="44"/>
        <v>#DIV/0!</v>
      </c>
      <c r="L30" s="31" t="e">
        <f t="shared" si="44"/>
        <v>#DIV/0!</v>
      </c>
      <c r="M30" s="31" t="e">
        <f t="shared" si="44"/>
        <v>#DIV/0!</v>
      </c>
      <c r="N30" s="31" t="e">
        <f t="shared" si="44"/>
        <v>#DIV/0!</v>
      </c>
    </row>
    <row r="31" spans="2:14" ht="25.5">
      <c r="B31" s="30" t="s">
        <v>292</v>
      </c>
      <c r="C31" s="31">
        <f>+(C7-C9)/C12</f>
        <v>1.2431793781048874</v>
      </c>
      <c r="D31" s="31">
        <f t="shared" ref="D31:I31" si="45">+(D7-D9)/D12</f>
        <v>0.77208526218684093</v>
      </c>
      <c r="E31" s="31">
        <f t="shared" si="45"/>
        <v>0.93972971197541277</v>
      </c>
      <c r="F31" s="31">
        <f t="shared" si="45"/>
        <v>0.95945499549482127</v>
      </c>
      <c r="G31" s="31">
        <f t="shared" si="45"/>
        <v>0.58011985836780622</v>
      </c>
      <c r="H31" s="31">
        <f t="shared" si="45"/>
        <v>0.94250714191509932</v>
      </c>
      <c r="I31" s="31">
        <f t="shared" si="45"/>
        <v>0.82758659893032294</v>
      </c>
      <c r="J31" s="31">
        <f t="shared" ref="J31:N31" si="46">+(J7-J9)/J12</f>
        <v>0.96682079829518064</v>
      </c>
      <c r="K31" s="31" t="e">
        <f t="shared" si="46"/>
        <v>#DIV/0!</v>
      </c>
      <c r="L31" s="31" t="e">
        <f t="shared" si="46"/>
        <v>#DIV/0!</v>
      </c>
      <c r="M31" s="31" t="e">
        <f t="shared" si="46"/>
        <v>#DIV/0!</v>
      </c>
      <c r="N31" s="31" t="e">
        <f t="shared" si="46"/>
        <v>#DIV/0!</v>
      </c>
    </row>
    <row r="32" spans="2:14" ht="25.5">
      <c r="B32" s="32" t="s">
        <v>153</v>
      </c>
      <c r="C32" s="33">
        <f>C14/C11</f>
        <v>0.33501095624354338</v>
      </c>
      <c r="D32" s="33">
        <f t="shared" ref="D32:I32" si="47">D14/D11</f>
        <v>0.50932773943849652</v>
      </c>
      <c r="E32" s="33">
        <f t="shared" si="47"/>
        <v>0.52312429418416218</v>
      </c>
      <c r="F32" s="33">
        <f t="shared" si="47"/>
        <v>0.54528592318866387</v>
      </c>
      <c r="G32" s="33">
        <f t="shared" si="47"/>
        <v>0.6477495882972869</v>
      </c>
      <c r="H32" s="33">
        <f t="shared" si="47"/>
        <v>0.63011168420506469</v>
      </c>
      <c r="I32" s="33">
        <f t="shared" si="47"/>
        <v>0.59768476394562187</v>
      </c>
      <c r="J32" s="33">
        <f t="shared" ref="J32:N32" si="48">J14/J11</f>
        <v>0.58125610054440202</v>
      </c>
      <c r="K32" s="33" t="e">
        <f t="shared" si="48"/>
        <v>#DIV/0!</v>
      </c>
      <c r="L32" s="33" t="e">
        <f t="shared" si="48"/>
        <v>#DIV/0!</v>
      </c>
      <c r="M32" s="33" t="e">
        <f t="shared" si="48"/>
        <v>#DIV/0!</v>
      </c>
      <c r="N32" s="33" t="e">
        <f t="shared" si="48"/>
        <v>#DIV/0!</v>
      </c>
    </row>
    <row r="35" spans="2:14" ht="25.5">
      <c r="B35" s="35" t="s">
        <v>293</v>
      </c>
      <c r="C35" s="36">
        <f>+C126+C127</f>
        <v>2522978282000</v>
      </c>
      <c r="D35" s="36">
        <f t="shared" ref="D35:I35" si="49">+D126+D127</f>
        <v>2457161426000</v>
      </c>
      <c r="E35" s="36">
        <f t="shared" si="49"/>
        <v>2770834360000</v>
      </c>
      <c r="F35" s="36">
        <f t="shared" si="49"/>
        <v>2585402197000</v>
      </c>
      <c r="G35" s="36">
        <f t="shared" si="49"/>
        <v>2855229535000</v>
      </c>
      <c r="H35" s="36">
        <f t="shared" si="49"/>
        <v>4956431863000</v>
      </c>
      <c r="I35" s="36">
        <f t="shared" si="49"/>
        <v>4380245993000</v>
      </c>
      <c r="J35" s="36">
        <f t="shared" ref="J35:N35" si="50">+J126+J127</f>
        <v>3987135293000</v>
      </c>
      <c r="K35" s="36">
        <f t="shared" si="50"/>
        <v>0</v>
      </c>
      <c r="L35" s="36">
        <f t="shared" si="50"/>
        <v>0</v>
      </c>
      <c r="M35" s="36">
        <f t="shared" si="50"/>
        <v>0</v>
      </c>
      <c r="N35" s="36">
        <f t="shared" si="50"/>
        <v>0</v>
      </c>
    </row>
    <row r="36" spans="2:14" ht="25.5">
      <c r="B36" s="39" t="s">
        <v>156</v>
      </c>
      <c r="C36" s="40">
        <f>+C136</f>
        <v>732516831000</v>
      </c>
      <c r="D36" s="40">
        <f t="shared" ref="D36:I36" si="51">+D136</f>
        <v>670604721000</v>
      </c>
      <c r="E36" s="40">
        <f t="shared" si="51"/>
        <v>526054835000</v>
      </c>
      <c r="F36" s="208">
        <f t="shared" si="51"/>
        <v>-34255375000</v>
      </c>
      <c r="G36" s="40">
        <f t="shared" si="51"/>
        <v>259593663000</v>
      </c>
      <c r="H36" s="40">
        <f t="shared" si="51"/>
        <v>912357237000</v>
      </c>
      <c r="I36" s="40">
        <f t="shared" si="51"/>
        <v>767761218000</v>
      </c>
      <c r="J36" s="40">
        <f t="shared" ref="J36:N36" si="52">+J136</f>
        <v>373059276000</v>
      </c>
      <c r="K36" s="40">
        <f t="shared" si="52"/>
        <v>0</v>
      </c>
      <c r="L36" s="40">
        <f t="shared" si="52"/>
        <v>0</v>
      </c>
      <c r="M36" s="40">
        <f t="shared" si="52"/>
        <v>0</v>
      </c>
      <c r="N36" s="40">
        <f t="shared" si="52"/>
        <v>0</v>
      </c>
    </row>
    <row r="37" spans="2:14" ht="25.5">
      <c r="B37" s="35" t="s">
        <v>381</v>
      </c>
      <c r="C37" s="41">
        <f>C36/C35</f>
        <v>0.29033814370345024</v>
      </c>
      <c r="D37" s="41">
        <f t="shared" ref="D37:I37" si="53">D36/D35</f>
        <v>0.27291846351815552</v>
      </c>
      <c r="E37" s="41">
        <f t="shared" si="53"/>
        <v>0.18985430619533677</v>
      </c>
      <c r="F37" s="41">
        <f t="shared" si="53"/>
        <v>-1.3249534265789904E-2</v>
      </c>
      <c r="G37" s="41">
        <f t="shared" si="53"/>
        <v>9.0918666894498901E-2</v>
      </c>
      <c r="H37" s="41">
        <f t="shared" si="53"/>
        <v>0.18407541195326224</v>
      </c>
      <c r="I37" s="41">
        <f t="shared" si="53"/>
        <v>0.17527810520846243</v>
      </c>
      <c r="J37" s="41">
        <f t="shared" ref="J37:N37" si="54">J36/J35</f>
        <v>9.3565742967127358E-2</v>
      </c>
      <c r="K37" s="41" t="e">
        <f t="shared" si="54"/>
        <v>#DIV/0!</v>
      </c>
      <c r="L37" s="41" t="e">
        <f t="shared" si="54"/>
        <v>#DIV/0!</v>
      </c>
      <c r="M37" s="41" t="e">
        <f t="shared" si="54"/>
        <v>#DIV/0!</v>
      </c>
      <c r="N37" s="41" t="e">
        <f t="shared" si="54"/>
        <v>#DIV/0!</v>
      </c>
    </row>
    <row r="38" spans="2:14" ht="25.5">
      <c r="B38" s="43" t="s">
        <v>295</v>
      </c>
      <c r="C38" s="44">
        <f>+C147</f>
        <v>503268899000</v>
      </c>
      <c r="D38" s="44">
        <f t="shared" ref="D38:I38" si="55">+D147</f>
        <v>361709937000</v>
      </c>
      <c r="E38" s="44">
        <f t="shared" si="55"/>
        <v>296153605000</v>
      </c>
      <c r="F38" s="209">
        <f t="shared" si="55"/>
        <v>-50860313000</v>
      </c>
      <c r="G38" s="44">
        <f t="shared" si="55"/>
        <v>85153969000</v>
      </c>
      <c r="H38" s="44">
        <f t="shared" si="55"/>
        <v>1252082258000</v>
      </c>
      <c r="I38" s="44">
        <f t="shared" si="55"/>
        <v>633455775000</v>
      </c>
      <c r="J38" s="44">
        <f t="shared" ref="J38:N38" si="56">+J147</f>
        <v>180040717000</v>
      </c>
      <c r="K38" s="44">
        <f t="shared" si="56"/>
        <v>0</v>
      </c>
      <c r="L38" s="44">
        <f t="shared" si="56"/>
        <v>0</v>
      </c>
      <c r="M38" s="44">
        <f t="shared" si="56"/>
        <v>0</v>
      </c>
      <c r="N38" s="44">
        <f t="shared" si="56"/>
        <v>0</v>
      </c>
    </row>
    <row r="39" spans="2:14" ht="25.5">
      <c r="B39" s="30" t="s">
        <v>296</v>
      </c>
      <c r="C39" s="45">
        <f>C38/C35</f>
        <v>0.19947413047133</v>
      </c>
      <c r="D39" s="45">
        <f t="shared" ref="D39:I39" si="57">D38/D35</f>
        <v>0.14720642004739007</v>
      </c>
      <c r="E39" s="45">
        <f t="shared" si="57"/>
        <v>0.1068824644573846</v>
      </c>
      <c r="F39" s="545">
        <f t="shared" si="57"/>
        <v>-1.9672108679653914E-2</v>
      </c>
      <c r="G39" s="45">
        <f t="shared" si="57"/>
        <v>2.9823861078825665E-2</v>
      </c>
      <c r="H39" s="45">
        <f t="shared" si="57"/>
        <v>0.25261766783214629</v>
      </c>
      <c r="I39" s="45">
        <f t="shared" si="57"/>
        <v>0.14461648409982347</v>
      </c>
      <c r="J39" s="45">
        <f t="shared" ref="J39:N39" si="58">J38/J35</f>
        <v>4.5155407020195139E-2</v>
      </c>
      <c r="K39" s="45" t="e">
        <f t="shared" si="58"/>
        <v>#DIV/0!</v>
      </c>
      <c r="L39" s="45" t="e">
        <f t="shared" si="58"/>
        <v>#DIV/0!</v>
      </c>
      <c r="M39" s="45" t="e">
        <f t="shared" si="58"/>
        <v>#DIV/0!</v>
      </c>
      <c r="N39" s="45" t="e">
        <f t="shared" si="58"/>
        <v>#DIV/0!</v>
      </c>
    </row>
    <row r="40" spans="2:14" ht="25.5">
      <c r="B40" s="46" t="s">
        <v>159</v>
      </c>
      <c r="C40" s="121">
        <f>+C148</f>
        <v>7.12</v>
      </c>
      <c r="D40" s="121">
        <f t="shared" ref="D40:I40" si="59">+D148</f>
        <v>5.66</v>
      </c>
      <c r="E40" s="121">
        <f t="shared" si="59"/>
        <v>4.28</v>
      </c>
      <c r="F40" s="546">
        <f t="shared" si="59"/>
        <v>-0.74</v>
      </c>
      <c r="G40" s="121">
        <f t="shared" si="59"/>
        <v>1.23</v>
      </c>
      <c r="H40" s="121">
        <f t="shared" si="59"/>
        <v>18.100000000000001</v>
      </c>
      <c r="I40" s="121">
        <f t="shared" si="59"/>
        <v>9.16</v>
      </c>
      <c r="J40" s="121">
        <f t="shared" ref="J40:N40" si="60">+J148</f>
        <v>2.1</v>
      </c>
      <c r="K40" s="121">
        <f t="shared" si="60"/>
        <v>0</v>
      </c>
      <c r="L40" s="121">
        <f t="shared" si="60"/>
        <v>0</v>
      </c>
      <c r="M40" s="121">
        <f t="shared" si="60"/>
        <v>0</v>
      </c>
      <c r="N40" s="121">
        <f t="shared" si="60"/>
        <v>0</v>
      </c>
    </row>
    <row r="41" spans="2:14" ht="25.5">
      <c r="B41" s="48" t="s">
        <v>160</v>
      </c>
      <c r="C41" s="49">
        <f>C38/C15</f>
        <v>0.16869062021955397</v>
      </c>
      <c r="D41" s="49">
        <f t="shared" ref="D41:I41" si="61">D38/D15</f>
        <v>0.10572516129548842</v>
      </c>
      <c r="E41" s="49">
        <f t="shared" si="61"/>
        <v>8.5011274280996182E-2</v>
      </c>
      <c r="F41" s="529">
        <f t="shared" si="61"/>
        <v>-1.5173505596929092E-2</v>
      </c>
      <c r="G41" s="49">
        <f t="shared" si="61"/>
        <v>2.7487923725853691E-2</v>
      </c>
      <c r="H41" s="49">
        <f t="shared" si="61"/>
        <v>0.30559454859242385</v>
      </c>
      <c r="I41" s="49">
        <f t="shared" si="61"/>
        <v>0.14247512115907945</v>
      </c>
      <c r="J41" s="49">
        <f t="shared" ref="J41:N41" si="62">J38/J15</f>
        <v>3.6307327242330746E-2</v>
      </c>
      <c r="K41" s="49" t="e">
        <f t="shared" si="62"/>
        <v>#DIV/0!</v>
      </c>
      <c r="L41" s="49" t="e">
        <f t="shared" si="62"/>
        <v>#DIV/0!</v>
      </c>
      <c r="M41" s="49" t="e">
        <f t="shared" si="62"/>
        <v>#DIV/0!</v>
      </c>
      <c r="N41" s="49" t="e">
        <f t="shared" si="62"/>
        <v>#DIV/0!</v>
      </c>
    </row>
    <row r="42" spans="2:14" ht="25.5">
      <c r="B42" s="48" t="s">
        <v>382</v>
      </c>
      <c r="C42" s="49">
        <f>AVERAGE(G41:I41)</f>
        <v>0.15851919782578566</v>
      </c>
      <c r="D42" s="49"/>
      <c r="E42" s="49"/>
      <c r="F42" s="49"/>
      <c r="G42" s="49"/>
      <c r="H42" s="49"/>
      <c r="I42" s="49"/>
      <c r="J42" s="49"/>
      <c r="K42" s="49"/>
      <c r="L42" s="49"/>
      <c r="M42" s="49"/>
      <c r="N42" s="49"/>
    </row>
    <row r="43" spans="2:14" ht="25.5">
      <c r="B43" s="48" t="s">
        <v>298</v>
      </c>
      <c r="C43" s="50">
        <f>+C161</f>
        <v>325766840000</v>
      </c>
      <c r="D43" s="50">
        <f t="shared" ref="D43:I43" si="63">+D161</f>
        <v>318445795000</v>
      </c>
      <c r="E43" s="50">
        <f t="shared" si="63"/>
        <v>308935603000</v>
      </c>
      <c r="F43" s="50">
        <f t="shared" si="63"/>
        <v>101807529000</v>
      </c>
      <c r="G43" s="210">
        <f t="shared" si="63"/>
        <v>-478011722000</v>
      </c>
      <c r="H43" s="210">
        <f t="shared" si="63"/>
        <v>-357875788000</v>
      </c>
      <c r="I43" s="210">
        <f t="shared" si="63"/>
        <v>-124303064000</v>
      </c>
      <c r="J43" s="50">
        <f t="shared" ref="J43:N43" si="64">+J161</f>
        <v>641428329000</v>
      </c>
      <c r="K43" s="50">
        <f t="shared" si="64"/>
        <v>0</v>
      </c>
      <c r="L43" s="50">
        <f t="shared" si="64"/>
        <v>0</v>
      </c>
      <c r="M43" s="50">
        <f t="shared" si="64"/>
        <v>0</v>
      </c>
      <c r="N43" s="50">
        <f t="shared" si="64"/>
        <v>0</v>
      </c>
    </row>
    <row r="44" spans="2:14" ht="25.5">
      <c r="B44" s="51" t="s">
        <v>111</v>
      </c>
      <c r="C44" s="51">
        <f>SUM(C46:C49)</f>
        <v>3.2349999999999999</v>
      </c>
      <c r="D44" s="51">
        <f t="shared" ref="D44:F44" si="65">SUM(D46:D49)</f>
        <v>2.9979999999999998</v>
      </c>
      <c r="E44" s="51">
        <f t="shared" si="65"/>
        <v>3.1379999999999999</v>
      </c>
      <c r="F44" s="51">
        <f t="shared" si="65"/>
        <v>4.2300000000000004</v>
      </c>
      <c r="G44" s="51">
        <f t="shared" ref="G44:N44" si="66">SUM(G46:G49)</f>
        <v>3.077</v>
      </c>
      <c r="H44" s="51">
        <f t="shared" si="66"/>
        <v>0.36899999999999999</v>
      </c>
      <c r="I44" s="51">
        <f t="shared" si="66"/>
        <v>5.431</v>
      </c>
      <c r="J44" s="51">
        <f t="shared" si="66"/>
        <v>4.5791900000000005</v>
      </c>
      <c r="K44" s="51">
        <f t="shared" si="66"/>
        <v>0.90700000000000003</v>
      </c>
      <c r="L44" s="51">
        <f t="shared" si="66"/>
        <v>0</v>
      </c>
      <c r="M44" s="51">
        <f t="shared" si="66"/>
        <v>0</v>
      </c>
      <c r="N44" s="51">
        <f t="shared" si="66"/>
        <v>0</v>
      </c>
    </row>
    <row r="45" spans="2:14" ht="25.5">
      <c r="B45" s="51" t="s">
        <v>112</v>
      </c>
      <c r="C45" s="51">
        <f>+C46+C47</f>
        <v>1.9409999999999998</v>
      </c>
      <c r="D45" s="51">
        <f t="shared" ref="D45:I45" si="67">+D46+D47</f>
        <v>1.7349999999999999</v>
      </c>
      <c r="E45" s="51">
        <f t="shared" si="67"/>
        <v>1.569</v>
      </c>
      <c r="F45" s="51">
        <f t="shared" si="67"/>
        <v>2.569</v>
      </c>
      <c r="G45" s="51">
        <f t="shared" si="67"/>
        <v>3.077</v>
      </c>
      <c r="H45" s="51">
        <f t="shared" si="67"/>
        <v>0.36899999999999999</v>
      </c>
      <c r="I45" s="51">
        <f t="shared" si="67"/>
        <v>5.431</v>
      </c>
      <c r="J45" s="51">
        <f t="shared" ref="J45:N45" si="68">+J46+J47</f>
        <v>4.5791900000000005</v>
      </c>
      <c r="K45" s="51">
        <f t="shared" si="68"/>
        <v>0.90700000000000003</v>
      </c>
      <c r="L45" s="51">
        <f t="shared" si="68"/>
        <v>0</v>
      </c>
      <c r="M45" s="51">
        <f t="shared" si="68"/>
        <v>0</v>
      </c>
      <c r="N45" s="51">
        <f t="shared" si="68"/>
        <v>0</v>
      </c>
    </row>
    <row r="46" spans="2:14" ht="18">
      <c r="B46" s="135" t="s">
        <v>114</v>
      </c>
      <c r="C46" s="94">
        <v>1.1819999999999999</v>
      </c>
      <c r="D46" s="94">
        <v>0.97899999999999998</v>
      </c>
      <c r="E46" s="94">
        <v>1.117</v>
      </c>
      <c r="F46" s="94">
        <v>2.1219999999999999</v>
      </c>
      <c r="G46" s="94">
        <v>3.077</v>
      </c>
      <c r="H46" s="94">
        <v>0.26400000000000001</v>
      </c>
      <c r="I46" s="155">
        <v>5.1070000000000002</v>
      </c>
      <c r="J46" s="155">
        <v>3.9813900000000002</v>
      </c>
      <c r="K46" s="155"/>
      <c r="L46" s="155"/>
      <c r="M46" s="155"/>
      <c r="N46" s="155"/>
    </row>
    <row r="47" spans="2:14" ht="18">
      <c r="B47" s="135" t="s">
        <v>115</v>
      </c>
      <c r="C47" s="94">
        <v>0.75900000000000001</v>
      </c>
      <c r="D47" s="94">
        <v>0.75600000000000001</v>
      </c>
      <c r="E47" s="94">
        <v>0.45200000000000001</v>
      </c>
      <c r="F47" s="94">
        <v>0.44700000000000001</v>
      </c>
      <c r="G47" s="94"/>
      <c r="H47" s="94">
        <v>0.105</v>
      </c>
      <c r="I47" s="155">
        <v>0.32400000000000001</v>
      </c>
      <c r="J47" s="155">
        <v>0.5978</v>
      </c>
      <c r="K47" s="155">
        <v>0.90700000000000003</v>
      </c>
      <c r="L47" s="155"/>
      <c r="M47" s="155"/>
      <c r="N47" s="155"/>
    </row>
    <row r="48" spans="2:14" ht="18">
      <c r="B48" s="135" t="s">
        <v>116</v>
      </c>
      <c r="C48" s="94">
        <v>1.294</v>
      </c>
      <c r="D48" s="94">
        <v>1.2629999999999999</v>
      </c>
      <c r="E48" s="94">
        <v>1.569</v>
      </c>
      <c r="F48" s="94"/>
      <c r="G48" s="94"/>
      <c r="H48" s="94"/>
      <c r="I48" s="155"/>
      <c r="J48" s="155"/>
      <c r="K48" s="155"/>
      <c r="L48" s="155"/>
      <c r="M48" s="155"/>
      <c r="N48" s="155"/>
    </row>
    <row r="49" spans="2:16" ht="18">
      <c r="B49" s="135" t="s">
        <v>117</v>
      </c>
      <c r="C49" s="94"/>
      <c r="D49" s="94"/>
      <c r="E49" s="94"/>
      <c r="F49" s="94">
        <v>1.661</v>
      </c>
      <c r="G49" s="94"/>
      <c r="H49" s="94"/>
      <c r="I49" s="94"/>
      <c r="J49" s="94"/>
      <c r="K49" s="94"/>
      <c r="L49" s="94"/>
      <c r="M49" s="94"/>
      <c r="N49" s="94"/>
    </row>
    <row r="50" spans="2:16" ht="25.5">
      <c r="B50" s="51" t="s">
        <v>119</v>
      </c>
      <c r="C50" s="51">
        <f>SUM(C52:C55)</f>
        <v>3.2320000000000002</v>
      </c>
      <c r="D50" s="51">
        <f t="shared" ref="D50:N50" si="69">SUM(D52:D55)</f>
        <v>2.694</v>
      </c>
      <c r="E50" s="51">
        <f t="shared" si="69"/>
        <v>3.133</v>
      </c>
      <c r="F50" s="51">
        <f t="shared" si="69"/>
        <v>3.7829999999999999</v>
      </c>
      <c r="G50" s="51">
        <f t="shared" si="69"/>
        <v>3.1819999999999999</v>
      </c>
      <c r="H50" s="51">
        <f t="shared" si="69"/>
        <v>0.58800000000000008</v>
      </c>
      <c r="I50" s="51">
        <f t="shared" si="69"/>
        <v>4.5791900000000005</v>
      </c>
      <c r="J50" s="51">
        <f t="shared" si="69"/>
        <v>4.8883900000000002</v>
      </c>
      <c r="K50" s="51">
        <f t="shared" si="69"/>
        <v>0</v>
      </c>
      <c r="L50" s="51">
        <f t="shared" si="69"/>
        <v>0</v>
      </c>
      <c r="M50" s="51">
        <f t="shared" si="69"/>
        <v>0</v>
      </c>
      <c r="N50" s="51">
        <f t="shared" si="69"/>
        <v>0</v>
      </c>
    </row>
    <row r="51" spans="2:16" ht="25.5">
      <c r="B51" s="51" t="s">
        <v>120</v>
      </c>
      <c r="C51" s="51">
        <f>C52+C53+C54</f>
        <v>3.2320000000000002</v>
      </c>
      <c r="D51" s="51">
        <f t="shared" ref="D51:N51" si="70">D52+D53+D54</f>
        <v>2.694</v>
      </c>
      <c r="E51" s="51">
        <f t="shared" si="70"/>
        <v>3.133</v>
      </c>
      <c r="F51" s="51">
        <f t="shared" si="70"/>
        <v>2.1219999999999999</v>
      </c>
      <c r="G51" s="51">
        <f t="shared" si="70"/>
        <v>3.1819999999999999</v>
      </c>
      <c r="H51" s="51">
        <f t="shared" si="70"/>
        <v>0.58800000000000008</v>
      </c>
      <c r="I51" s="51">
        <f t="shared" si="70"/>
        <v>4.5791900000000005</v>
      </c>
      <c r="J51" s="51">
        <f t="shared" si="70"/>
        <v>4.8883900000000002</v>
      </c>
      <c r="K51" s="51">
        <f t="shared" si="70"/>
        <v>0</v>
      </c>
      <c r="L51" s="51">
        <f t="shared" si="70"/>
        <v>0</v>
      </c>
      <c r="M51" s="51">
        <f t="shared" si="70"/>
        <v>0</v>
      </c>
      <c r="N51" s="51">
        <f t="shared" si="70"/>
        <v>0</v>
      </c>
    </row>
    <row r="52" spans="2:16" ht="18">
      <c r="B52" s="135" t="s">
        <v>121</v>
      </c>
      <c r="C52" s="94">
        <v>1.1819999999999999</v>
      </c>
      <c r="D52" s="94">
        <v>0.97899999999999998</v>
      </c>
      <c r="E52" s="94">
        <v>1.117</v>
      </c>
      <c r="F52" s="94">
        <v>2.1219999999999999</v>
      </c>
      <c r="G52" s="94">
        <v>3.077</v>
      </c>
      <c r="H52" s="94">
        <v>0.26400000000000001</v>
      </c>
      <c r="I52" s="155">
        <v>3.9813900000000002</v>
      </c>
      <c r="J52" s="155">
        <v>3.9813900000000002</v>
      </c>
      <c r="K52" s="94"/>
      <c r="L52" s="94"/>
      <c r="M52" s="94"/>
      <c r="N52" s="94"/>
    </row>
    <row r="53" spans="2:16" ht="18">
      <c r="B53" s="135" t="s">
        <v>122</v>
      </c>
      <c r="C53" s="94">
        <v>0.75600000000000001</v>
      </c>
      <c r="D53" s="94">
        <v>0.45200000000000001</v>
      </c>
      <c r="E53" s="94">
        <v>0.44700000000000001</v>
      </c>
      <c r="F53" s="94"/>
      <c r="G53" s="94">
        <v>0.105</v>
      </c>
      <c r="H53" s="155">
        <v>0.32400000000000001</v>
      </c>
      <c r="I53" s="155">
        <v>0.5978</v>
      </c>
      <c r="J53" s="155">
        <v>0.90700000000000003</v>
      </c>
      <c r="K53" s="94"/>
      <c r="L53" s="94"/>
      <c r="M53" s="94"/>
      <c r="N53" s="94"/>
    </row>
    <row r="54" spans="2:16" ht="18">
      <c r="B54" s="135" t="s">
        <v>123</v>
      </c>
      <c r="C54" s="94">
        <v>1.294</v>
      </c>
      <c r="D54" s="94">
        <v>1.2629999999999999</v>
      </c>
      <c r="E54" s="94">
        <v>1.569</v>
      </c>
      <c r="F54" s="94"/>
      <c r="G54" s="94"/>
      <c r="H54" s="94"/>
      <c r="I54" s="94"/>
      <c r="J54" s="94"/>
      <c r="K54" s="94"/>
      <c r="L54" s="94"/>
      <c r="M54" s="94"/>
      <c r="N54" s="94"/>
    </row>
    <row r="55" spans="2:16" ht="18">
      <c r="B55" s="135" t="s">
        <v>124</v>
      </c>
      <c r="C55" s="94"/>
      <c r="D55" s="94"/>
      <c r="E55" s="94"/>
      <c r="F55" s="94">
        <v>1.661</v>
      </c>
      <c r="G55" s="94"/>
      <c r="H55" s="94"/>
      <c r="I55" s="94"/>
      <c r="J55" s="94"/>
      <c r="K55" s="94"/>
      <c r="L55" s="94"/>
      <c r="M55" s="94"/>
      <c r="N55" s="94"/>
    </row>
    <row r="56" spans="2:16" ht="18">
      <c r="B56" s="135"/>
      <c r="C56" s="94"/>
      <c r="D56" s="94"/>
      <c r="E56" s="94"/>
      <c r="F56" s="94"/>
      <c r="G56" s="94"/>
      <c r="H56" s="94"/>
      <c r="I56" s="94"/>
      <c r="J56" s="94"/>
      <c r="K56" s="94"/>
      <c r="L56" s="94"/>
      <c r="M56" s="94"/>
      <c r="N56" s="94"/>
    </row>
    <row r="57" spans="2:16" ht="25.5">
      <c r="B57" s="541" t="s">
        <v>167</v>
      </c>
      <c r="C57" s="99">
        <f>SUM(C52:C54) /C40</f>
        <v>0.45393258426966293</v>
      </c>
      <c r="D57" s="99">
        <f t="shared" ref="D57:N57" si="71">SUM(D52:D54) /D40</f>
        <v>0.47597173144876326</v>
      </c>
      <c r="E57" s="99">
        <f t="shared" si="71"/>
        <v>0.73200934579439247</v>
      </c>
      <c r="F57" s="99">
        <f t="shared" si="71"/>
        <v>-2.8675675675675674</v>
      </c>
      <c r="G57" s="99">
        <f t="shared" si="71"/>
        <v>2.5869918699186991</v>
      </c>
      <c r="H57" s="99">
        <f t="shared" si="71"/>
        <v>3.2486187845303868E-2</v>
      </c>
      <c r="I57" s="99">
        <f t="shared" si="71"/>
        <v>0.49991157205240178</v>
      </c>
      <c r="J57" s="99">
        <f>SUM(J52:J54) /J40</f>
        <v>2.3278047619047619</v>
      </c>
      <c r="K57" s="99" t="e">
        <f t="shared" si="71"/>
        <v>#DIV/0!</v>
      </c>
      <c r="L57" s="99" t="e">
        <f t="shared" si="71"/>
        <v>#DIV/0!</v>
      </c>
      <c r="M57" s="99" t="e">
        <f t="shared" si="71"/>
        <v>#DIV/0!</v>
      </c>
      <c r="N57" s="99" t="e">
        <f t="shared" si="71"/>
        <v>#DIV/0!</v>
      </c>
    </row>
    <row r="58" spans="2:16" ht="28.5">
      <c r="B58" s="540" t="s">
        <v>303</v>
      </c>
      <c r="C58" s="54">
        <f>AVERAGE(G57:I57)</f>
        <v>1.039796543272135</v>
      </c>
      <c r="D58" s="54"/>
      <c r="E58" s="54"/>
      <c r="F58" s="54"/>
      <c r="G58" s="54"/>
      <c r="H58" s="54"/>
      <c r="I58" s="54"/>
      <c r="J58" s="54"/>
      <c r="K58" s="54"/>
      <c r="L58" s="54"/>
      <c r="M58" s="54"/>
      <c r="N58" s="54"/>
    </row>
    <row r="59" spans="2:16" ht="25.5">
      <c r="B59" s="541" t="s">
        <v>299</v>
      </c>
      <c r="C59" s="99">
        <f>+C44/C19</f>
        <v>4.4430710067298443E-2</v>
      </c>
      <c r="D59" s="99">
        <f t="shared" ref="D59:I59" si="72">+D44/D19</f>
        <v>4.4766313274600567E-2</v>
      </c>
      <c r="E59" s="99">
        <f t="shared" si="72"/>
        <v>4.4453888652783678E-2</v>
      </c>
      <c r="F59" s="99">
        <f t="shared" si="72"/>
        <v>7.6574945691527882E-2</v>
      </c>
      <c r="G59" s="99">
        <f t="shared" si="72"/>
        <v>0.10253248917027656</v>
      </c>
      <c r="H59" s="99">
        <f t="shared" si="72"/>
        <v>9.4639651192613486E-3</v>
      </c>
      <c r="I59" s="99">
        <f t="shared" si="72"/>
        <v>9.5280701754385966E-2</v>
      </c>
      <c r="J59" s="99">
        <f t="shared" ref="J59:N59" si="73">+J44/J19</f>
        <v>7.8545283018867942E-2</v>
      </c>
      <c r="K59" s="99" t="e">
        <f t="shared" si="73"/>
        <v>#DIV/0!</v>
      </c>
      <c r="L59" s="99" t="e">
        <f t="shared" si="73"/>
        <v>#DIV/0!</v>
      </c>
      <c r="M59" s="99" t="e">
        <f t="shared" si="73"/>
        <v>#DIV/0!</v>
      </c>
      <c r="N59" s="99" t="e">
        <f t="shared" si="73"/>
        <v>#DIV/0!</v>
      </c>
    </row>
    <row r="60" spans="2:16" ht="25.5">
      <c r="B60" s="542" t="s">
        <v>384</v>
      </c>
      <c r="C60" s="534">
        <f>AVERAGE(G59:I59)</f>
        <v>6.9092385347974627E-2</v>
      </c>
      <c r="D60" s="534"/>
      <c r="E60" s="534"/>
      <c r="F60" s="534"/>
      <c r="G60" s="534"/>
      <c r="H60" s="534"/>
      <c r="I60" s="534"/>
      <c r="J60" s="534"/>
      <c r="K60" s="534"/>
      <c r="L60" s="534"/>
      <c r="M60" s="534"/>
      <c r="N60" s="534"/>
      <c r="O60" s="534"/>
      <c r="P60" s="534"/>
    </row>
    <row r="61" spans="2:16" ht="25.5">
      <c r="B61" s="543" t="s">
        <v>176</v>
      </c>
      <c r="C61" s="355">
        <f>+C41*(100%-C57)</f>
        <v>9.2116451041239597E-2</v>
      </c>
      <c r="D61" s="355">
        <f t="shared" ref="D61:I61" si="74">+D41*(100%-D57)</f>
        <v>5.5402973215975031E-2</v>
      </c>
      <c r="E61" s="355">
        <f t="shared" si="74"/>
        <v>2.2782227009416504E-2</v>
      </c>
      <c r="F61" s="547">
        <f t="shared" si="74"/>
        <v>-5.8684558132987917E-2</v>
      </c>
      <c r="G61" s="355">
        <f t="shared" si="74"/>
        <v>-4.3623111473875126E-2</v>
      </c>
      <c r="H61" s="355">
        <f t="shared" si="74"/>
        <v>0.29566694668234955</v>
      </c>
      <c r="I61" s="355">
        <f t="shared" si="74"/>
        <v>7.1250159362087631E-2</v>
      </c>
      <c r="J61" s="355">
        <f t="shared" ref="J61:N61" si="75">+J41*(100%-J57)</f>
        <v>-4.8209042004401251E-2</v>
      </c>
      <c r="K61" s="355" t="e">
        <f t="shared" si="75"/>
        <v>#DIV/0!</v>
      </c>
      <c r="L61" s="355" t="e">
        <f t="shared" si="75"/>
        <v>#DIV/0!</v>
      </c>
      <c r="M61" s="355" t="e">
        <f t="shared" si="75"/>
        <v>#DIV/0!</v>
      </c>
      <c r="N61" s="355" t="e">
        <f t="shared" si="75"/>
        <v>#DIV/0!</v>
      </c>
    </row>
    <row r="62" spans="2:16" ht="25.5">
      <c r="B62" s="542" t="s">
        <v>306</v>
      </c>
      <c r="C62" s="534">
        <f>AVERAGE(G61:I61)</f>
        <v>0.107764664856854</v>
      </c>
      <c r="D62" s="534"/>
      <c r="E62" s="534"/>
      <c r="F62" s="534"/>
      <c r="G62" s="534"/>
      <c r="H62" s="534"/>
      <c r="I62" s="534"/>
      <c r="J62" s="534"/>
      <c r="K62" s="534"/>
      <c r="L62" s="534"/>
      <c r="M62" s="534"/>
      <c r="N62" s="534"/>
      <c r="O62" s="534"/>
    </row>
    <row r="63" spans="2:16" ht="25.5">
      <c r="B63" s="542" t="s">
        <v>300</v>
      </c>
      <c r="C63" s="725">
        <f ca="1">B3</f>
        <v>70.7</v>
      </c>
      <c r="D63" s="534"/>
      <c r="E63" s="534"/>
      <c r="F63" s="534"/>
      <c r="G63" s="534"/>
      <c r="H63" s="534"/>
      <c r="I63" s="534"/>
      <c r="J63" s="534"/>
      <c r="K63" s="534"/>
      <c r="L63" s="534"/>
      <c r="M63" s="534"/>
      <c r="N63" s="534"/>
      <c r="O63" s="534"/>
    </row>
    <row r="65" spans="2:14">
      <c r="B65" s="75" t="s">
        <v>307</v>
      </c>
    </row>
    <row r="66" spans="2:14" ht="14.65" thickBot="1"/>
    <row r="67" spans="2:14">
      <c r="B67" s="57" t="s">
        <v>696</v>
      </c>
      <c r="C67" s="158">
        <v>2017</v>
      </c>
      <c r="D67" s="158">
        <v>2018</v>
      </c>
      <c r="E67" s="158">
        <v>2019</v>
      </c>
      <c r="F67" s="158">
        <v>2020</v>
      </c>
      <c r="G67" s="158">
        <v>2021</v>
      </c>
      <c r="H67" s="158">
        <v>2022</v>
      </c>
      <c r="I67" s="158">
        <v>2023</v>
      </c>
      <c r="J67" s="158">
        <v>2024</v>
      </c>
      <c r="K67" s="158">
        <v>2025</v>
      </c>
      <c r="L67" s="158">
        <v>2026</v>
      </c>
      <c r="M67" s="158">
        <v>2027</v>
      </c>
      <c r="N67" s="158">
        <v>2028</v>
      </c>
    </row>
    <row r="68" spans="2:14">
      <c r="B68" s="157" t="s">
        <v>309</v>
      </c>
      <c r="C68" s="66"/>
      <c r="D68" s="64"/>
      <c r="E68" s="64"/>
      <c r="F68" s="64"/>
      <c r="G68" s="64"/>
      <c r="H68" s="64"/>
      <c r="I68" s="66"/>
      <c r="J68" s="66"/>
      <c r="K68" s="66"/>
      <c r="L68" s="66"/>
      <c r="M68" s="66"/>
      <c r="N68" s="66"/>
    </row>
    <row r="69" spans="2:14">
      <c r="B69" s="58" t="s">
        <v>310</v>
      </c>
      <c r="C69" s="64">
        <v>1055136552000</v>
      </c>
      <c r="D69" s="64">
        <v>996947772000</v>
      </c>
      <c r="E69" s="64">
        <v>1018212660000</v>
      </c>
      <c r="F69" s="159">
        <v>1026401196000</v>
      </c>
      <c r="G69" s="64">
        <v>1268252493000</v>
      </c>
      <c r="H69" s="64">
        <v>3064242319000</v>
      </c>
      <c r="I69" s="64">
        <v>2370971259000</v>
      </c>
      <c r="J69" s="64">
        <v>2234218853000</v>
      </c>
      <c r="K69" s="66"/>
      <c r="L69" s="66"/>
      <c r="M69" s="66"/>
      <c r="N69" s="66"/>
    </row>
    <row r="70" spans="2:14">
      <c r="B70" s="59" t="s">
        <v>386</v>
      </c>
      <c r="C70" s="66">
        <v>419456026000</v>
      </c>
      <c r="D70" s="66">
        <v>245171924000</v>
      </c>
      <c r="E70" s="66">
        <v>235684500000</v>
      </c>
      <c r="F70" s="66">
        <v>332036013000</v>
      </c>
      <c r="G70" s="66">
        <v>309975140000</v>
      </c>
      <c r="H70" s="160">
        <v>875213699000</v>
      </c>
      <c r="I70" s="66">
        <v>563291290000</v>
      </c>
      <c r="J70" s="66">
        <v>383399319000</v>
      </c>
      <c r="K70" s="66"/>
      <c r="L70" s="66"/>
      <c r="M70" s="66"/>
      <c r="N70" s="66"/>
    </row>
    <row r="71" spans="2:14">
      <c r="B71" s="59" t="s">
        <v>387</v>
      </c>
      <c r="C71" s="66">
        <v>20627062000</v>
      </c>
      <c r="D71" s="66">
        <v>40303173000</v>
      </c>
      <c r="E71" s="66">
        <v>1310595000</v>
      </c>
      <c r="F71" s="66">
        <v>3352404000</v>
      </c>
      <c r="G71" s="66">
        <v>4041415000</v>
      </c>
      <c r="H71" s="160">
        <v>3530216000</v>
      </c>
      <c r="I71" s="66">
        <v>67736634000</v>
      </c>
      <c r="J71" s="66">
        <v>19518512000</v>
      </c>
      <c r="K71" s="66"/>
      <c r="L71" s="66"/>
      <c r="M71" s="66"/>
      <c r="N71" s="66"/>
    </row>
    <row r="72" spans="2:14">
      <c r="B72" s="59" t="s">
        <v>388</v>
      </c>
      <c r="C72" s="66">
        <v>18785891000</v>
      </c>
      <c r="D72" s="66">
        <v>22406088000</v>
      </c>
      <c r="E72" s="66">
        <v>34634563000</v>
      </c>
      <c r="F72" s="66">
        <v>19801573000</v>
      </c>
      <c r="G72" s="66">
        <v>66825997000</v>
      </c>
      <c r="H72" s="160">
        <v>192640352000</v>
      </c>
      <c r="I72" s="66">
        <v>100497325000</v>
      </c>
      <c r="J72" s="66">
        <v>153163381000</v>
      </c>
      <c r="K72" s="66"/>
      <c r="L72" s="66"/>
      <c r="M72" s="66"/>
      <c r="N72" s="66"/>
    </row>
    <row r="73" spans="2:14">
      <c r="B73" s="59" t="s">
        <v>389</v>
      </c>
      <c r="C73" s="66">
        <v>406968537000</v>
      </c>
      <c r="D73" s="66">
        <v>478170067000</v>
      </c>
      <c r="E73" s="66">
        <v>511455330000</v>
      </c>
      <c r="F73" s="66">
        <v>554886639000</v>
      </c>
      <c r="G73" s="66">
        <v>688185127000</v>
      </c>
      <c r="H73" s="160">
        <v>1509513355000</v>
      </c>
      <c r="I73" s="66">
        <v>1449294549000</v>
      </c>
      <c r="J73" s="66">
        <v>1489965233000</v>
      </c>
      <c r="K73" s="66"/>
      <c r="L73" s="66"/>
      <c r="M73" s="66"/>
      <c r="N73" s="66"/>
    </row>
    <row r="74" spans="2:14">
      <c r="B74" s="59" t="s">
        <v>390</v>
      </c>
      <c r="C74" s="66">
        <v>71856046000</v>
      </c>
      <c r="D74" s="66">
        <v>54171060000</v>
      </c>
      <c r="E74" s="66">
        <v>68182133000</v>
      </c>
      <c r="F74" s="66">
        <v>57976125000</v>
      </c>
      <c r="G74" s="66">
        <v>56440088000</v>
      </c>
      <c r="H74" s="160">
        <v>256268604000</v>
      </c>
      <c r="I74" s="66">
        <v>50274125000</v>
      </c>
      <c r="J74" s="66">
        <v>42783336000</v>
      </c>
      <c r="K74" s="66"/>
      <c r="L74" s="66"/>
      <c r="M74" s="66"/>
      <c r="N74" s="66"/>
    </row>
    <row r="75" spans="2:14">
      <c r="B75" s="59" t="s">
        <v>391</v>
      </c>
      <c r="C75" s="66">
        <v>39686942000</v>
      </c>
      <c r="D75" s="66">
        <v>56961643000</v>
      </c>
      <c r="E75" s="66">
        <v>39672250000</v>
      </c>
      <c r="F75" s="66">
        <v>23310029000</v>
      </c>
      <c r="G75" s="66">
        <v>31247710000</v>
      </c>
      <c r="H75" s="160">
        <v>77916093000</v>
      </c>
      <c r="I75" s="66">
        <v>58761879000</v>
      </c>
      <c r="J75" s="66">
        <v>65168573000</v>
      </c>
      <c r="K75" s="66"/>
      <c r="L75" s="66"/>
      <c r="M75" s="66"/>
      <c r="N75" s="66"/>
    </row>
    <row r="76" spans="2:14">
      <c r="B76" s="59" t="s">
        <v>392</v>
      </c>
      <c r="C76" s="66">
        <v>77756048000</v>
      </c>
      <c r="D76" s="66">
        <v>99763817000</v>
      </c>
      <c r="E76" s="66">
        <v>127273289000</v>
      </c>
      <c r="F76" s="66">
        <v>35038413000</v>
      </c>
      <c r="G76" s="66">
        <v>111537016000</v>
      </c>
      <c r="H76" s="160">
        <v>120558367000</v>
      </c>
      <c r="I76" s="66">
        <v>81115457000</v>
      </c>
      <c r="J76" s="66">
        <v>80220499000</v>
      </c>
      <c r="K76" s="66"/>
      <c r="L76" s="66"/>
      <c r="M76" s="66"/>
      <c r="N76" s="66"/>
    </row>
    <row r="77" spans="2:14">
      <c r="B77" s="59" t="s">
        <v>720</v>
      </c>
      <c r="C77" s="66"/>
      <c r="D77" s="66"/>
      <c r="E77" s="66"/>
      <c r="F77" s="66"/>
      <c r="G77" s="66"/>
      <c r="H77" s="160">
        <v>28601633000</v>
      </c>
      <c r="I77" s="66"/>
      <c r="J77" s="66"/>
      <c r="K77" s="66"/>
      <c r="L77" s="66"/>
      <c r="M77" s="66"/>
      <c r="N77" s="66"/>
    </row>
    <row r="78" spans="2:14">
      <c r="B78" s="59" t="s">
        <v>318</v>
      </c>
      <c r="C78" s="66">
        <f t="shared" ref="C78:F78" si="76">+C69-C70-C75-C76-C74-C73-C72-C71-C77</f>
        <v>0</v>
      </c>
      <c r="D78" s="66">
        <f t="shared" si="76"/>
        <v>0</v>
      </c>
      <c r="E78" s="66">
        <f t="shared" si="76"/>
        <v>0</v>
      </c>
      <c r="F78" s="66">
        <f t="shared" si="76"/>
        <v>0</v>
      </c>
      <c r="G78" s="66">
        <f>+G69-G70-G75-G76-G74-G73-G72-G71-G77</f>
        <v>0</v>
      </c>
      <c r="H78" s="66">
        <f>+H69-H70-H75-H76-H74-H73-H72-H71-H77</f>
        <v>0</v>
      </c>
      <c r="I78" s="66">
        <f t="shared" ref="I78:J78" si="77">+I69-I70-I75-I76-I74-I73-I72-I71</f>
        <v>0</v>
      </c>
      <c r="J78" s="66">
        <f t="shared" si="77"/>
        <v>0</v>
      </c>
      <c r="K78" s="66">
        <f t="shared" ref="K78:N78" si="78">+K69-K70-K75-K76-K74-K73-K72-K71</f>
        <v>0</v>
      </c>
      <c r="L78" s="66">
        <f t="shared" si="78"/>
        <v>0</v>
      </c>
      <c r="M78" s="66">
        <f t="shared" si="78"/>
        <v>0</v>
      </c>
      <c r="N78" s="66">
        <f t="shared" si="78"/>
        <v>0</v>
      </c>
    </row>
    <row r="79" spans="2:14">
      <c r="B79" s="58" t="s">
        <v>319</v>
      </c>
      <c r="C79" s="64">
        <v>4639636456000</v>
      </c>
      <c r="D79" s="64">
        <v>6491072392000</v>
      </c>
      <c r="E79" s="64">
        <v>6839775504000</v>
      </c>
      <c r="F79" s="159">
        <v>6878070388000</v>
      </c>
      <c r="G79" s="64">
        <v>8232071103000</v>
      </c>
      <c r="H79" s="141">
        <v>8801337413000</v>
      </c>
      <c r="I79" s="64">
        <v>9462749777000</v>
      </c>
      <c r="J79" s="64">
        <v>10485678731000</v>
      </c>
      <c r="K79" s="66"/>
      <c r="L79" s="66"/>
      <c r="M79" s="66"/>
      <c r="N79" s="66"/>
    </row>
    <row r="80" spans="2:14">
      <c r="B80" s="59" t="s">
        <v>393</v>
      </c>
      <c r="C80" s="66">
        <v>33418204000</v>
      </c>
      <c r="D80" s="66">
        <v>7269669000</v>
      </c>
      <c r="E80" s="66">
        <v>7220620000</v>
      </c>
      <c r="F80" s="66">
        <v>20660450000</v>
      </c>
      <c r="G80" s="66">
        <v>39379065000</v>
      </c>
      <c r="H80" s="160">
        <v>59827640000</v>
      </c>
      <c r="I80" s="66">
        <v>11602385000</v>
      </c>
      <c r="J80" s="66">
        <v>4646303000</v>
      </c>
      <c r="K80" s="66"/>
      <c r="L80" s="66"/>
      <c r="M80" s="66"/>
      <c r="N80" s="66"/>
    </row>
    <row r="81" spans="2:14">
      <c r="B81" s="59" t="s">
        <v>721</v>
      </c>
      <c r="C81" s="66">
        <v>13813139000</v>
      </c>
      <c r="D81" s="66">
        <v>44608012000</v>
      </c>
      <c r="E81" s="66">
        <v>38050184000</v>
      </c>
      <c r="F81" s="66">
        <v>65787215000</v>
      </c>
      <c r="G81" s="66">
        <v>89616648000</v>
      </c>
      <c r="H81" s="160">
        <v>78276341000</v>
      </c>
      <c r="I81" s="66">
        <v>238393864000</v>
      </c>
      <c r="J81" s="66">
        <v>148597823000</v>
      </c>
      <c r="K81" s="66"/>
      <c r="L81" s="66"/>
      <c r="M81" s="66"/>
      <c r="N81" s="66"/>
    </row>
    <row r="82" spans="2:14">
      <c r="B82" s="59" t="s">
        <v>722</v>
      </c>
      <c r="C82" s="66">
        <v>36182399000</v>
      </c>
      <c r="D82" s="66">
        <v>60527843000</v>
      </c>
      <c r="E82" s="66">
        <v>313574385000</v>
      </c>
      <c r="F82" s="66">
        <v>445016566000</v>
      </c>
      <c r="G82" s="66">
        <v>515786340000</v>
      </c>
      <c r="H82" s="160">
        <v>691147645000</v>
      </c>
      <c r="I82" s="66">
        <v>903678141000</v>
      </c>
      <c r="J82" s="66">
        <v>1159251669000</v>
      </c>
      <c r="K82" s="66"/>
      <c r="L82" s="66"/>
      <c r="M82" s="66"/>
      <c r="N82" s="66"/>
    </row>
    <row r="83" spans="2:14">
      <c r="B83" s="59" t="s">
        <v>723</v>
      </c>
      <c r="C83" s="66">
        <v>0</v>
      </c>
      <c r="D83" s="66">
        <v>0</v>
      </c>
      <c r="E83" s="66">
        <v>34407142000</v>
      </c>
      <c r="F83" s="66">
        <v>48358915000</v>
      </c>
      <c r="G83" s="66">
        <v>6348001000</v>
      </c>
      <c r="H83" s="160">
        <v>0</v>
      </c>
      <c r="I83" s="66"/>
      <c r="J83" s="66"/>
      <c r="K83" s="66"/>
      <c r="L83" s="66"/>
      <c r="M83" s="66"/>
      <c r="N83" s="66"/>
    </row>
    <row r="84" spans="2:14">
      <c r="B84" s="59" t="s">
        <v>487</v>
      </c>
      <c r="C84" s="66">
        <v>16912454000</v>
      </c>
      <c r="D84" s="66">
        <v>12873531000</v>
      </c>
      <c r="E84" s="66">
        <v>7928588000</v>
      </c>
      <c r="F84" s="66">
        <v>12992803000</v>
      </c>
      <c r="G84" s="66">
        <v>9923933000</v>
      </c>
      <c r="H84" s="160">
        <v>17752778000</v>
      </c>
      <c r="I84" s="66">
        <v>25353785000</v>
      </c>
      <c r="J84" s="66">
        <v>32703763000</v>
      </c>
      <c r="K84" s="66"/>
      <c r="L84" s="66"/>
      <c r="M84" s="66"/>
      <c r="N84" s="66"/>
    </row>
    <row r="85" spans="2:14">
      <c r="B85" s="59" t="s">
        <v>397</v>
      </c>
      <c r="C85" s="66">
        <v>55170904000</v>
      </c>
      <c r="D85" s="66">
        <v>115372393000</v>
      </c>
      <c r="E85" s="66">
        <v>132278593000</v>
      </c>
      <c r="F85" s="66">
        <v>165114521000</v>
      </c>
      <c r="G85" s="66">
        <v>191221555000</v>
      </c>
      <c r="H85" s="160">
        <v>191441263000</v>
      </c>
      <c r="I85" s="66">
        <v>195009500000</v>
      </c>
      <c r="J85" s="66">
        <v>293348456000</v>
      </c>
      <c r="K85" s="66"/>
      <c r="L85" s="66"/>
      <c r="M85" s="66"/>
      <c r="N85" s="66"/>
    </row>
    <row r="86" spans="2:14">
      <c r="B86" s="59" t="s">
        <v>396</v>
      </c>
      <c r="C86" s="66">
        <v>887257655000</v>
      </c>
      <c r="D86" s="66">
        <v>915044725000</v>
      </c>
      <c r="E86" s="66">
        <v>917352974000</v>
      </c>
      <c r="F86" s="66">
        <v>915705369000</v>
      </c>
      <c r="G86" s="66">
        <v>921078198000</v>
      </c>
      <c r="H86" s="160">
        <v>883613429000</v>
      </c>
      <c r="I86" s="66">
        <v>884464658000</v>
      </c>
      <c r="J86" s="66">
        <v>889242912000</v>
      </c>
      <c r="K86" s="66"/>
      <c r="L86" s="66"/>
      <c r="M86" s="66"/>
      <c r="N86" s="66"/>
    </row>
    <row r="87" spans="2:14">
      <c r="B87" s="59" t="s">
        <v>398</v>
      </c>
      <c r="C87" s="66">
        <v>3585687137000</v>
      </c>
      <c r="D87" s="66">
        <v>5308647633000</v>
      </c>
      <c r="E87" s="66">
        <v>5304476114000</v>
      </c>
      <c r="F87" s="66">
        <v>5033496472000</v>
      </c>
      <c r="G87" s="66">
        <v>6110688761000</v>
      </c>
      <c r="H87" s="160">
        <v>6572353994000</v>
      </c>
      <c r="I87" s="66">
        <v>6850184820000</v>
      </c>
      <c r="J87" s="66">
        <v>7552861067000</v>
      </c>
      <c r="K87" s="66"/>
      <c r="L87" s="66"/>
      <c r="M87" s="66"/>
      <c r="N87" s="66"/>
    </row>
    <row r="88" spans="2:14">
      <c r="B88" s="59" t="s">
        <v>399</v>
      </c>
      <c r="C88" s="66">
        <v>8356772000</v>
      </c>
      <c r="D88" s="66">
        <v>7557356000</v>
      </c>
      <c r="E88" s="66">
        <v>6795155000</v>
      </c>
      <c r="F88" s="66">
        <v>7421940000</v>
      </c>
      <c r="G88" s="66">
        <v>7539005000</v>
      </c>
      <c r="H88" s="160">
        <v>7348262000</v>
      </c>
      <c r="I88" s="66">
        <v>7340561000</v>
      </c>
      <c r="J88" s="66">
        <v>7175892000</v>
      </c>
      <c r="K88" s="66"/>
      <c r="L88" s="66"/>
      <c r="M88" s="66"/>
      <c r="N88" s="66"/>
    </row>
    <row r="89" spans="2:14">
      <c r="B89" s="59" t="s">
        <v>400</v>
      </c>
      <c r="C89" s="66"/>
      <c r="D89" s="66"/>
      <c r="E89" s="66">
        <v>55843510000</v>
      </c>
      <c r="F89" s="161">
        <v>55502192000</v>
      </c>
      <c r="G89" s="66">
        <v>160788861000</v>
      </c>
      <c r="H89" s="160">
        <v>233698432000</v>
      </c>
      <c r="I89" s="66">
        <v>269052555000</v>
      </c>
      <c r="J89" s="66">
        <v>272610975000</v>
      </c>
      <c r="K89" s="66"/>
      <c r="L89" s="66"/>
      <c r="M89" s="66"/>
      <c r="N89" s="66"/>
    </row>
    <row r="90" spans="2:14">
      <c r="B90" s="59" t="s">
        <v>401</v>
      </c>
      <c r="C90" s="66">
        <v>2837792000</v>
      </c>
      <c r="D90" s="66">
        <v>19171230000</v>
      </c>
      <c r="E90" s="66">
        <v>21848239000</v>
      </c>
      <c r="F90" s="66">
        <v>108013945000</v>
      </c>
      <c r="G90" s="66">
        <v>179700736000</v>
      </c>
      <c r="H90" s="160">
        <v>65877629000</v>
      </c>
      <c r="I90" s="66">
        <v>77669508000</v>
      </c>
      <c r="J90" s="66">
        <v>125239871000</v>
      </c>
      <c r="K90" s="66"/>
      <c r="L90" s="66"/>
      <c r="M90" s="66"/>
      <c r="N90" s="66"/>
    </row>
    <row r="91" spans="2:14">
      <c r="B91" s="59" t="s">
        <v>328</v>
      </c>
      <c r="C91" s="66">
        <f t="shared" ref="C91:F91" si="79">+C79-C88-C89-C87-C80-C90-C86-C85-C84-C82-C83-C81</f>
        <v>0</v>
      </c>
      <c r="D91" s="66">
        <f t="shared" si="79"/>
        <v>0</v>
      </c>
      <c r="E91" s="66">
        <f t="shared" si="79"/>
        <v>0</v>
      </c>
      <c r="F91" s="66">
        <f t="shared" si="79"/>
        <v>0</v>
      </c>
      <c r="G91" s="66">
        <f>+G79-G88-G89-G87-G80-G90-G86-G85-G84-G82-G83-G81</f>
        <v>0</v>
      </c>
      <c r="H91" s="66">
        <f>+H79-H88-H89-H87-H80-H90-H86-H85-H84-H82-H83-H81</f>
        <v>0</v>
      </c>
      <c r="I91" s="66">
        <f t="shared" ref="I91:M91" si="80">+I79-I88-I89-I87-I80-I90-I86-I85-I84-I82-I83-I81</f>
        <v>0</v>
      </c>
      <c r="J91" s="66">
        <f t="shared" si="80"/>
        <v>0</v>
      </c>
      <c r="K91" s="66">
        <f t="shared" si="80"/>
        <v>0</v>
      </c>
      <c r="L91" s="66">
        <f t="shared" si="80"/>
        <v>0</v>
      </c>
      <c r="M91" s="66">
        <f t="shared" si="80"/>
        <v>0</v>
      </c>
      <c r="N91" s="66">
        <f>+N79-N88-N89-N87-N80-N90-N86-N85-N84-N82-N83-N81</f>
        <v>0</v>
      </c>
    </row>
    <row r="92" spans="2:14" ht="14.65" thickBot="1">
      <c r="B92" s="60" t="s">
        <v>329</v>
      </c>
      <c r="C92" s="70">
        <f t="shared" ref="C92:I92" si="81">+C79+C69</f>
        <v>5694773008000</v>
      </c>
      <c r="D92" s="70">
        <f t="shared" si="81"/>
        <v>7488020164000</v>
      </c>
      <c r="E92" s="70">
        <f t="shared" si="81"/>
        <v>7857988164000</v>
      </c>
      <c r="F92" s="70">
        <f t="shared" si="81"/>
        <v>7904471584000</v>
      </c>
      <c r="G92" s="70">
        <f t="shared" si="81"/>
        <v>9500323596000</v>
      </c>
      <c r="H92" s="162">
        <f t="shared" si="81"/>
        <v>11865579732000</v>
      </c>
      <c r="I92" s="70">
        <f t="shared" si="81"/>
        <v>11833721036000</v>
      </c>
      <c r="J92" s="70">
        <f t="shared" ref="J92:N92" si="82">+J79+J69</f>
        <v>12719897584000</v>
      </c>
      <c r="K92" s="70">
        <f t="shared" si="82"/>
        <v>0</v>
      </c>
      <c r="L92" s="70">
        <f t="shared" si="82"/>
        <v>0</v>
      </c>
      <c r="M92" s="70">
        <f t="shared" si="82"/>
        <v>0</v>
      </c>
      <c r="N92" s="70">
        <f t="shared" si="82"/>
        <v>0</v>
      </c>
    </row>
    <row r="93" spans="2:14" ht="14.65" thickBot="1">
      <c r="B93" s="61"/>
      <c r="C93" s="72"/>
      <c r="D93" s="72"/>
      <c r="E93" s="72"/>
      <c r="F93" s="72"/>
      <c r="G93" s="72"/>
      <c r="H93" s="163"/>
      <c r="I93" s="72"/>
      <c r="J93" s="72"/>
      <c r="K93" s="72"/>
      <c r="L93" s="72"/>
      <c r="M93" s="72"/>
      <c r="N93" s="72"/>
    </row>
    <row r="94" spans="2:14">
      <c r="B94" s="57" t="s">
        <v>330</v>
      </c>
      <c r="C94" s="62"/>
      <c r="D94" s="62"/>
      <c r="E94" s="62"/>
      <c r="F94" s="62"/>
      <c r="G94" s="62"/>
      <c r="H94" s="164"/>
      <c r="I94" s="62"/>
      <c r="J94" s="62"/>
      <c r="K94" s="62"/>
      <c r="L94" s="62"/>
      <c r="M94" s="62"/>
      <c r="N94" s="62"/>
    </row>
    <row r="95" spans="2:14">
      <c r="B95" s="58" t="s">
        <v>310</v>
      </c>
      <c r="C95" s="64">
        <v>816816646000</v>
      </c>
      <c r="D95" s="64">
        <v>1217464152000</v>
      </c>
      <c r="E95" s="64">
        <v>1041299852000</v>
      </c>
      <c r="F95" s="64">
        <v>1045480165000</v>
      </c>
      <c r="G95" s="64">
        <v>2132326217000</v>
      </c>
      <c r="H95" s="141">
        <v>3168491880000</v>
      </c>
      <c r="I95" s="64">
        <v>2793918344000</v>
      </c>
      <c r="J95" s="64">
        <v>2243487401000</v>
      </c>
      <c r="K95" s="66"/>
      <c r="L95" s="66"/>
      <c r="M95" s="66"/>
      <c r="N95" s="66"/>
    </row>
    <row r="96" spans="2:14">
      <c r="B96" s="59" t="s">
        <v>402</v>
      </c>
      <c r="C96" s="66">
        <v>18815448000</v>
      </c>
      <c r="D96" s="66">
        <v>410665815000</v>
      </c>
      <c r="E96" s="66">
        <v>208814561000</v>
      </c>
      <c r="F96" s="66">
        <v>157499141000</v>
      </c>
      <c r="G96" s="66">
        <v>88339890000</v>
      </c>
      <c r="H96" s="160">
        <v>68519783000</v>
      </c>
      <c r="I96" s="66">
        <v>615014915000</v>
      </c>
      <c r="J96" s="66">
        <v>83705578000</v>
      </c>
      <c r="K96" s="66"/>
      <c r="L96" s="66"/>
      <c r="M96" s="66"/>
      <c r="N96" s="66"/>
    </row>
    <row r="97" spans="2:14">
      <c r="B97" s="59" t="s">
        <v>403</v>
      </c>
      <c r="C97" s="66">
        <v>555978518000</v>
      </c>
      <c r="D97" s="66">
        <v>554286324000</v>
      </c>
      <c r="E97" s="66">
        <v>5842015000</v>
      </c>
      <c r="F97" s="66">
        <v>7007711000</v>
      </c>
      <c r="G97" s="66">
        <v>11105018000</v>
      </c>
      <c r="H97" s="160">
        <v>19020636000</v>
      </c>
      <c r="I97" s="66">
        <v>24138193000</v>
      </c>
      <c r="J97" s="66">
        <v>26886119000</v>
      </c>
      <c r="K97" s="66"/>
      <c r="L97" s="66"/>
      <c r="M97" s="66"/>
      <c r="N97" s="66"/>
    </row>
    <row r="98" spans="2:14">
      <c r="B98" s="59" t="s">
        <v>700</v>
      </c>
      <c r="C98" s="66">
        <v>119612972000</v>
      </c>
      <c r="D98" s="66">
        <v>157936325000</v>
      </c>
      <c r="E98" s="66">
        <v>599263208000</v>
      </c>
      <c r="F98" s="66">
        <v>627958022000</v>
      </c>
      <c r="G98" s="66">
        <v>978324487000</v>
      </c>
      <c r="H98" s="160">
        <v>1743892909000</v>
      </c>
      <c r="I98" s="66">
        <v>1464491965000</v>
      </c>
      <c r="J98" s="66">
        <v>1530434532000</v>
      </c>
      <c r="K98" s="66"/>
      <c r="L98" s="66"/>
      <c r="M98" s="66"/>
      <c r="N98" s="66"/>
    </row>
    <row r="99" spans="2:14">
      <c r="B99" s="59" t="s">
        <v>701</v>
      </c>
      <c r="C99" s="66"/>
      <c r="D99" s="66"/>
      <c r="E99" s="66">
        <v>159809887000</v>
      </c>
      <c r="F99" s="66">
        <v>130053962000</v>
      </c>
      <c r="G99" s="66">
        <v>1004597958000</v>
      </c>
      <c r="H99" s="160">
        <v>946498574000</v>
      </c>
      <c r="I99" s="66">
        <v>462578466000</v>
      </c>
      <c r="J99" s="66">
        <v>298301928000</v>
      </c>
      <c r="K99" s="66"/>
      <c r="L99" s="66"/>
      <c r="M99" s="66"/>
      <c r="N99" s="66"/>
    </row>
    <row r="100" spans="2:14">
      <c r="B100" s="59" t="s">
        <v>612</v>
      </c>
      <c r="C100" s="66">
        <v>5636171000</v>
      </c>
      <c r="D100" s="66">
        <v>5588786000</v>
      </c>
      <c r="E100" s="66">
        <v>4065965000</v>
      </c>
      <c r="F100" s="66">
        <v>3434804000</v>
      </c>
      <c r="G100" s="66">
        <v>19756317000</v>
      </c>
      <c r="H100" s="160">
        <v>22902006000</v>
      </c>
      <c r="I100" s="66">
        <v>25152710000</v>
      </c>
      <c r="J100" s="66">
        <v>51351795000</v>
      </c>
      <c r="K100" s="66"/>
      <c r="L100" s="66"/>
      <c r="M100" s="66"/>
      <c r="N100" s="66"/>
    </row>
    <row r="101" spans="2:14">
      <c r="B101" s="59" t="s">
        <v>408</v>
      </c>
      <c r="C101" s="66">
        <v>67027507000</v>
      </c>
      <c r="D101" s="66">
        <v>17677920000</v>
      </c>
      <c r="E101" s="66">
        <v>17995833000</v>
      </c>
      <c r="F101" s="66">
        <v>72359944000</v>
      </c>
      <c r="G101" s="66">
        <v>13148707000</v>
      </c>
      <c r="H101" s="160">
        <v>334336370000</v>
      </c>
      <c r="I101" s="66">
        <v>160107212000</v>
      </c>
      <c r="J101" s="66">
        <v>189070151000</v>
      </c>
      <c r="K101" s="66"/>
      <c r="L101" s="66"/>
      <c r="M101" s="66"/>
      <c r="N101" s="66"/>
    </row>
    <row r="102" spans="2:14">
      <c r="B102" s="59" t="s">
        <v>496</v>
      </c>
      <c r="C102" s="66">
        <v>49746030000</v>
      </c>
      <c r="D102" s="66">
        <v>71308982000</v>
      </c>
      <c r="E102" s="66">
        <v>45508383000</v>
      </c>
      <c r="F102" s="66">
        <v>47166581000</v>
      </c>
      <c r="G102" s="66">
        <v>17053840000</v>
      </c>
      <c r="H102" s="160">
        <v>33321602000</v>
      </c>
      <c r="I102" s="66">
        <v>42434883000</v>
      </c>
      <c r="J102" s="66">
        <v>63737298000</v>
      </c>
      <c r="K102" s="66"/>
      <c r="L102" s="66"/>
      <c r="M102" s="66"/>
      <c r="N102" s="66"/>
    </row>
    <row r="103" spans="2:14">
      <c r="B103" s="59"/>
      <c r="C103" s="66"/>
      <c r="D103" s="66"/>
      <c r="E103" s="66"/>
      <c r="F103" s="66"/>
      <c r="G103" s="66"/>
      <c r="H103" s="160"/>
      <c r="I103" s="66"/>
      <c r="J103" s="66"/>
      <c r="K103" s="66"/>
      <c r="L103" s="66"/>
      <c r="M103" s="66"/>
      <c r="N103" s="66"/>
    </row>
    <row r="104" spans="2:14">
      <c r="B104" s="59" t="s">
        <v>410</v>
      </c>
      <c r="C104" s="66">
        <f t="shared" ref="C104:I104" si="83">+C95-C96-C102-C103-C101-C100-C99-C98-C97</f>
        <v>0</v>
      </c>
      <c r="D104" s="66">
        <f t="shared" si="83"/>
        <v>0</v>
      </c>
      <c r="E104" s="66">
        <f t="shared" si="83"/>
        <v>0</v>
      </c>
      <c r="F104" s="66">
        <f t="shared" si="83"/>
        <v>0</v>
      </c>
      <c r="G104" s="66">
        <f t="shared" si="83"/>
        <v>0</v>
      </c>
      <c r="H104" s="66">
        <f t="shared" si="83"/>
        <v>0</v>
      </c>
      <c r="I104" s="66">
        <f t="shared" si="83"/>
        <v>0</v>
      </c>
      <c r="J104" s="66">
        <f t="shared" ref="J104:N104" si="84">+J95-J96-J102-J103-J101-J100-J99-J98-J97</f>
        <v>0</v>
      </c>
      <c r="K104" s="66">
        <f t="shared" si="84"/>
        <v>0</v>
      </c>
      <c r="L104" s="66">
        <f t="shared" si="84"/>
        <v>0</v>
      </c>
      <c r="M104" s="66">
        <f t="shared" si="84"/>
        <v>0</v>
      </c>
      <c r="N104" s="66">
        <f t="shared" si="84"/>
        <v>0</v>
      </c>
    </row>
    <row r="105" spans="2:14">
      <c r="B105" s="58" t="s">
        <v>319</v>
      </c>
      <c r="C105" s="64">
        <v>1090994705000</v>
      </c>
      <c r="D105" s="64">
        <v>2596392231000</v>
      </c>
      <c r="E105" s="64">
        <v>3069404660000</v>
      </c>
      <c r="F105" s="64">
        <v>3264716920000</v>
      </c>
      <c r="G105" s="64">
        <v>4021504481000</v>
      </c>
      <c r="H105" s="141">
        <v>4308148549000</v>
      </c>
      <c r="I105" s="64">
        <v>4278916420000</v>
      </c>
      <c r="J105" s="64">
        <v>5150030668000</v>
      </c>
      <c r="K105" s="66"/>
      <c r="L105" s="66"/>
      <c r="M105" s="66"/>
      <c r="N105" s="66"/>
    </row>
    <row r="106" spans="2:14">
      <c r="B106" s="59" t="s">
        <v>411</v>
      </c>
      <c r="C106" s="66">
        <v>781978145000</v>
      </c>
      <c r="D106" s="66">
        <v>1705833503000</v>
      </c>
      <c r="E106" s="66">
        <v>1692604245000</v>
      </c>
      <c r="F106" s="66">
        <v>1483589126000</v>
      </c>
      <c r="G106" s="66">
        <v>1941874378000</v>
      </c>
      <c r="H106" s="160">
        <v>2183803256000</v>
      </c>
      <c r="I106" s="66">
        <v>1904512941000</v>
      </c>
      <c r="J106" s="66">
        <v>2373962103000</v>
      </c>
      <c r="K106" s="66"/>
      <c r="L106" s="66"/>
      <c r="M106" s="66"/>
      <c r="N106" s="66"/>
    </row>
    <row r="107" spans="2:14">
      <c r="B107" s="59" t="s">
        <v>412</v>
      </c>
      <c r="C107" s="66"/>
      <c r="D107" s="66"/>
      <c r="E107" s="66">
        <v>47565674000</v>
      </c>
      <c r="F107" s="66">
        <v>44857807000</v>
      </c>
      <c r="G107" s="66">
        <v>148557059000</v>
      </c>
      <c r="H107" s="160">
        <v>216664919000</v>
      </c>
      <c r="I107" s="66">
        <v>243924027000</v>
      </c>
      <c r="J107" s="66">
        <v>267718931000</v>
      </c>
      <c r="K107" s="66"/>
      <c r="L107" s="66"/>
      <c r="M107" s="66"/>
      <c r="N107" s="66"/>
    </row>
    <row r="108" spans="2:14">
      <c r="B108" s="59" t="s">
        <v>724</v>
      </c>
      <c r="C108" s="66">
        <v>659824000</v>
      </c>
      <c r="D108" s="66">
        <v>2584180000</v>
      </c>
      <c r="E108" s="66">
        <v>56250085000</v>
      </c>
      <c r="F108" s="66">
        <v>117210059000</v>
      </c>
      <c r="G108" s="66">
        <v>179397412000</v>
      </c>
      <c r="H108" s="160">
        <v>308308862000</v>
      </c>
      <c r="I108" s="66">
        <v>595534857000</v>
      </c>
      <c r="J108" s="66">
        <v>966072117000</v>
      </c>
      <c r="K108" s="66"/>
      <c r="L108" s="66"/>
      <c r="M108" s="66"/>
      <c r="N108" s="66"/>
    </row>
    <row r="109" spans="2:14">
      <c r="B109" s="59" t="s">
        <v>725</v>
      </c>
      <c r="C109" s="66">
        <v>318518000</v>
      </c>
      <c r="D109" s="66">
        <v>447193802000</v>
      </c>
      <c r="E109" s="66">
        <v>784373484000</v>
      </c>
      <c r="F109" s="66">
        <v>1164044462000</v>
      </c>
      <c r="G109" s="66">
        <v>1300059097000</v>
      </c>
      <c r="H109" s="160">
        <v>1147096713000</v>
      </c>
      <c r="I109" s="66">
        <v>1034791219000</v>
      </c>
      <c r="J109" s="66">
        <v>1015904873000</v>
      </c>
      <c r="K109" s="66"/>
      <c r="L109" s="66"/>
      <c r="M109" s="66"/>
      <c r="N109" s="66"/>
    </row>
    <row r="110" spans="2:14">
      <c r="B110" s="59" t="s">
        <v>616</v>
      </c>
      <c r="C110" s="66">
        <v>78422837000</v>
      </c>
      <c r="D110" s="66">
        <v>105871375000</v>
      </c>
      <c r="E110" s="66">
        <v>171860282000</v>
      </c>
      <c r="F110" s="66">
        <v>210241671000</v>
      </c>
      <c r="G110" s="66">
        <v>194112714000</v>
      </c>
      <c r="H110" s="160">
        <v>189470243000</v>
      </c>
      <c r="I110" s="66">
        <v>211600686000</v>
      </c>
      <c r="J110" s="66">
        <v>215266701000</v>
      </c>
      <c r="K110" s="66"/>
      <c r="L110" s="66"/>
      <c r="M110" s="66"/>
      <c r="N110" s="66"/>
    </row>
    <row r="111" spans="2:14">
      <c r="B111" s="59" t="s">
        <v>339</v>
      </c>
      <c r="C111" s="66">
        <v>172223681000</v>
      </c>
      <c r="D111" s="66">
        <v>278080054000</v>
      </c>
      <c r="E111" s="66">
        <v>249284641000</v>
      </c>
      <c r="F111" s="66">
        <v>168057562000</v>
      </c>
      <c r="G111" s="66">
        <v>197416950000</v>
      </c>
      <c r="H111" s="160">
        <v>199016494000</v>
      </c>
      <c r="I111" s="66">
        <v>172512663000</v>
      </c>
      <c r="J111" s="66">
        <v>207896524000</v>
      </c>
      <c r="K111" s="66"/>
      <c r="L111" s="66"/>
      <c r="M111" s="66"/>
      <c r="N111" s="66"/>
    </row>
    <row r="112" spans="2:14">
      <c r="B112" s="59" t="s">
        <v>726</v>
      </c>
      <c r="C112" s="66">
        <v>57081924000</v>
      </c>
      <c r="D112" s="66">
        <v>56602664000</v>
      </c>
      <c r="E112" s="66">
        <v>66163490000</v>
      </c>
      <c r="F112" s="66">
        <v>75538265000</v>
      </c>
      <c r="G112" s="66">
        <v>58951586000</v>
      </c>
      <c r="H112" s="160">
        <v>62699415000</v>
      </c>
      <c r="I112" s="66">
        <v>62820044000</v>
      </c>
      <c r="J112" s="66">
        <v>65598156000</v>
      </c>
      <c r="K112" s="66"/>
      <c r="L112" s="66"/>
      <c r="M112" s="66"/>
      <c r="N112" s="66"/>
    </row>
    <row r="113" spans="2:14">
      <c r="B113" s="59" t="s">
        <v>500</v>
      </c>
      <c r="C113" s="66">
        <v>309776000</v>
      </c>
      <c r="D113" s="66">
        <v>226653000</v>
      </c>
      <c r="E113" s="66">
        <v>1302759000</v>
      </c>
      <c r="F113" s="66">
        <v>1177968000</v>
      </c>
      <c r="G113" s="66">
        <v>1135285000</v>
      </c>
      <c r="H113" s="160">
        <v>1088647000</v>
      </c>
      <c r="I113" s="66">
        <v>53219983000</v>
      </c>
      <c r="J113" s="66">
        <v>37611263000</v>
      </c>
      <c r="K113" s="66"/>
      <c r="L113" s="66"/>
      <c r="M113" s="66"/>
      <c r="N113" s="66"/>
    </row>
    <row r="114" spans="2:14">
      <c r="B114" s="59" t="s">
        <v>341</v>
      </c>
      <c r="C114" s="66">
        <f t="shared" ref="C114:G114" si="85">+C105-C106-C108-C110-C107-C111-C109-C112-C113</f>
        <v>0</v>
      </c>
      <c r="D114" s="66">
        <f t="shared" si="85"/>
        <v>0</v>
      </c>
      <c r="E114" s="66">
        <f t="shared" si="85"/>
        <v>0</v>
      </c>
      <c r="F114" s="66">
        <f t="shared" si="85"/>
        <v>0</v>
      </c>
      <c r="G114" s="66">
        <f t="shared" si="85"/>
        <v>0</v>
      </c>
      <c r="H114" s="66">
        <f>+H105-H106-H108-H110-H107-H111-H109-H112-H113</f>
        <v>0</v>
      </c>
      <c r="I114" s="66">
        <f t="shared" ref="I114:N114" si="86">+I105-I106-I108-I110-I107-I111-I109-I112-I113</f>
        <v>0</v>
      </c>
      <c r="J114" s="66">
        <f t="shared" si="86"/>
        <v>0</v>
      </c>
      <c r="K114" s="66">
        <f t="shared" si="86"/>
        <v>0</v>
      </c>
      <c r="L114" s="66">
        <f t="shared" si="86"/>
        <v>0</v>
      </c>
      <c r="M114" s="66">
        <f t="shared" si="86"/>
        <v>0</v>
      </c>
      <c r="N114" s="66">
        <f t="shared" si="86"/>
        <v>0</v>
      </c>
    </row>
    <row r="115" spans="2:14" ht="14.65" thickBot="1">
      <c r="B115" s="60" t="s">
        <v>342</v>
      </c>
      <c r="C115" s="70">
        <f t="shared" ref="C115:J115" si="87">+C105+C95</f>
        <v>1907811351000</v>
      </c>
      <c r="D115" s="70">
        <f t="shared" si="87"/>
        <v>3813856383000</v>
      </c>
      <c r="E115" s="70">
        <f t="shared" si="87"/>
        <v>4110704512000</v>
      </c>
      <c r="F115" s="70">
        <f t="shared" si="87"/>
        <v>4310197085000</v>
      </c>
      <c r="G115" s="70">
        <f t="shared" si="87"/>
        <v>6153830698000</v>
      </c>
      <c r="H115" s="162">
        <f t="shared" si="87"/>
        <v>7476640429000</v>
      </c>
      <c r="I115" s="162">
        <f t="shared" si="87"/>
        <v>7072834764000</v>
      </c>
      <c r="J115" s="162">
        <f t="shared" si="87"/>
        <v>7393518069000</v>
      </c>
      <c r="K115" s="178"/>
      <c r="L115" s="178"/>
      <c r="M115" s="178"/>
      <c r="N115" s="178"/>
    </row>
    <row r="116" spans="2:14" ht="14.65" thickBot="1">
      <c r="B116" s="61"/>
      <c r="C116" s="61"/>
      <c r="D116" s="61"/>
      <c r="E116" s="61"/>
      <c r="F116" s="61"/>
      <c r="G116" s="61"/>
      <c r="H116" s="61"/>
      <c r="I116" s="61"/>
      <c r="J116" s="61"/>
      <c r="K116" s="61"/>
      <c r="L116" s="61"/>
      <c r="M116" s="61"/>
      <c r="N116" s="61"/>
    </row>
    <row r="117" spans="2:14">
      <c r="B117" s="57" t="s">
        <v>343</v>
      </c>
      <c r="C117" s="62"/>
      <c r="D117" s="62"/>
      <c r="E117" s="62"/>
      <c r="F117" s="62"/>
      <c r="G117" s="62"/>
      <c r="H117" s="164"/>
      <c r="I117" s="62"/>
      <c r="J117" s="62"/>
      <c r="K117" s="62"/>
      <c r="L117" s="62"/>
      <c r="M117" s="62"/>
      <c r="N117" s="62"/>
    </row>
    <row r="118" spans="2:14">
      <c r="B118" s="59" t="s">
        <v>415</v>
      </c>
      <c r="C118" s="160">
        <v>2229108975000</v>
      </c>
      <c r="D118" s="160">
        <f>3954491479000-72388009000</f>
        <v>3882103470000</v>
      </c>
      <c r="E118" s="160">
        <v>3882103470000</v>
      </c>
      <c r="F118" s="160">
        <v>3882103470000</v>
      </c>
      <c r="G118" s="160">
        <v>3882103470000</v>
      </c>
      <c r="H118" s="160">
        <v>3882103470000</v>
      </c>
      <c r="I118" s="66">
        <v>3882103470000</v>
      </c>
      <c r="J118" s="66">
        <v>3882103470000</v>
      </c>
      <c r="K118" s="66"/>
      <c r="L118" s="66"/>
      <c r="M118" s="66"/>
      <c r="N118" s="66"/>
    </row>
    <row r="119" spans="2:14">
      <c r="B119" s="59" t="s">
        <v>727</v>
      </c>
      <c r="C119" s="66">
        <v>1751605583000</v>
      </c>
      <c r="D119" s="66">
        <v>1914797613000</v>
      </c>
      <c r="E119" s="66">
        <v>2008103651000</v>
      </c>
      <c r="F119" s="66">
        <v>1747437805000</v>
      </c>
      <c r="G119" s="66">
        <v>1603186295000</v>
      </c>
      <c r="H119" s="160">
        <v>2474432817000</v>
      </c>
      <c r="I119" s="66">
        <v>2917851065000</v>
      </c>
      <c r="J119" s="66">
        <v>2871345789000</v>
      </c>
      <c r="K119" s="66"/>
      <c r="L119" s="66"/>
      <c r="M119" s="66"/>
      <c r="N119" s="66"/>
    </row>
    <row r="120" spans="2:14">
      <c r="B120" s="59" t="s">
        <v>503</v>
      </c>
      <c r="C120" s="66">
        <v>-997330548000</v>
      </c>
      <c r="D120" s="66">
        <v>-2375672564000</v>
      </c>
      <c r="E120" s="66">
        <v>-2406509135000</v>
      </c>
      <c r="F120" s="66">
        <v>-2277625485000</v>
      </c>
      <c r="G120" s="66">
        <v>-2387421412000</v>
      </c>
      <c r="H120" s="160">
        <v>-2259335392000</v>
      </c>
      <c r="I120" s="66">
        <v>-2353874617000</v>
      </c>
      <c r="J120" s="66">
        <v>-1794650838000</v>
      </c>
      <c r="K120" s="66"/>
      <c r="L120" s="66"/>
      <c r="M120" s="66"/>
      <c r="N120" s="66"/>
    </row>
    <row r="121" spans="2:14">
      <c r="B121" s="59" t="s">
        <v>419</v>
      </c>
      <c r="C121" s="66">
        <v>803577647000</v>
      </c>
      <c r="D121" s="66">
        <v>252935262000</v>
      </c>
      <c r="E121" s="66">
        <v>262585666000</v>
      </c>
      <c r="F121" s="66">
        <v>242358709000</v>
      </c>
      <c r="G121" s="66">
        <v>248624545000</v>
      </c>
      <c r="H121" s="160">
        <v>291738408000</v>
      </c>
      <c r="I121" s="66">
        <v>314806354000</v>
      </c>
      <c r="J121" s="66">
        <v>367581094000</v>
      </c>
      <c r="K121" s="66"/>
      <c r="L121" s="66"/>
      <c r="M121" s="66"/>
      <c r="N121" s="66"/>
    </row>
    <row r="122" spans="2:14" ht="14.65" thickBot="1">
      <c r="B122" s="60" t="s">
        <v>728</v>
      </c>
      <c r="C122" s="70">
        <f t="shared" ref="C122:F122" si="88">+C118+C120+C119</f>
        <v>2983384010000</v>
      </c>
      <c r="D122" s="70">
        <f t="shared" si="88"/>
        <v>3421228519000</v>
      </c>
      <c r="E122" s="70">
        <f t="shared" si="88"/>
        <v>3483697986000</v>
      </c>
      <c r="F122" s="70">
        <f t="shared" si="88"/>
        <v>3351915790000</v>
      </c>
      <c r="G122" s="70">
        <f>+G118+G120+G119</f>
        <v>3097868353000</v>
      </c>
      <c r="H122" s="70">
        <f>+H118+H120+H119</f>
        <v>4097200895000</v>
      </c>
      <c r="I122" s="70">
        <f t="shared" ref="I122:J122" si="89">+I118+I120+I119</f>
        <v>4446079918000</v>
      </c>
      <c r="J122" s="70">
        <f t="shared" si="89"/>
        <v>4958798421000</v>
      </c>
      <c r="K122" s="70">
        <f t="shared" ref="K122:N122" si="90">+K118+K120+K119</f>
        <v>0</v>
      </c>
      <c r="L122" s="70">
        <f t="shared" si="90"/>
        <v>0</v>
      </c>
      <c r="M122" s="70">
        <f t="shared" si="90"/>
        <v>0</v>
      </c>
      <c r="N122" s="70">
        <f t="shared" si="90"/>
        <v>0</v>
      </c>
    </row>
    <row r="124" spans="2:14" ht="14.65" thickBot="1">
      <c r="B124" s="75" t="s">
        <v>348</v>
      </c>
    </row>
    <row r="125" spans="2:14" ht="14.65" thickBot="1">
      <c r="B125" s="82" t="s">
        <v>308</v>
      </c>
      <c r="C125" s="88">
        <v>2017</v>
      </c>
      <c r="D125" s="88">
        <v>2018</v>
      </c>
      <c r="E125" s="88">
        <v>2019</v>
      </c>
      <c r="F125" s="88">
        <v>2020</v>
      </c>
      <c r="G125" s="88">
        <v>2021</v>
      </c>
      <c r="H125" s="89">
        <v>2022</v>
      </c>
      <c r="I125" s="103">
        <v>2023</v>
      </c>
      <c r="J125" s="89">
        <v>2024</v>
      </c>
      <c r="K125" s="103">
        <v>2025</v>
      </c>
      <c r="L125" s="89">
        <v>2026</v>
      </c>
      <c r="M125" s="103">
        <v>2027</v>
      </c>
      <c r="N125" s="89">
        <v>2028</v>
      </c>
    </row>
    <row r="126" spans="2:14">
      <c r="B126" s="83" t="s">
        <v>729</v>
      </c>
      <c r="C126" s="90">
        <v>2484101582000</v>
      </c>
      <c r="D126" s="90">
        <v>2410360459000</v>
      </c>
      <c r="E126" s="90">
        <v>2624576323000</v>
      </c>
      <c r="F126" s="90">
        <v>2548384317000</v>
      </c>
      <c r="G126" s="90">
        <v>2829682404000</v>
      </c>
      <c r="H126" s="195">
        <v>4379000090000</v>
      </c>
      <c r="I126" s="410">
        <v>4262591097000</v>
      </c>
      <c r="J126" s="110">
        <v>3904732890000</v>
      </c>
      <c r="K126" s="110"/>
      <c r="L126" s="110"/>
      <c r="M126" s="110"/>
      <c r="N126" s="110"/>
    </row>
    <row r="127" spans="2:14">
      <c r="B127" s="83" t="s">
        <v>730</v>
      </c>
      <c r="C127" s="90">
        <v>38876700000</v>
      </c>
      <c r="D127" s="90">
        <v>46800967000</v>
      </c>
      <c r="E127" s="90">
        <v>146258037000</v>
      </c>
      <c r="F127" s="90">
        <v>37017880000</v>
      </c>
      <c r="G127" s="90">
        <v>25547131000</v>
      </c>
      <c r="H127" s="195">
        <v>577431773000</v>
      </c>
      <c r="I127" s="410">
        <v>117654896000</v>
      </c>
      <c r="J127" s="110">
        <v>82402403000</v>
      </c>
      <c r="K127" s="110"/>
      <c r="L127" s="110"/>
      <c r="M127" s="110"/>
      <c r="N127" s="110"/>
    </row>
    <row r="128" spans="2:14">
      <c r="B128" s="85" t="s">
        <v>421</v>
      </c>
      <c r="C128" s="66">
        <v>-1514786921000</v>
      </c>
      <c r="D128" s="66">
        <v>-1292177116000</v>
      </c>
      <c r="E128" s="66">
        <v>-1421205251000</v>
      </c>
      <c r="F128" s="66">
        <v>-1374445639000</v>
      </c>
      <c r="G128" s="66">
        <v>-2011305404000</v>
      </c>
      <c r="H128" s="131">
        <v>-3399524067000</v>
      </c>
      <c r="I128" s="105">
        <v>-2995585459000</v>
      </c>
      <c r="J128" s="105">
        <v>-2905568914000</v>
      </c>
      <c r="K128" s="105"/>
      <c r="L128" s="105"/>
      <c r="M128" s="105"/>
      <c r="N128" s="105"/>
    </row>
    <row r="129" spans="2:14">
      <c r="B129" s="86" t="s">
        <v>422</v>
      </c>
      <c r="C129" s="141">
        <f t="shared" ref="C129:G129" si="91">+C126+C128+C127</f>
        <v>1008191361000</v>
      </c>
      <c r="D129" s="141">
        <f t="shared" si="91"/>
        <v>1164984310000</v>
      </c>
      <c r="E129" s="141">
        <f t="shared" si="91"/>
        <v>1349629109000</v>
      </c>
      <c r="F129" s="141">
        <f t="shared" si="91"/>
        <v>1210956558000</v>
      </c>
      <c r="G129" s="141">
        <f t="shared" si="91"/>
        <v>843924131000</v>
      </c>
      <c r="H129" s="141">
        <f>+H126+H128+H127</f>
        <v>1556907796000</v>
      </c>
      <c r="I129" s="64">
        <f>+I126+I128+I127</f>
        <v>1384660534000</v>
      </c>
      <c r="J129" s="64">
        <f>+J126+J128+J127</f>
        <v>1081566379000</v>
      </c>
      <c r="K129" s="64">
        <f t="shared" ref="K129:N129" si="92">+K126+K128</f>
        <v>0</v>
      </c>
      <c r="L129" s="64">
        <f t="shared" si="92"/>
        <v>0</v>
      </c>
      <c r="M129" s="64">
        <f t="shared" si="92"/>
        <v>0</v>
      </c>
      <c r="N129" s="64">
        <f t="shared" si="92"/>
        <v>0</v>
      </c>
    </row>
    <row r="130" spans="2:14">
      <c r="B130" s="85" t="s">
        <v>731</v>
      </c>
      <c r="C130" s="117">
        <v>14388987000</v>
      </c>
      <c r="D130" s="117">
        <v>16710963000</v>
      </c>
      <c r="E130" s="117">
        <v>17610861000</v>
      </c>
      <c r="F130" s="117">
        <v>25539316000</v>
      </c>
      <c r="G130" s="117">
        <v>31157196000</v>
      </c>
      <c r="H130" s="131">
        <v>44569685000</v>
      </c>
      <c r="I130" s="105">
        <v>39629466000</v>
      </c>
      <c r="J130" s="105">
        <v>40732541000</v>
      </c>
      <c r="K130" s="105"/>
      <c r="L130" s="105"/>
      <c r="M130" s="105"/>
      <c r="N130" s="105"/>
    </row>
    <row r="131" spans="2:14">
      <c r="B131" s="85" t="s">
        <v>623</v>
      </c>
      <c r="C131" s="117">
        <v>-121503777000</v>
      </c>
      <c r="D131" s="117">
        <v>-123130334000</v>
      </c>
      <c r="E131" s="117">
        <v>-129604956000</v>
      </c>
      <c r="F131" s="117">
        <v>-137226748000</v>
      </c>
      <c r="G131" s="117">
        <v>-163345154000</v>
      </c>
      <c r="H131" s="131">
        <v>-158239393000</v>
      </c>
      <c r="I131" s="105">
        <v>-172787800000</v>
      </c>
      <c r="J131" s="105">
        <v>-163937134000</v>
      </c>
      <c r="K131" s="105"/>
      <c r="L131" s="105"/>
      <c r="M131" s="105"/>
      <c r="N131" s="105"/>
    </row>
    <row r="132" spans="2:14">
      <c r="B132" s="85" t="s">
        <v>424</v>
      </c>
      <c r="C132" s="117">
        <v>-152684106000</v>
      </c>
      <c r="D132" s="117">
        <v>-215187300000</v>
      </c>
      <c r="E132" s="117">
        <v>-236627387000</v>
      </c>
      <c r="F132" s="117">
        <v>-229957019000</v>
      </c>
      <c r="G132" s="117">
        <v>-210927656000</v>
      </c>
      <c r="H132" s="131">
        <v>-238272951000</v>
      </c>
      <c r="I132" s="105">
        <v>-253399784000</v>
      </c>
      <c r="J132" s="105">
        <v>-295468978000</v>
      </c>
      <c r="K132" s="105"/>
      <c r="L132" s="105"/>
      <c r="M132" s="105"/>
      <c r="N132" s="105"/>
    </row>
    <row r="133" spans="2:14">
      <c r="B133" s="85" t="s">
        <v>732</v>
      </c>
      <c r="C133" s="117">
        <v>0</v>
      </c>
      <c r="D133" s="117">
        <v>-779825000</v>
      </c>
      <c r="E133" s="117">
        <v>-280762652000</v>
      </c>
      <c r="F133" s="117">
        <v>-697806441000</v>
      </c>
      <c r="G133" s="117">
        <v>-32898854000</v>
      </c>
      <c r="H133" s="131">
        <v>-1547699000</v>
      </c>
      <c r="I133" s="105">
        <v>-7023888000</v>
      </c>
      <c r="J133" s="105">
        <v>-34203486000</v>
      </c>
      <c r="K133" s="105"/>
      <c r="L133" s="105"/>
      <c r="M133" s="105"/>
      <c r="N133" s="105"/>
    </row>
    <row r="134" spans="2:14">
      <c r="B134" s="85" t="s">
        <v>733</v>
      </c>
      <c r="C134" s="117">
        <v>-7937817000</v>
      </c>
      <c r="D134" s="117">
        <v>-4783072000</v>
      </c>
      <c r="E134" s="117">
        <v>-10047000000</v>
      </c>
      <c r="F134" s="117">
        <v>-15167707000</v>
      </c>
      <c r="G134" s="117">
        <v>-18765175000</v>
      </c>
      <c r="H134" s="131">
        <v>-22025354000</v>
      </c>
      <c r="I134" s="105">
        <v>-10773445000</v>
      </c>
      <c r="J134" s="105">
        <v>-18429856000</v>
      </c>
      <c r="K134" s="105"/>
      <c r="L134" s="105"/>
      <c r="M134" s="105"/>
      <c r="N134" s="105"/>
    </row>
    <row r="135" spans="2:14">
      <c r="B135" s="85" t="s">
        <v>734</v>
      </c>
      <c r="C135" s="117">
        <v>-7937817000</v>
      </c>
      <c r="D135" s="117">
        <v>-167210021000</v>
      </c>
      <c r="E135" s="66">
        <v>-184143140000</v>
      </c>
      <c r="F135" s="117">
        <v>-190593334000</v>
      </c>
      <c r="G135" s="117">
        <v>-189550825000</v>
      </c>
      <c r="H135" s="131">
        <v>-269034847000</v>
      </c>
      <c r="I135" s="105">
        <v>-212543865000</v>
      </c>
      <c r="J135" s="105">
        <v>-237200190000</v>
      </c>
      <c r="K135" s="105"/>
      <c r="L135" s="105"/>
      <c r="M135" s="105"/>
      <c r="N135" s="105"/>
    </row>
    <row r="136" spans="2:14">
      <c r="B136" s="86" t="s">
        <v>428</v>
      </c>
      <c r="C136" s="64">
        <f t="shared" ref="C136:F136" si="93">+C129+C135+C130+C131+C132+C133+C134</f>
        <v>732516831000</v>
      </c>
      <c r="D136" s="64">
        <f t="shared" si="93"/>
        <v>670604721000</v>
      </c>
      <c r="E136" s="64">
        <f t="shared" si="93"/>
        <v>526054835000</v>
      </c>
      <c r="F136" s="64">
        <f t="shared" si="93"/>
        <v>-34255375000</v>
      </c>
      <c r="G136" s="64">
        <f>+G129+G135+G130+G131+G132+G133+G134</f>
        <v>259593663000</v>
      </c>
      <c r="H136" s="64">
        <f>+H129+H135+H130+H131+H132+H133+H134</f>
        <v>912357237000</v>
      </c>
      <c r="I136" s="64">
        <f>+I129+I135+I130+I131+I132+I133+I134</f>
        <v>767761218000</v>
      </c>
      <c r="J136" s="64">
        <f>+J129+J135+J130+J131+J132+J133+J134</f>
        <v>373059276000</v>
      </c>
      <c r="K136" s="64">
        <f t="shared" ref="K136:N136" si="94">+K129+K135+K130+K131+K132+K133+K134</f>
        <v>0</v>
      </c>
      <c r="L136" s="64">
        <f t="shared" si="94"/>
        <v>0</v>
      </c>
      <c r="M136" s="64">
        <f t="shared" si="94"/>
        <v>0</v>
      </c>
      <c r="N136" s="64">
        <f t="shared" si="94"/>
        <v>0</v>
      </c>
    </row>
    <row r="137" spans="2:14">
      <c r="B137" s="85" t="s">
        <v>735</v>
      </c>
      <c r="C137" s="117">
        <v>113241196000</v>
      </c>
      <c r="D137" s="117">
        <v>3410379000</v>
      </c>
      <c r="E137" s="66">
        <v>1793201000</v>
      </c>
      <c r="F137" s="66">
        <v>9488815000</v>
      </c>
      <c r="G137" s="131">
        <v>10137284000</v>
      </c>
      <c r="H137" s="131">
        <v>981981296000</v>
      </c>
      <c r="I137" s="105">
        <v>221846937000</v>
      </c>
      <c r="J137" s="105">
        <v>-291724000</v>
      </c>
      <c r="K137" s="105"/>
      <c r="L137" s="105"/>
      <c r="M137" s="105"/>
      <c r="N137" s="105"/>
    </row>
    <row r="138" spans="2:14">
      <c r="B138" s="85" t="s">
        <v>429</v>
      </c>
      <c r="C138" s="117">
        <v>21662688000</v>
      </c>
      <c r="D138" s="117">
        <v>19934468000</v>
      </c>
      <c r="E138" s="66">
        <v>27399275000</v>
      </c>
      <c r="F138" s="66">
        <v>36160460000</v>
      </c>
      <c r="G138" s="131">
        <v>26420400000</v>
      </c>
      <c r="H138" s="131">
        <v>50414585000</v>
      </c>
      <c r="I138" s="105">
        <v>134253836000</v>
      </c>
      <c r="J138" s="105">
        <v>78282443000</v>
      </c>
      <c r="K138" s="105"/>
      <c r="L138" s="105"/>
      <c r="M138" s="105"/>
      <c r="N138" s="105"/>
    </row>
    <row r="139" spans="2:14">
      <c r="B139" s="85" t="s">
        <v>430</v>
      </c>
      <c r="C139" s="117">
        <v>-53510882000</v>
      </c>
      <c r="D139" s="117">
        <v>-122184189000</v>
      </c>
      <c r="E139" s="66">
        <v>-164897900000</v>
      </c>
      <c r="F139" s="66">
        <v>-127408771000</v>
      </c>
      <c r="G139" s="131">
        <v>-174043116000</v>
      </c>
      <c r="H139" s="131">
        <v>-193618033000</v>
      </c>
      <c r="I139" s="105">
        <v>-247067556000</v>
      </c>
      <c r="J139" s="105">
        <v>-232584262000</v>
      </c>
      <c r="K139" s="105"/>
      <c r="L139" s="105"/>
      <c r="M139" s="105"/>
      <c r="N139" s="105"/>
    </row>
    <row r="140" spans="2:14">
      <c r="B140" s="85" t="s">
        <v>736</v>
      </c>
      <c r="C140" s="117">
        <v>-2696904000</v>
      </c>
      <c r="D140" s="117">
        <v>3190240000</v>
      </c>
      <c r="E140" s="66">
        <v>366089000</v>
      </c>
      <c r="F140" s="66">
        <v>3509392000</v>
      </c>
      <c r="G140" s="131">
        <v>3177409000</v>
      </c>
      <c r="H140" s="131">
        <v>3281241000</v>
      </c>
      <c r="I140" s="105">
        <v>5702088000</v>
      </c>
      <c r="J140" s="105">
        <v>8413675000</v>
      </c>
      <c r="K140" s="105"/>
      <c r="L140" s="105"/>
      <c r="M140" s="105"/>
      <c r="N140" s="105"/>
    </row>
    <row r="141" spans="2:14">
      <c r="B141" s="85" t="s">
        <v>625</v>
      </c>
      <c r="C141" s="117">
        <v>8516874000</v>
      </c>
      <c r="D141" s="117">
        <v>-7807197000</v>
      </c>
      <c r="E141" s="66">
        <v>-10412110000</v>
      </c>
      <c r="F141" s="66">
        <v>-23272231000</v>
      </c>
      <c r="G141" s="131">
        <v>-15334368000</v>
      </c>
      <c r="H141" s="131">
        <v>18401453000</v>
      </c>
      <c r="I141" s="105">
        <v>-856350000</v>
      </c>
      <c r="J141" s="105">
        <v>-21732058000</v>
      </c>
      <c r="K141" s="105"/>
      <c r="L141" s="105"/>
      <c r="M141" s="105"/>
      <c r="N141" s="105"/>
    </row>
    <row r="142" spans="2:14">
      <c r="B142" s="85" t="s">
        <v>433</v>
      </c>
      <c r="C142" s="66">
        <v>916666000</v>
      </c>
      <c r="D142" s="66">
        <v>-818146000</v>
      </c>
      <c r="E142" s="66">
        <v>-2982268000</v>
      </c>
      <c r="F142" s="66">
        <v>2085768000</v>
      </c>
      <c r="G142" s="131">
        <v>5897520000</v>
      </c>
      <c r="H142" s="131">
        <v>5862890000</v>
      </c>
      <c r="I142" s="105">
        <v>25285703000</v>
      </c>
      <c r="J142" s="105">
        <v>20824185000</v>
      </c>
      <c r="K142" s="105"/>
      <c r="L142" s="105"/>
      <c r="M142" s="105"/>
      <c r="N142" s="105"/>
    </row>
    <row r="143" spans="2:14">
      <c r="B143" s="86" t="s">
        <v>362</v>
      </c>
      <c r="C143" s="64">
        <f t="shared" ref="C143:G143" si="95">+C136+C137+C138+C139+C140+C141+C142</f>
        <v>820646469000</v>
      </c>
      <c r="D143" s="64">
        <f t="shared" si="95"/>
        <v>566330276000</v>
      </c>
      <c r="E143" s="64">
        <f t="shared" si="95"/>
        <v>377321122000</v>
      </c>
      <c r="F143" s="64">
        <f t="shared" si="95"/>
        <v>-133691942000</v>
      </c>
      <c r="G143" s="64">
        <f t="shared" si="95"/>
        <v>115848792000</v>
      </c>
      <c r="H143" s="64">
        <f>+H136+H137+H138+H139+H140+H141+H142</f>
        <v>1778680669000</v>
      </c>
      <c r="I143" s="64">
        <f>+I136+I137+I138+I139+I140+I141+I142</f>
        <v>906925876000</v>
      </c>
      <c r="J143" s="64">
        <f>+J136+J137+J138+J139+J140+J141+J142</f>
        <v>225971535000</v>
      </c>
      <c r="K143" s="105"/>
      <c r="L143" s="105"/>
      <c r="M143" s="105"/>
      <c r="N143" s="105"/>
    </row>
    <row r="144" spans="2:14">
      <c r="B144" s="85" t="s">
        <v>363</v>
      </c>
      <c r="C144" s="66">
        <v>-143342301000</v>
      </c>
      <c r="D144" s="66">
        <v>-153482519000</v>
      </c>
      <c r="E144" s="66">
        <v>-61227904000</v>
      </c>
      <c r="F144" s="66">
        <v>81305107000</v>
      </c>
      <c r="G144" s="91">
        <v>-15138658000</v>
      </c>
      <c r="H144" s="131">
        <v>-469696880000</v>
      </c>
      <c r="I144" s="105">
        <v>-226912485000</v>
      </c>
      <c r="J144" s="105"/>
      <c r="K144" s="105"/>
      <c r="L144" s="105"/>
      <c r="M144" s="105"/>
      <c r="N144" s="105"/>
    </row>
    <row r="145" spans="2:14">
      <c r="B145" s="84" t="s">
        <v>365</v>
      </c>
      <c r="C145" s="130">
        <f t="shared" ref="C145:G145" si="96">+C143+C144</f>
        <v>677304168000</v>
      </c>
      <c r="D145" s="130">
        <f t="shared" si="96"/>
        <v>412847757000</v>
      </c>
      <c r="E145" s="130">
        <f t="shared" si="96"/>
        <v>316093218000</v>
      </c>
      <c r="F145" s="130">
        <f t="shared" si="96"/>
        <v>-52386835000</v>
      </c>
      <c r="G145" s="130">
        <f t="shared" si="96"/>
        <v>100710134000</v>
      </c>
      <c r="H145" s="130">
        <f>+H143+H144</f>
        <v>1308983789000</v>
      </c>
      <c r="I145" s="130">
        <f t="shared" ref="I145:J145" si="97">+I143+I144</f>
        <v>680013391000</v>
      </c>
      <c r="J145" s="130">
        <f t="shared" si="97"/>
        <v>225971535000</v>
      </c>
      <c r="K145" s="130">
        <f t="shared" ref="K145:N145" si="98">+K143+K144</f>
        <v>0</v>
      </c>
      <c r="L145" s="130">
        <f t="shared" si="98"/>
        <v>0</v>
      </c>
      <c r="M145" s="130">
        <f t="shared" si="98"/>
        <v>0</v>
      </c>
      <c r="N145" s="130">
        <f t="shared" si="98"/>
        <v>0</v>
      </c>
    </row>
    <row r="146" spans="2:14" ht="28.5">
      <c r="B146" s="87" t="s">
        <v>435</v>
      </c>
      <c r="C146" s="66">
        <v>174035269000</v>
      </c>
      <c r="D146" s="66">
        <v>51137820000</v>
      </c>
      <c r="E146" s="66">
        <v>19939613000</v>
      </c>
      <c r="F146" s="66">
        <v>-1526522000</v>
      </c>
      <c r="G146" s="91">
        <v>15556165000</v>
      </c>
      <c r="H146" s="131">
        <v>56901531000</v>
      </c>
      <c r="I146" s="105">
        <v>46557616000</v>
      </c>
      <c r="J146" s="105">
        <v>45930818000</v>
      </c>
      <c r="K146" s="105"/>
      <c r="L146" s="105"/>
      <c r="M146" s="105"/>
      <c r="N146" s="105"/>
    </row>
    <row r="147" spans="2:14">
      <c r="B147" s="84" t="s">
        <v>436</v>
      </c>
      <c r="C147" s="130">
        <f t="shared" ref="C147:G147" si="99">+C145-C146</f>
        <v>503268899000</v>
      </c>
      <c r="D147" s="130">
        <f t="shared" si="99"/>
        <v>361709937000</v>
      </c>
      <c r="E147" s="130">
        <f t="shared" si="99"/>
        <v>296153605000</v>
      </c>
      <c r="F147" s="130">
        <f t="shared" si="99"/>
        <v>-50860313000</v>
      </c>
      <c r="G147" s="130">
        <f t="shared" si="99"/>
        <v>85153969000</v>
      </c>
      <c r="H147" s="130">
        <f>+H145-H146</f>
        <v>1252082258000</v>
      </c>
      <c r="I147" s="130">
        <f>+I145-I146</f>
        <v>633455775000</v>
      </c>
      <c r="J147" s="130">
        <f>+J145-J146</f>
        <v>180040717000</v>
      </c>
      <c r="K147" s="201"/>
      <c r="L147" s="201"/>
      <c r="M147" s="201"/>
      <c r="N147" s="201"/>
    </row>
    <row r="148" spans="2:14">
      <c r="B148" s="140" t="s">
        <v>159</v>
      </c>
      <c r="C148" s="123">
        <v>7.12</v>
      </c>
      <c r="D148" s="123">
        <v>5.66</v>
      </c>
      <c r="E148" s="123">
        <v>4.28</v>
      </c>
      <c r="F148" s="123">
        <v>-0.74</v>
      </c>
      <c r="G148" s="111">
        <v>1.23</v>
      </c>
      <c r="H148" s="112">
        <v>18.100000000000001</v>
      </c>
      <c r="I148" s="112">
        <v>9.16</v>
      </c>
      <c r="J148" s="112">
        <v>2.1</v>
      </c>
      <c r="K148" s="105"/>
      <c r="L148" s="105"/>
      <c r="M148" s="105"/>
      <c r="N148" s="105"/>
    </row>
    <row r="150" spans="2:14" ht="14.65" thickBot="1">
      <c r="B150" s="75" t="s">
        <v>367</v>
      </c>
    </row>
    <row r="151" spans="2:14" ht="14.65" thickBot="1">
      <c r="B151" s="82" t="s">
        <v>308</v>
      </c>
      <c r="C151" s="88">
        <v>2017</v>
      </c>
      <c r="D151" s="88">
        <v>2018</v>
      </c>
      <c r="E151" s="88">
        <v>2019</v>
      </c>
      <c r="F151" s="88">
        <v>2020</v>
      </c>
      <c r="G151" s="88">
        <v>2021</v>
      </c>
      <c r="H151" s="89">
        <v>2022</v>
      </c>
      <c r="I151" s="103">
        <v>2023</v>
      </c>
      <c r="J151" s="89">
        <v>2024</v>
      </c>
      <c r="K151" s="103">
        <v>2025</v>
      </c>
      <c r="L151" s="89">
        <v>2026</v>
      </c>
      <c r="M151" s="103">
        <v>2027</v>
      </c>
      <c r="N151" s="89">
        <v>2028</v>
      </c>
    </row>
    <row r="152" spans="2:14">
      <c r="B152" s="83" t="s">
        <v>368</v>
      </c>
      <c r="C152" s="90">
        <v>635613720000</v>
      </c>
      <c r="D152" s="90">
        <v>735525522000</v>
      </c>
      <c r="E152" s="90">
        <v>743711719000</v>
      </c>
      <c r="F152" s="90">
        <v>755866198000</v>
      </c>
      <c r="G152" s="90">
        <v>412892815000</v>
      </c>
      <c r="H152" s="195">
        <v>744778813000</v>
      </c>
      <c r="I152" s="195">
        <v>705662245000</v>
      </c>
      <c r="J152" s="195">
        <v>1530905876000</v>
      </c>
      <c r="K152" s="195"/>
      <c r="L152" s="202"/>
      <c r="M152" s="202"/>
      <c r="N152" s="202"/>
    </row>
    <row r="153" spans="2:14">
      <c r="B153" s="86" t="s">
        <v>369</v>
      </c>
      <c r="C153" s="91">
        <v>-146465777000</v>
      </c>
      <c r="D153" s="93">
        <v>-1881559694000</v>
      </c>
      <c r="E153" s="93">
        <v>-311531811000</v>
      </c>
      <c r="F153" s="66">
        <v>-554651390000</v>
      </c>
      <c r="G153" s="93">
        <v>-736554810000</v>
      </c>
      <c r="H153" s="131">
        <v>455571379000</v>
      </c>
      <c r="I153" s="131">
        <v>-86238337000</v>
      </c>
      <c r="J153" s="131">
        <v>-696099404000</v>
      </c>
      <c r="K153" s="131"/>
      <c r="L153" s="203"/>
      <c r="M153" s="203"/>
      <c r="N153" s="203"/>
    </row>
    <row r="154" spans="2:14">
      <c r="B154" s="85" t="s">
        <v>370</v>
      </c>
      <c r="C154" s="93">
        <v>-266029921000</v>
      </c>
      <c r="D154" s="93">
        <v>-300538836000</v>
      </c>
      <c r="E154" s="93">
        <v>-300346362000</v>
      </c>
      <c r="F154" s="93">
        <v>-514807265000</v>
      </c>
      <c r="G154" s="93">
        <v>-748013237000</v>
      </c>
      <c r="H154" s="131">
        <v>-915692779000</v>
      </c>
      <c r="I154" s="131">
        <v>-636792401000</v>
      </c>
      <c r="J154" s="131">
        <v>-684003978000</v>
      </c>
      <c r="K154" s="131"/>
      <c r="L154" s="203"/>
      <c r="M154" s="203"/>
      <c r="N154" s="203"/>
    </row>
    <row r="155" spans="2:14">
      <c r="B155" s="86" t="s">
        <v>372</v>
      </c>
      <c r="C155" s="120">
        <v>-317595521000</v>
      </c>
      <c r="D155" s="120">
        <v>966576876000</v>
      </c>
      <c r="E155" s="64">
        <v>-440435688000</v>
      </c>
      <c r="F155" s="120">
        <v>-127669334000</v>
      </c>
      <c r="G155" s="120">
        <v>293231509000</v>
      </c>
      <c r="H155" s="130">
        <v>-628656359000</v>
      </c>
      <c r="I155" s="130">
        <v>-934235643000</v>
      </c>
      <c r="J155" s="130">
        <v>-1033193319000</v>
      </c>
      <c r="K155" s="130"/>
      <c r="L155" s="203"/>
      <c r="M155" s="203"/>
      <c r="N155" s="203"/>
    </row>
    <row r="156" spans="2:14">
      <c r="B156" s="85" t="s">
        <v>737</v>
      </c>
      <c r="C156" s="120">
        <v>-43816959000</v>
      </c>
      <c r="D156" s="120">
        <v>-116540891000</v>
      </c>
      <c r="E156" s="120">
        <v>-134429754000</v>
      </c>
      <c r="F156" s="120">
        <v>-139251404000</v>
      </c>
      <c r="G156" s="120">
        <v>-142891300000</v>
      </c>
      <c r="H156" s="130">
        <v>-186961822000</v>
      </c>
      <c r="I156" s="130">
        <v>-193172908000</v>
      </c>
      <c r="J156" s="130">
        <v>-205473569000</v>
      </c>
      <c r="K156" s="130"/>
      <c r="L156" s="203"/>
      <c r="M156" s="203"/>
      <c r="N156" s="203"/>
    </row>
    <row r="157" spans="2:14">
      <c r="B157" s="85" t="s">
        <v>738</v>
      </c>
      <c r="C157" s="120"/>
      <c r="D157" s="120"/>
      <c r="E157" s="120"/>
      <c r="F157" s="120"/>
      <c r="G157" s="120"/>
      <c r="H157" s="130"/>
      <c r="I157" s="130"/>
      <c r="J157" s="130"/>
      <c r="K157" s="130"/>
      <c r="L157" s="203"/>
      <c r="M157" s="203"/>
      <c r="N157" s="203"/>
    </row>
    <row r="158" spans="2:14">
      <c r="B158" s="85" t="s">
        <v>373</v>
      </c>
      <c r="C158" s="93">
        <v>-260803055000</v>
      </c>
      <c r="D158" s="93">
        <v>-231392743000</v>
      </c>
      <c r="E158" s="66">
        <v>-236478649000</v>
      </c>
      <c r="F158" s="93">
        <v>-312714789000</v>
      </c>
      <c r="G158" s="93">
        <v>-231068611000</v>
      </c>
      <c r="H158" s="131">
        <v>-39609648000</v>
      </c>
      <c r="I158" s="131">
        <v>-401593903000</v>
      </c>
      <c r="J158" s="131">
        <v>-345072557000</v>
      </c>
      <c r="K158" s="131"/>
      <c r="L158" s="203"/>
      <c r="M158" s="203"/>
      <c r="N158" s="203"/>
    </row>
    <row r="159" spans="2:14">
      <c r="B159" s="86" t="s">
        <v>375</v>
      </c>
      <c r="C159" s="64">
        <v>419456026000</v>
      </c>
      <c r="D159" s="64">
        <v>245171924000</v>
      </c>
      <c r="E159" s="64">
        <v>235684500000</v>
      </c>
      <c r="F159" s="64">
        <v>332036013000</v>
      </c>
      <c r="G159" s="64">
        <v>309975140000</v>
      </c>
      <c r="H159" s="130">
        <v>875213699000</v>
      </c>
      <c r="I159" s="130">
        <v>563291290000</v>
      </c>
      <c r="J159" s="130">
        <v>383399319000</v>
      </c>
      <c r="K159" s="130"/>
      <c r="L159" s="203"/>
      <c r="M159" s="203"/>
      <c r="N159" s="203"/>
    </row>
    <row r="160" spans="2:14">
      <c r="B160" s="85"/>
      <c r="C160" s="66"/>
      <c r="D160" s="66"/>
      <c r="E160" s="66"/>
      <c r="F160" s="66"/>
      <c r="G160" s="66"/>
      <c r="H160" s="131"/>
      <c r="I160" s="131"/>
      <c r="J160" s="131"/>
      <c r="K160" s="131"/>
      <c r="L160" s="203"/>
      <c r="M160" s="203"/>
      <c r="N160" s="203"/>
    </row>
    <row r="161" spans="2:14">
      <c r="B161" s="84" t="s">
        <v>376</v>
      </c>
      <c r="C161" s="131">
        <f t="shared" ref="C161:N161" si="100">+C152+C156+C154+C157</f>
        <v>325766840000</v>
      </c>
      <c r="D161" s="131">
        <f t="shared" si="100"/>
        <v>318445795000</v>
      </c>
      <c r="E161" s="131">
        <f t="shared" si="100"/>
        <v>308935603000</v>
      </c>
      <c r="F161" s="131">
        <f t="shared" si="100"/>
        <v>101807529000</v>
      </c>
      <c r="G161" s="131">
        <f t="shared" si="100"/>
        <v>-478011722000</v>
      </c>
      <c r="H161" s="131">
        <f t="shared" si="100"/>
        <v>-357875788000</v>
      </c>
      <c r="I161" s="131">
        <f t="shared" si="100"/>
        <v>-124303064000</v>
      </c>
      <c r="J161" s="131">
        <f t="shared" si="100"/>
        <v>641428329000</v>
      </c>
      <c r="K161" s="131">
        <f t="shared" si="100"/>
        <v>0</v>
      </c>
      <c r="L161" s="131">
        <f t="shared" si="100"/>
        <v>0</v>
      </c>
      <c r="M161" s="131">
        <f t="shared" si="100"/>
        <v>0</v>
      </c>
      <c r="N161" s="131">
        <f t="shared" si="100"/>
        <v>0</v>
      </c>
    </row>
  </sheetData>
  <conditionalFormatting sqref="C68:N115 C117:N122">
    <cfRule type="cellIs" dxfId="160" priority="5" operator="lessThan">
      <formula>0</formula>
    </cfRule>
  </conditionalFormatting>
  <conditionalFormatting sqref="C126:N148">
    <cfRule type="cellIs" dxfId="159" priority="4" operator="lessThan">
      <formula>0</formula>
    </cfRule>
  </conditionalFormatting>
  <conditionalFormatting sqref="C152:N161">
    <cfRule type="cellIs" dxfId="158" priority="1" operator="lessThan">
      <formula>0</formula>
    </cfRule>
  </conditionalFormatting>
  <pageMargins left="0.7" right="0.7" top="0.75" bottom="0.75" header="0.3" footer="0.3"/>
  <pageSetup paperSize="9" orientation="portrait"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F3222-6FD8-4971-9A17-9701955E8B20}">
  <dimension ref="B2:P146"/>
  <sheetViews>
    <sheetView zoomScale="80" zoomScaleNormal="80" workbookViewId="0">
      <pane xSplit="2" ySplit="6" topLeftCell="G7" activePane="bottomRight" state="frozen"/>
      <selection pane="bottomRight" activeCell="G10" sqref="G10"/>
      <selection pane="bottomLeft" activeCell="A7" sqref="A7"/>
      <selection pane="topRight" activeCell="C1" sqref="C1"/>
    </sheetView>
  </sheetViews>
  <sheetFormatPr defaultColWidth="10.7109375" defaultRowHeight="14.25"/>
  <cols>
    <col min="1" max="1" width="4.42578125" customWidth="1"/>
    <col min="2" max="2" width="44.7109375" customWidth="1"/>
    <col min="3" max="6" width="33.28515625" customWidth="1"/>
    <col min="7" max="7" width="36.28515625" customWidth="1"/>
    <col min="8" max="8" width="35.7109375" customWidth="1"/>
    <col min="9" max="9" width="30.7109375" bestFit="1" customWidth="1"/>
    <col min="10" max="10" width="28.7109375" bestFit="1" customWidth="1"/>
    <col min="11" max="14" width="25.42578125" bestFit="1" customWidth="1"/>
  </cols>
  <sheetData>
    <row r="2" spans="2:14" ht="21">
      <c r="B2" s="313">
        <f ca="1">TODAY()-1</f>
        <v>46105</v>
      </c>
      <c r="C2" s="314"/>
      <c r="D2" s="344" t="s">
        <v>265</v>
      </c>
      <c r="E2" s="345" t="s">
        <v>266</v>
      </c>
    </row>
    <row r="3" spans="2:14" ht="25.5">
      <c r="B3" s="376" cm="1">
        <f t="array" aca="1" ref="B3" ca="1">_FV(B6,"Precio")</f>
        <v>945</v>
      </c>
      <c r="C3" s="316"/>
      <c r="D3" s="365">
        <f>AVERAGE(G49:I49)</f>
        <v>91.185999999999993</v>
      </c>
      <c r="E3" s="365">
        <f>AVERAGE(G48:I48)</f>
        <v>126.11099999999999</v>
      </c>
    </row>
    <row r="4" spans="2:14" ht="28.5">
      <c r="B4" s="319"/>
      <c r="C4" s="320"/>
      <c r="D4" s="328"/>
      <c r="E4" s="328"/>
    </row>
    <row r="5" spans="2:14" ht="18">
      <c r="B5" s="34" t="s">
        <v>684</v>
      </c>
    </row>
    <row r="6" spans="2:14" ht="33.4">
      <c r="B6" s="3" t="e" vm="31">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+C65</f>
        <v>0</v>
      </c>
      <c r="D7" s="5">
        <f t="shared" ref="D7:N7" si="0">+D65</f>
        <v>15417000</v>
      </c>
      <c r="E7" s="5">
        <f t="shared" si="0"/>
        <v>11590000</v>
      </c>
      <c r="F7" s="5">
        <f t="shared" si="0"/>
        <v>10403000</v>
      </c>
      <c r="G7" s="5">
        <f t="shared" si="0"/>
        <v>34738000</v>
      </c>
      <c r="H7" s="5">
        <f t="shared" si="0"/>
        <v>18627000</v>
      </c>
      <c r="I7" s="5">
        <f t="shared" si="0"/>
        <v>20815000</v>
      </c>
      <c r="J7" s="5">
        <f t="shared" si="0"/>
        <v>0</v>
      </c>
      <c r="K7" s="5">
        <f t="shared" si="0"/>
        <v>0</v>
      </c>
      <c r="L7" s="5">
        <f t="shared" si="0"/>
        <v>0</v>
      </c>
      <c r="M7" s="5">
        <f t="shared" si="0"/>
        <v>0</v>
      </c>
      <c r="N7" s="5">
        <f t="shared" si="0"/>
        <v>0</v>
      </c>
    </row>
    <row r="8" spans="2:14" ht="25.5">
      <c r="B8" s="146" t="s">
        <v>377</v>
      </c>
      <c r="C8" s="147">
        <f>+C69</f>
        <v>0</v>
      </c>
      <c r="D8" s="147">
        <f t="shared" ref="D8:N8" si="1">+D69</f>
        <v>3107000</v>
      </c>
      <c r="E8" s="147">
        <f t="shared" si="1"/>
        <v>2120000</v>
      </c>
      <c r="F8" s="147">
        <f t="shared" si="1"/>
        <v>4083000</v>
      </c>
      <c r="G8" s="147">
        <f t="shared" si="1"/>
        <v>19040000</v>
      </c>
      <c r="H8" s="147">
        <f t="shared" si="1"/>
        <v>9368000</v>
      </c>
      <c r="I8" s="147">
        <f t="shared" si="1"/>
        <v>7941000</v>
      </c>
      <c r="J8" s="147">
        <f t="shared" si="1"/>
        <v>0</v>
      </c>
      <c r="K8" s="147">
        <f t="shared" si="1"/>
        <v>0</v>
      </c>
      <c r="L8" s="147">
        <f t="shared" si="1"/>
        <v>0</v>
      </c>
      <c r="M8" s="147">
        <f t="shared" si="1"/>
        <v>0</v>
      </c>
      <c r="N8" s="147">
        <f t="shared" si="1"/>
        <v>0</v>
      </c>
    </row>
    <row r="9" spans="2:14" ht="25.5">
      <c r="B9" s="146" t="s">
        <v>378</v>
      </c>
      <c r="C9" s="147">
        <f>+C71</f>
        <v>0</v>
      </c>
      <c r="D9" s="147">
        <f t="shared" ref="D9:N9" si="2">+D71</f>
        <v>2443000</v>
      </c>
      <c r="E9" s="147">
        <f t="shared" si="2"/>
        <v>2337000</v>
      </c>
      <c r="F9" s="147">
        <f t="shared" si="2"/>
        <v>1592000</v>
      </c>
      <c r="G9" s="147">
        <f t="shared" si="2"/>
        <v>3546000</v>
      </c>
      <c r="H9" s="147">
        <f t="shared" si="2"/>
        <v>4822000</v>
      </c>
      <c r="I9" s="147">
        <f t="shared" si="2"/>
        <v>3941000</v>
      </c>
      <c r="J9" s="147">
        <f t="shared" si="2"/>
        <v>0</v>
      </c>
      <c r="K9" s="147">
        <f t="shared" si="2"/>
        <v>0</v>
      </c>
      <c r="L9" s="147">
        <f t="shared" si="2"/>
        <v>0</v>
      </c>
      <c r="M9" s="147">
        <f t="shared" si="2"/>
        <v>0</v>
      </c>
      <c r="N9" s="147">
        <f t="shared" si="2"/>
        <v>0</v>
      </c>
    </row>
    <row r="10" spans="2:14" ht="25.5">
      <c r="B10" s="146"/>
      <c r="C10" s="352" t="e">
        <f t="shared" ref="C10:M10" si="3">+C9/C7</f>
        <v>#DIV/0!</v>
      </c>
      <c r="D10" s="352">
        <f t="shared" si="3"/>
        <v>0.15846143867159629</v>
      </c>
      <c r="E10" s="352">
        <f t="shared" si="3"/>
        <v>0.20163934426229507</v>
      </c>
      <c r="F10" s="352">
        <f t="shared" si="3"/>
        <v>0.15303277900605594</v>
      </c>
      <c r="G10" s="352">
        <f t="shared" si="3"/>
        <v>0.10207841556796592</v>
      </c>
      <c r="H10" s="352">
        <f t="shared" si="3"/>
        <v>0.25887153057389811</v>
      </c>
      <c r="I10" s="352">
        <f t="shared" si="3"/>
        <v>0.18933461446072544</v>
      </c>
      <c r="J10" s="352" t="e">
        <f t="shared" si="3"/>
        <v>#DIV/0!</v>
      </c>
      <c r="K10" s="352" t="e">
        <f t="shared" si="3"/>
        <v>#DIV/0!</v>
      </c>
      <c r="L10" s="352" t="e">
        <f t="shared" si="3"/>
        <v>#DIV/0!</v>
      </c>
      <c r="M10" s="352" t="e">
        <f t="shared" si="3"/>
        <v>#DIV/0!</v>
      </c>
      <c r="N10" s="147"/>
    </row>
    <row r="11" spans="2:14" ht="25.5">
      <c r="B11" s="4" t="s">
        <v>379</v>
      </c>
      <c r="C11" s="5">
        <f>+C74</f>
        <v>0</v>
      </c>
      <c r="D11" s="5">
        <f t="shared" ref="D11:N11" si="4">+D74</f>
        <v>106129000</v>
      </c>
      <c r="E11" s="5">
        <f t="shared" si="4"/>
        <v>102695000</v>
      </c>
      <c r="F11" s="5">
        <f t="shared" si="4"/>
        <v>98997000</v>
      </c>
      <c r="G11" s="5">
        <f t="shared" si="4"/>
        <v>100249000</v>
      </c>
      <c r="H11" s="5">
        <f t="shared" si="4"/>
        <v>109643000</v>
      </c>
      <c r="I11" s="5">
        <f t="shared" si="4"/>
        <v>129924000</v>
      </c>
      <c r="J11" s="5">
        <f t="shared" si="4"/>
        <v>0</v>
      </c>
      <c r="K11" s="5">
        <f t="shared" si="4"/>
        <v>0</v>
      </c>
      <c r="L11" s="5">
        <f t="shared" si="4"/>
        <v>0</v>
      </c>
      <c r="M11" s="5">
        <f t="shared" si="4"/>
        <v>0</v>
      </c>
      <c r="N11" s="5">
        <f t="shared" si="4"/>
        <v>0</v>
      </c>
    </row>
    <row r="12" spans="2:14" ht="25.5">
      <c r="B12" s="8" t="s">
        <v>272</v>
      </c>
      <c r="C12" s="9">
        <f>+C11+C7</f>
        <v>0</v>
      </c>
      <c r="D12" s="9">
        <f t="shared" ref="D12:N12" si="5">+D11+D7</f>
        <v>121546000</v>
      </c>
      <c r="E12" s="9">
        <f t="shared" si="5"/>
        <v>114285000</v>
      </c>
      <c r="F12" s="9">
        <f t="shared" si="5"/>
        <v>109400000</v>
      </c>
      <c r="G12" s="9">
        <f t="shared" si="5"/>
        <v>134987000</v>
      </c>
      <c r="H12" s="9">
        <f t="shared" si="5"/>
        <v>128270000</v>
      </c>
      <c r="I12" s="9">
        <f t="shared" si="5"/>
        <v>150739000</v>
      </c>
      <c r="J12" s="9">
        <f t="shared" si="5"/>
        <v>0</v>
      </c>
      <c r="K12" s="9">
        <f t="shared" si="5"/>
        <v>0</v>
      </c>
      <c r="L12" s="9">
        <f t="shared" si="5"/>
        <v>0</v>
      </c>
      <c r="M12" s="9">
        <f t="shared" si="5"/>
        <v>0</v>
      </c>
      <c r="N12" s="9">
        <f t="shared" si="5"/>
        <v>0</v>
      </c>
    </row>
    <row r="13" spans="2:14" ht="25.5">
      <c r="B13" s="10" t="s">
        <v>273</v>
      </c>
      <c r="C13" s="11">
        <f>+C88</f>
        <v>0</v>
      </c>
      <c r="D13" s="11">
        <f t="shared" ref="D13:N13" si="6">+D88</f>
        <v>8967000</v>
      </c>
      <c r="E13" s="11">
        <f t="shared" si="6"/>
        <v>8410000</v>
      </c>
      <c r="F13" s="11">
        <f t="shared" si="6"/>
        <v>10987000</v>
      </c>
      <c r="G13" s="11">
        <f t="shared" si="6"/>
        <v>29673000</v>
      </c>
      <c r="H13" s="11">
        <f t="shared" si="6"/>
        <v>27094000</v>
      </c>
      <c r="I13" s="11">
        <f t="shared" si="6"/>
        <v>27727000</v>
      </c>
      <c r="J13" s="11">
        <f t="shared" si="6"/>
        <v>0</v>
      </c>
      <c r="K13" s="11">
        <f t="shared" si="6"/>
        <v>0</v>
      </c>
      <c r="L13" s="11">
        <f t="shared" si="6"/>
        <v>0</v>
      </c>
      <c r="M13" s="11">
        <f t="shared" si="6"/>
        <v>0</v>
      </c>
      <c r="N13" s="11">
        <f t="shared" si="6"/>
        <v>0</v>
      </c>
    </row>
    <row r="14" spans="2:14" ht="25.5">
      <c r="B14" s="10" t="s">
        <v>274</v>
      </c>
      <c r="C14" s="11">
        <f>+C98</f>
        <v>0</v>
      </c>
      <c r="D14" s="11">
        <f t="shared" ref="D14:N14" si="7">+D98</f>
        <v>37046000</v>
      </c>
      <c r="E14" s="11">
        <f t="shared" si="7"/>
        <v>32106000</v>
      </c>
      <c r="F14" s="11">
        <f t="shared" si="7"/>
        <v>29369000</v>
      </c>
      <c r="G14" s="11">
        <f t="shared" si="7"/>
        <v>34067000</v>
      </c>
      <c r="H14" s="11">
        <f t="shared" si="7"/>
        <v>28747000</v>
      </c>
      <c r="I14" s="11">
        <f t="shared" si="7"/>
        <v>44944000</v>
      </c>
      <c r="J14" s="11">
        <f t="shared" si="7"/>
        <v>0</v>
      </c>
      <c r="K14" s="11">
        <f t="shared" si="7"/>
        <v>0</v>
      </c>
      <c r="L14" s="11">
        <f t="shared" si="7"/>
        <v>0</v>
      </c>
      <c r="M14" s="11">
        <f t="shared" si="7"/>
        <v>0</v>
      </c>
      <c r="N14" s="11">
        <f t="shared" si="7"/>
        <v>0</v>
      </c>
    </row>
    <row r="15" spans="2:14" ht="25.5">
      <c r="B15" s="12" t="s">
        <v>275</v>
      </c>
      <c r="C15" s="13">
        <f>+C13+C14</f>
        <v>0</v>
      </c>
      <c r="D15" s="13">
        <f t="shared" ref="D15:N15" si="8">+D13+D14</f>
        <v>46013000</v>
      </c>
      <c r="E15" s="13">
        <f t="shared" si="8"/>
        <v>40516000</v>
      </c>
      <c r="F15" s="13">
        <f t="shared" si="8"/>
        <v>40356000</v>
      </c>
      <c r="G15" s="13">
        <f t="shared" si="8"/>
        <v>63740000</v>
      </c>
      <c r="H15" s="13">
        <f t="shared" si="8"/>
        <v>55841000</v>
      </c>
      <c r="I15" s="13">
        <f t="shared" si="8"/>
        <v>72671000</v>
      </c>
      <c r="J15" s="13">
        <f t="shared" si="8"/>
        <v>0</v>
      </c>
      <c r="K15" s="13">
        <f t="shared" si="8"/>
        <v>0</v>
      </c>
      <c r="L15" s="13">
        <f t="shared" si="8"/>
        <v>0</v>
      </c>
      <c r="M15" s="13">
        <f t="shared" si="8"/>
        <v>0</v>
      </c>
      <c r="N15" s="13">
        <f t="shared" si="8"/>
        <v>0</v>
      </c>
    </row>
    <row r="16" spans="2:14" ht="25.5">
      <c r="B16" s="14" t="s">
        <v>276</v>
      </c>
      <c r="C16" s="15">
        <f>+C111</f>
        <v>0</v>
      </c>
      <c r="D16" s="15">
        <f t="shared" ref="D16:N16" si="9">+D111</f>
        <v>75533000</v>
      </c>
      <c r="E16" s="15">
        <f t="shared" si="9"/>
        <v>73769000</v>
      </c>
      <c r="F16" s="15">
        <f t="shared" si="9"/>
        <v>64544000</v>
      </c>
      <c r="G16" s="15">
        <f t="shared" si="9"/>
        <v>71247000</v>
      </c>
      <c r="H16" s="15">
        <f t="shared" si="9"/>
        <v>72429000</v>
      </c>
      <c r="I16" s="15">
        <f t="shared" si="9"/>
        <v>78068000</v>
      </c>
      <c r="J16" s="15">
        <f t="shared" si="9"/>
        <v>0</v>
      </c>
      <c r="K16" s="15">
        <f t="shared" si="9"/>
        <v>0</v>
      </c>
      <c r="L16" s="15">
        <f t="shared" si="9"/>
        <v>0</v>
      </c>
      <c r="M16" s="15">
        <f t="shared" si="9"/>
        <v>0</v>
      </c>
      <c r="N16" s="15">
        <f t="shared" si="9"/>
        <v>0</v>
      </c>
    </row>
    <row r="17" spans="2:14" ht="25.5">
      <c r="B17" s="79" t="s">
        <v>278</v>
      </c>
      <c r="C17" s="180"/>
      <c r="D17" s="180">
        <v>42435110</v>
      </c>
      <c r="E17" s="180">
        <v>42435110</v>
      </c>
      <c r="F17" s="180">
        <v>42690217</v>
      </c>
      <c r="G17" s="180">
        <v>42690217</v>
      </c>
      <c r="H17" s="180">
        <v>42690217</v>
      </c>
      <c r="I17" s="180">
        <v>42690217</v>
      </c>
      <c r="J17" s="180"/>
      <c r="K17" s="80"/>
      <c r="L17" s="80"/>
      <c r="M17" s="80"/>
      <c r="N17" s="80"/>
    </row>
    <row r="19" spans="2:14" ht="25.5">
      <c r="B19" s="18" t="s">
        <v>685</v>
      </c>
      <c r="C19" s="22" t="e">
        <f>+C16/C17</f>
        <v>#DIV/0!</v>
      </c>
      <c r="D19" s="22">
        <f t="shared" ref="D19:N19" si="10">+D16/D17</f>
        <v>1.7799647508867067</v>
      </c>
      <c r="E19" s="22">
        <f t="shared" si="10"/>
        <v>1.7383953994699202</v>
      </c>
      <c r="F19" s="22">
        <f t="shared" si="10"/>
        <v>1.5119154817132927</v>
      </c>
      <c r="G19" s="22">
        <f t="shared" si="10"/>
        <v>1.6689303781238685</v>
      </c>
      <c r="H19" s="22">
        <f t="shared" si="10"/>
        <v>1.6966182205164242</v>
      </c>
      <c r="I19" s="22">
        <f t="shared" si="10"/>
        <v>1.8287093738595894</v>
      </c>
      <c r="J19" s="22" t="e">
        <f t="shared" si="10"/>
        <v>#DIV/0!</v>
      </c>
      <c r="K19" s="22" t="e">
        <f t="shared" si="10"/>
        <v>#DIV/0!</v>
      </c>
      <c r="L19" s="22" t="e">
        <f t="shared" si="10"/>
        <v>#DIV/0!</v>
      </c>
      <c r="M19" s="22" t="e">
        <f t="shared" si="10"/>
        <v>#DIV/0!</v>
      </c>
      <c r="N19" s="22" t="e">
        <f t="shared" si="10"/>
        <v>#DIV/0!</v>
      </c>
    </row>
    <row r="20" spans="2:14" ht="25.5">
      <c r="B20" s="18" t="s">
        <v>656</v>
      </c>
      <c r="C20" s="19" t="e">
        <f>+C19*C44</f>
        <v>#DIV/0!</v>
      </c>
      <c r="D20" s="19">
        <f t="shared" ref="D20:N20" si="11">+D19*D44</f>
        <v>1210.3760306029606</v>
      </c>
      <c r="E20" s="19">
        <f t="shared" si="11"/>
        <v>1206.4464072321246</v>
      </c>
      <c r="F20" s="19">
        <f t="shared" si="11"/>
        <v>1155.1034280289557</v>
      </c>
      <c r="G20" s="19">
        <f t="shared" si="11"/>
        <v>1421.928682161536</v>
      </c>
      <c r="H20" s="19">
        <f t="shared" si="11"/>
        <v>1439.1564055530569</v>
      </c>
      <c r="I20" s="19">
        <f t="shared" si="11"/>
        <v>1617.6580250224542</v>
      </c>
      <c r="J20" s="19" t="e">
        <f t="shared" si="11"/>
        <v>#DIV/0!</v>
      </c>
      <c r="K20" s="19" t="e">
        <f t="shared" si="11"/>
        <v>#DIV/0!</v>
      </c>
      <c r="L20" s="19" t="e">
        <f t="shared" si="11"/>
        <v>#DIV/0!</v>
      </c>
      <c r="M20" s="19" t="e">
        <f t="shared" si="11"/>
        <v>#DIV/0!</v>
      </c>
      <c r="N20" s="19" t="e">
        <f t="shared" si="11"/>
        <v>#DIV/0!</v>
      </c>
    </row>
    <row r="21" spans="2:14" ht="25.5">
      <c r="B21" s="76" t="s">
        <v>686</v>
      </c>
      <c r="C21" s="77">
        <v>800</v>
      </c>
      <c r="D21" s="77">
        <v>780</v>
      </c>
      <c r="E21" s="77">
        <v>705</v>
      </c>
      <c r="F21" s="77">
        <v>680</v>
      </c>
      <c r="G21" s="77">
        <v>701.6</v>
      </c>
      <c r="H21" s="101">
        <v>760</v>
      </c>
      <c r="I21" s="101">
        <v>850.12</v>
      </c>
      <c r="J21" s="101">
        <v>900</v>
      </c>
      <c r="K21" s="101"/>
      <c r="L21" s="101"/>
      <c r="M21" s="101"/>
      <c r="N21" s="101"/>
    </row>
    <row r="22" spans="2:14" ht="25.5">
      <c r="B22" s="18" t="s">
        <v>283</v>
      </c>
      <c r="C22" s="22" t="e">
        <f>+C21/C43</f>
        <v>#DIV/0!</v>
      </c>
      <c r="D22" s="22">
        <f t="shared" ref="D22:N22" si="12">+D21/D43</f>
        <v>11.825348696179502</v>
      </c>
      <c r="E22" s="22">
        <f t="shared" si="12"/>
        <v>12.510469754830284</v>
      </c>
      <c r="F22" s="22">
        <f t="shared" si="12"/>
        <v>10.974751615547994</v>
      </c>
      <c r="G22" s="22">
        <f t="shared" si="12"/>
        <v>5.0396216548577479</v>
      </c>
      <c r="H22" s="22">
        <f t="shared" si="12"/>
        <v>4.1906561051104774</v>
      </c>
      <c r="I22" s="22">
        <f t="shared" si="12"/>
        <v>5.265933122488291</v>
      </c>
      <c r="J22" s="22" t="e">
        <f t="shared" si="12"/>
        <v>#DIV/0!</v>
      </c>
      <c r="K22" s="22" t="e">
        <f t="shared" si="12"/>
        <v>#DIV/0!</v>
      </c>
      <c r="L22" s="22" t="e">
        <f t="shared" si="12"/>
        <v>#DIV/0!</v>
      </c>
      <c r="M22" s="22" t="e">
        <f t="shared" si="12"/>
        <v>#DIV/0!</v>
      </c>
      <c r="N22" s="22" t="e">
        <f t="shared" si="12"/>
        <v>#DIV/0!</v>
      </c>
    </row>
    <row r="23" spans="2:14" ht="25.5">
      <c r="B23" s="18" t="s">
        <v>380</v>
      </c>
      <c r="C23" s="22" t="e">
        <f>+C21/C20</f>
        <v>#DIV/0!</v>
      </c>
      <c r="D23" s="22">
        <f t="shared" ref="D23:N23" si="13">+D21/D20</f>
        <v>0.64442783092080524</v>
      </c>
      <c r="E23" s="22">
        <f t="shared" si="13"/>
        <v>0.58436081020576613</v>
      </c>
      <c r="F23" s="22">
        <f t="shared" si="13"/>
        <v>0.58869187251944854</v>
      </c>
      <c r="G23" s="22">
        <f t="shared" si="13"/>
        <v>0.49341433842762578</v>
      </c>
      <c r="H23" s="22">
        <f t="shared" si="13"/>
        <v>0.52808714679481816</v>
      </c>
      <c r="I23" s="22">
        <f t="shared" si="13"/>
        <v>0.52552516468256616</v>
      </c>
      <c r="J23" s="22" t="e">
        <f t="shared" si="13"/>
        <v>#DIV/0!</v>
      </c>
      <c r="K23" s="22" t="e">
        <f t="shared" si="13"/>
        <v>#DIV/0!</v>
      </c>
      <c r="L23" s="22" t="e">
        <f t="shared" si="13"/>
        <v>#DIV/0!</v>
      </c>
      <c r="M23" s="22" t="e">
        <f t="shared" si="13"/>
        <v>#DIV/0!</v>
      </c>
      <c r="N23" s="22" t="e">
        <f t="shared" si="13"/>
        <v>#DIV/0!</v>
      </c>
    </row>
    <row r="24" spans="2:14" ht="25.5">
      <c r="B24" s="18" t="s">
        <v>285</v>
      </c>
      <c r="C24" s="22" t="e">
        <f>+C22*C23</f>
        <v>#DIV/0!</v>
      </c>
      <c r="D24" s="22">
        <f t="shared" ref="D24:N24" si="14">+D22*D23</f>
        <v>7.6205838101611283</v>
      </c>
      <c r="E24" s="22">
        <f t="shared" si="14"/>
        <v>7.3106282419873576</v>
      </c>
      <c r="F24" s="22">
        <f t="shared" si="14"/>
        <v>6.4607470789927914</v>
      </c>
      <c r="G24" s="22">
        <f t="shared" si="14"/>
        <v>2.4866215847571724</v>
      </c>
      <c r="H24" s="22">
        <f t="shared" si="14"/>
        <v>2.2130316257460776</v>
      </c>
      <c r="I24" s="22">
        <f t="shared" si="14"/>
        <v>2.7673803714030392</v>
      </c>
      <c r="J24" s="22" t="e">
        <f t="shared" si="14"/>
        <v>#DIV/0!</v>
      </c>
      <c r="K24" s="22" t="e">
        <f t="shared" si="14"/>
        <v>#DIV/0!</v>
      </c>
      <c r="L24" s="22" t="e">
        <f t="shared" si="14"/>
        <v>#DIV/0!</v>
      </c>
      <c r="M24" s="22" t="e">
        <f t="shared" si="14"/>
        <v>#DIV/0!</v>
      </c>
      <c r="N24" s="22" t="e">
        <f t="shared" si="14"/>
        <v>#DIV/0!</v>
      </c>
    </row>
    <row r="25" spans="2:14" ht="25.5">
      <c r="B25" s="23" t="s">
        <v>286</v>
      </c>
      <c r="C25" s="24" t="e">
        <f>IF(C45&lt;10%,0,IF(15%&lt;C45,2,1))</f>
        <v>#DIV/0!</v>
      </c>
      <c r="D25" s="24">
        <f>IF(D45&lt;10%,0,IF(15%&lt;D45,2,1))</f>
        <v>0</v>
      </c>
      <c r="E25" s="24">
        <f t="shared" ref="E25:N25" si="15">IF(E45&lt;10%,0,IF(15%&lt;E45,2,1))</f>
        <v>0</v>
      </c>
      <c r="F25" s="24">
        <f t="shared" si="15"/>
        <v>0</v>
      </c>
      <c r="G25" s="24">
        <f t="shared" si="15"/>
        <v>0</v>
      </c>
      <c r="H25" s="24">
        <f t="shared" si="15"/>
        <v>1</v>
      </c>
      <c r="I25" s="24">
        <f t="shared" si="15"/>
        <v>0</v>
      </c>
      <c r="J25" s="24" t="e">
        <f t="shared" si="15"/>
        <v>#DIV/0!</v>
      </c>
      <c r="K25" s="24" t="e">
        <f t="shared" si="15"/>
        <v>#DIV/0!</v>
      </c>
      <c r="L25" s="24" t="e">
        <f t="shared" si="15"/>
        <v>#DIV/0!</v>
      </c>
      <c r="M25" s="24" t="e">
        <f t="shared" si="15"/>
        <v>#DIV/0!</v>
      </c>
      <c r="N25" s="24" t="e">
        <f t="shared" si="15"/>
        <v>#DIV/0!</v>
      </c>
    </row>
    <row r="26" spans="2:14" ht="25.5">
      <c r="B26" s="23" t="s">
        <v>287</v>
      </c>
      <c r="C26" s="24" t="e">
        <f>IF(C45&lt;10%,1,IF(15%&lt;C45,2.5,2))</f>
        <v>#DIV/0!</v>
      </c>
      <c r="D26" s="24">
        <f t="shared" ref="D26:N26" si="16">IF(D45&lt;10%,1,IF(15%&lt;D45,2.5,2))</f>
        <v>1</v>
      </c>
      <c r="E26" s="24">
        <f t="shared" si="16"/>
        <v>1</v>
      </c>
      <c r="F26" s="24">
        <f t="shared" si="16"/>
        <v>1</v>
      </c>
      <c r="G26" s="24">
        <f t="shared" si="16"/>
        <v>1</v>
      </c>
      <c r="H26" s="24">
        <f t="shared" si="16"/>
        <v>2</v>
      </c>
      <c r="I26" s="24">
        <f t="shared" si="16"/>
        <v>1</v>
      </c>
      <c r="J26" s="24" t="e">
        <f t="shared" si="16"/>
        <v>#DIV/0!</v>
      </c>
      <c r="K26" s="24" t="e">
        <f t="shared" si="16"/>
        <v>#DIV/0!</v>
      </c>
      <c r="L26" s="24" t="e">
        <f t="shared" si="16"/>
        <v>#DIV/0!</v>
      </c>
      <c r="M26" s="24" t="e">
        <f t="shared" si="16"/>
        <v>#DIV/0!</v>
      </c>
      <c r="N26" s="24" t="e">
        <f t="shared" si="16"/>
        <v>#DIV/0!</v>
      </c>
    </row>
    <row r="27" spans="2:14" ht="25.5">
      <c r="B27" s="25" t="s">
        <v>288</v>
      </c>
      <c r="C27" s="26" t="e">
        <f>+C25*C20</f>
        <v>#DIV/0!</v>
      </c>
      <c r="D27" s="26">
        <f t="shared" ref="D27:N27" si="17">+D25*D20</f>
        <v>0</v>
      </c>
      <c r="E27" s="26">
        <f t="shared" si="17"/>
        <v>0</v>
      </c>
      <c r="F27" s="26">
        <f t="shared" si="17"/>
        <v>0</v>
      </c>
      <c r="G27" s="26">
        <f t="shared" si="17"/>
        <v>0</v>
      </c>
      <c r="H27" s="26">
        <f t="shared" si="17"/>
        <v>1439.1564055530569</v>
      </c>
      <c r="I27" s="26">
        <f t="shared" si="17"/>
        <v>0</v>
      </c>
      <c r="J27" s="26" t="e">
        <f t="shared" si="17"/>
        <v>#DIV/0!</v>
      </c>
      <c r="K27" s="26" t="e">
        <f t="shared" si="17"/>
        <v>#DIV/0!</v>
      </c>
      <c r="L27" s="26" t="e">
        <f t="shared" si="17"/>
        <v>#DIV/0!</v>
      </c>
      <c r="M27" s="26" t="e">
        <f t="shared" si="17"/>
        <v>#DIV/0!</v>
      </c>
      <c r="N27" s="26" t="e">
        <f t="shared" si="17"/>
        <v>#DIV/0!</v>
      </c>
    </row>
    <row r="28" spans="2:14" ht="25.5">
      <c r="B28" s="25" t="s">
        <v>289</v>
      </c>
      <c r="C28" s="26" t="e">
        <f>AVERAGE(C27,C29)</f>
        <v>#DIV/0!</v>
      </c>
      <c r="D28" s="26">
        <f t="shared" ref="D28:N28" si="18">AVERAGE(D27,D29)</f>
        <v>605.18801530148028</v>
      </c>
      <c r="E28" s="26">
        <f t="shared" si="18"/>
        <v>603.22320361606228</v>
      </c>
      <c r="F28" s="26">
        <f t="shared" si="18"/>
        <v>577.55171401447785</v>
      </c>
      <c r="G28" s="26">
        <f t="shared" si="18"/>
        <v>710.96434108076801</v>
      </c>
      <c r="H28" s="26">
        <f t="shared" si="18"/>
        <v>2158.7346083295852</v>
      </c>
      <c r="I28" s="26">
        <f t="shared" si="18"/>
        <v>808.82901251122712</v>
      </c>
      <c r="J28" s="26" t="e">
        <f t="shared" si="18"/>
        <v>#DIV/0!</v>
      </c>
      <c r="K28" s="26" t="e">
        <f t="shared" si="18"/>
        <v>#DIV/0!</v>
      </c>
      <c r="L28" s="26" t="e">
        <f t="shared" si="18"/>
        <v>#DIV/0!</v>
      </c>
      <c r="M28" s="26" t="e">
        <f t="shared" si="18"/>
        <v>#DIV/0!</v>
      </c>
      <c r="N28" s="26" t="e">
        <f t="shared" si="18"/>
        <v>#DIV/0!</v>
      </c>
    </row>
    <row r="29" spans="2:14" ht="25.5">
      <c r="B29" s="25" t="s">
        <v>290</v>
      </c>
      <c r="C29" s="26" t="e">
        <f>+C20*C26</f>
        <v>#DIV/0!</v>
      </c>
      <c r="D29" s="26">
        <f t="shared" ref="D29:N29" si="19">+D20*D26</f>
        <v>1210.3760306029606</v>
      </c>
      <c r="E29" s="26">
        <f t="shared" si="19"/>
        <v>1206.4464072321246</v>
      </c>
      <c r="F29" s="26">
        <f t="shared" si="19"/>
        <v>1155.1034280289557</v>
      </c>
      <c r="G29" s="26">
        <f t="shared" si="19"/>
        <v>1421.928682161536</v>
      </c>
      <c r="H29" s="26">
        <f t="shared" si="19"/>
        <v>2878.3128111061137</v>
      </c>
      <c r="I29" s="26">
        <f t="shared" si="19"/>
        <v>1617.6580250224542</v>
      </c>
      <c r="J29" s="26" t="e">
        <f t="shared" si="19"/>
        <v>#DIV/0!</v>
      </c>
      <c r="K29" s="26" t="e">
        <f t="shared" si="19"/>
        <v>#DIV/0!</v>
      </c>
      <c r="L29" s="26" t="e">
        <f t="shared" si="19"/>
        <v>#DIV/0!</v>
      </c>
      <c r="M29" s="26" t="e">
        <f t="shared" si="19"/>
        <v>#DIV/0!</v>
      </c>
      <c r="N29" s="26" t="e">
        <f t="shared" si="19"/>
        <v>#DIV/0!</v>
      </c>
    </row>
    <row r="31" spans="2:14" ht="25.5">
      <c r="B31" s="243" t="s">
        <v>291</v>
      </c>
      <c r="C31" s="81">
        <f t="shared" ref="C31:N31" si="20">C7-C13</f>
        <v>0</v>
      </c>
      <c r="D31" s="81">
        <f t="shared" si="20"/>
        <v>6450000</v>
      </c>
      <c r="E31" s="81">
        <f t="shared" si="20"/>
        <v>3180000</v>
      </c>
      <c r="F31" s="81">
        <f t="shared" si="20"/>
        <v>-584000</v>
      </c>
      <c r="G31" s="81">
        <f t="shared" si="20"/>
        <v>5065000</v>
      </c>
      <c r="H31" s="81">
        <f t="shared" si="20"/>
        <v>-8467000</v>
      </c>
      <c r="I31" s="81">
        <f t="shared" si="20"/>
        <v>-6912000</v>
      </c>
      <c r="J31" s="81">
        <f t="shared" si="20"/>
        <v>0</v>
      </c>
      <c r="K31" s="81">
        <f t="shared" si="20"/>
        <v>0</v>
      </c>
      <c r="L31" s="81">
        <f t="shared" si="20"/>
        <v>0</v>
      </c>
      <c r="M31" s="81">
        <f t="shared" si="20"/>
        <v>0</v>
      </c>
      <c r="N31" s="81">
        <f t="shared" si="20"/>
        <v>0</v>
      </c>
    </row>
    <row r="32" spans="2:14" ht="25.5">
      <c r="B32" s="30" t="s">
        <v>149</v>
      </c>
      <c r="C32" s="241" t="e">
        <f t="shared" ref="C32:N32" si="21">C7/C13</f>
        <v>#DIV/0!</v>
      </c>
      <c r="D32" s="241">
        <f t="shared" si="21"/>
        <v>1.7193041150886583</v>
      </c>
      <c r="E32" s="241">
        <f t="shared" si="21"/>
        <v>1.3781212841854935</v>
      </c>
      <c r="F32" s="241">
        <f t="shared" si="21"/>
        <v>0.94684627286793488</v>
      </c>
      <c r="G32" s="241">
        <f t="shared" si="21"/>
        <v>1.1706938968085465</v>
      </c>
      <c r="H32" s="242">
        <f t="shared" si="21"/>
        <v>0.68749538643242047</v>
      </c>
      <c r="I32" s="242">
        <f t="shared" si="21"/>
        <v>0.75071230208821726</v>
      </c>
      <c r="J32" s="242" t="e">
        <f t="shared" si="21"/>
        <v>#DIV/0!</v>
      </c>
      <c r="K32" s="242" t="e">
        <f t="shared" si="21"/>
        <v>#DIV/0!</v>
      </c>
      <c r="L32" s="242" t="e">
        <f t="shared" si="21"/>
        <v>#DIV/0!</v>
      </c>
      <c r="M32" s="242" t="e">
        <f t="shared" si="21"/>
        <v>#DIV/0!</v>
      </c>
      <c r="N32" s="242" t="e">
        <f t="shared" si="21"/>
        <v>#DIV/0!</v>
      </c>
    </row>
    <row r="33" spans="2:14" ht="25.5">
      <c r="B33" s="30" t="s">
        <v>292</v>
      </c>
      <c r="C33" s="241" t="e">
        <f t="shared" ref="C33:N33" si="22">+(C7-C9)/C13</f>
        <v>#DIV/0!</v>
      </c>
      <c r="D33" s="241">
        <f t="shared" si="22"/>
        <v>1.4468607114977139</v>
      </c>
      <c r="E33" s="241">
        <f t="shared" si="22"/>
        <v>1.1002378121284186</v>
      </c>
      <c r="F33" s="241">
        <f t="shared" si="22"/>
        <v>0.80194775643942839</v>
      </c>
      <c r="G33" s="241">
        <f t="shared" si="22"/>
        <v>1.0511913187072424</v>
      </c>
      <c r="H33" s="241">
        <f t="shared" si="22"/>
        <v>0.50952240348416622</v>
      </c>
      <c r="I33" s="241">
        <f t="shared" si="22"/>
        <v>0.60857647780142099</v>
      </c>
      <c r="J33" s="241" t="e">
        <f t="shared" si="22"/>
        <v>#DIV/0!</v>
      </c>
      <c r="K33" s="241" t="e">
        <f t="shared" si="22"/>
        <v>#DIV/0!</v>
      </c>
      <c r="L33" s="241" t="e">
        <f t="shared" si="22"/>
        <v>#DIV/0!</v>
      </c>
      <c r="M33" s="241" t="e">
        <f t="shared" si="22"/>
        <v>#DIV/0!</v>
      </c>
      <c r="N33" s="241" t="e">
        <f t="shared" si="22"/>
        <v>#DIV/0!</v>
      </c>
    </row>
    <row r="34" spans="2:14" ht="25.5">
      <c r="B34" s="32" t="s">
        <v>153</v>
      </c>
      <c r="C34" s="33" t="e">
        <f t="shared" ref="C34:N34" si="23">C15/C12</f>
        <v>#DIV/0!</v>
      </c>
      <c r="D34" s="33">
        <f t="shared" si="23"/>
        <v>0.37856449410099879</v>
      </c>
      <c r="E34" s="33">
        <f t="shared" si="23"/>
        <v>0.35451721573259831</v>
      </c>
      <c r="F34" s="33">
        <f t="shared" si="23"/>
        <v>0.36888482632541131</v>
      </c>
      <c r="G34" s="33">
        <f t="shared" si="23"/>
        <v>0.47219361864475839</v>
      </c>
      <c r="H34" s="33">
        <f t="shared" si="23"/>
        <v>0.43533951820378886</v>
      </c>
      <c r="I34" s="33">
        <f t="shared" si="23"/>
        <v>0.48209819621995637</v>
      </c>
      <c r="J34" s="33" t="e">
        <f t="shared" si="23"/>
        <v>#DIV/0!</v>
      </c>
      <c r="K34" s="33" t="e">
        <f t="shared" si="23"/>
        <v>#DIV/0!</v>
      </c>
      <c r="L34" s="33" t="e">
        <f t="shared" si="23"/>
        <v>#DIV/0!</v>
      </c>
      <c r="M34" s="33" t="e">
        <f t="shared" si="23"/>
        <v>#DIV/0!</v>
      </c>
      <c r="N34" s="33" t="e">
        <f t="shared" si="23"/>
        <v>#DIV/0!</v>
      </c>
    </row>
    <row r="37" spans="2:14" ht="25.5">
      <c r="B37" s="35" t="s">
        <v>293</v>
      </c>
      <c r="C37" s="36">
        <f>+C116</f>
        <v>0</v>
      </c>
      <c r="D37" s="36">
        <f t="shared" ref="D37:N37" si="24">+D116</f>
        <v>20938000</v>
      </c>
      <c r="E37" s="36">
        <f t="shared" si="24"/>
        <v>25090000</v>
      </c>
      <c r="F37" s="36">
        <f t="shared" si="24"/>
        <v>19686000</v>
      </c>
      <c r="G37" s="36">
        <f t="shared" si="24"/>
        <v>64673000</v>
      </c>
      <c r="H37" s="36">
        <f t="shared" si="24"/>
        <v>90170000</v>
      </c>
      <c r="I37" s="36">
        <f t="shared" si="24"/>
        <v>46633000</v>
      </c>
      <c r="J37" s="36">
        <f t="shared" si="24"/>
        <v>0</v>
      </c>
      <c r="K37" s="36">
        <f t="shared" si="24"/>
        <v>0</v>
      </c>
      <c r="L37" s="36">
        <f t="shared" si="24"/>
        <v>0</v>
      </c>
      <c r="M37" s="36">
        <f t="shared" si="24"/>
        <v>0</v>
      </c>
      <c r="N37" s="36">
        <f t="shared" si="24"/>
        <v>0</v>
      </c>
    </row>
    <row r="38" spans="2:14" ht="25.5">
      <c r="B38" s="39" t="s">
        <v>156</v>
      </c>
      <c r="C38" s="40">
        <f>+C123</f>
        <v>0</v>
      </c>
      <c r="D38" s="40">
        <f t="shared" ref="D38:N38" si="25">+D123</f>
        <v>7657000</v>
      </c>
      <c r="E38" s="40">
        <f t="shared" si="25"/>
        <v>6377000</v>
      </c>
      <c r="F38" s="40">
        <f t="shared" si="25"/>
        <v>5568000</v>
      </c>
      <c r="G38" s="40">
        <f t="shared" si="25"/>
        <v>11384000</v>
      </c>
      <c r="H38" s="40">
        <f t="shared" si="25"/>
        <v>13556000</v>
      </c>
      <c r="I38" s="40">
        <f t="shared" si="25"/>
        <v>12454000</v>
      </c>
      <c r="J38" s="40">
        <f t="shared" si="25"/>
        <v>0</v>
      </c>
      <c r="K38" s="40">
        <f t="shared" si="25"/>
        <v>0</v>
      </c>
      <c r="L38" s="40">
        <f t="shared" si="25"/>
        <v>0</v>
      </c>
      <c r="M38" s="40">
        <f t="shared" si="25"/>
        <v>0</v>
      </c>
      <c r="N38" s="40">
        <f t="shared" si="25"/>
        <v>0</v>
      </c>
    </row>
    <row r="39" spans="2:14" ht="25.5">
      <c r="B39" s="35" t="s">
        <v>381</v>
      </c>
      <c r="C39" s="41" t="e">
        <f>C38/C37</f>
        <v>#DIV/0!</v>
      </c>
      <c r="D39" s="41">
        <f t="shared" ref="D39:N39" si="26">D38/D37</f>
        <v>0.36569872958257715</v>
      </c>
      <c r="E39" s="41">
        <f t="shared" si="26"/>
        <v>0.25416500597847747</v>
      </c>
      <c r="F39" s="41">
        <f t="shared" si="26"/>
        <v>0.28284059737884792</v>
      </c>
      <c r="G39" s="41">
        <f t="shared" si="26"/>
        <v>0.17602399764971471</v>
      </c>
      <c r="H39" s="41">
        <f t="shared" si="26"/>
        <v>0.1503382499722746</v>
      </c>
      <c r="I39" s="41">
        <f t="shared" si="26"/>
        <v>0.26706409624085947</v>
      </c>
      <c r="J39" s="41" t="e">
        <f t="shared" si="26"/>
        <v>#DIV/0!</v>
      </c>
      <c r="K39" s="41" t="e">
        <f t="shared" si="26"/>
        <v>#DIV/0!</v>
      </c>
      <c r="L39" s="41" t="e">
        <f t="shared" si="26"/>
        <v>#DIV/0!</v>
      </c>
      <c r="M39" s="41" t="e">
        <f t="shared" si="26"/>
        <v>#DIV/0!</v>
      </c>
      <c r="N39" s="41" t="e">
        <f t="shared" si="26"/>
        <v>#DIV/0!</v>
      </c>
    </row>
    <row r="40" spans="2:14" ht="25.5">
      <c r="B40" s="43" t="s">
        <v>295</v>
      </c>
      <c r="C40" s="44">
        <f>+C133</f>
        <v>0</v>
      </c>
      <c r="D40" s="44">
        <f t="shared" ref="D40:N40" si="27">+D133</f>
        <v>4117000</v>
      </c>
      <c r="E40" s="44">
        <f t="shared" si="27"/>
        <v>3447000</v>
      </c>
      <c r="F40" s="44">
        <f t="shared" si="27"/>
        <v>3463000</v>
      </c>
      <c r="G40" s="44">
        <f t="shared" si="27"/>
        <v>6976000</v>
      </c>
      <c r="H40" s="44">
        <f t="shared" si="27"/>
        <v>9127000</v>
      </c>
      <c r="I40" s="44">
        <f t="shared" si="27"/>
        <v>7793000</v>
      </c>
      <c r="J40" s="44">
        <f t="shared" si="27"/>
        <v>0</v>
      </c>
      <c r="K40" s="44">
        <f t="shared" si="27"/>
        <v>0</v>
      </c>
      <c r="L40" s="44">
        <f t="shared" si="27"/>
        <v>0</v>
      </c>
      <c r="M40" s="44">
        <f t="shared" si="27"/>
        <v>0</v>
      </c>
      <c r="N40" s="44">
        <f t="shared" si="27"/>
        <v>0</v>
      </c>
    </row>
    <row r="41" spans="2:14" ht="25.5">
      <c r="B41" s="30" t="s">
        <v>296</v>
      </c>
      <c r="C41" s="45" t="e">
        <f>C40/C37</f>
        <v>#DIV/0!</v>
      </c>
      <c r="D41" s="45">
        <f t="shared" ref="D41:N41" si="28">D40/D37</f>
        <v>0.19662814022351705</v>
      </c>
      <c r="E41" s="45">
        <f t="shared" si="28"/>
        <v>0.13738541251494618</v>
      </c>
      <c r="F41" s="45">
        <f t="shared" si="28"/>
        <v>0.17591181550340343</v>
      </c>
      <c r="G41" s="45">
        <f t="shared" si="28"/>
        <v>0.10786572449090037</v>
      </c>
      <c r="H41" s="45">
        <f t="shared" si="28"/>
        <v>0.10121991793279361</v>
      </c>
      <c r="I41" s="45">
        <f t="shared" si="28"/>
        <v>0.16711341753693737</v>
      </c>
      <c r="J41" s="45" t="e">
        <f t="shared" si="28"/>
        <v>#DIV/0!</v>
      </c>
      <c r="K41" s="45" t="e">
        <f t="shared" si="28"/>
        <v>#DIV/0!</v>
      </c>
      <c r="L41" s="45" t="e">
        <f t="shared" si="28"/>
        <v>#DIV/0!</v>
      </c>
      <c r="M41" s="45" t="e">
        <f t="shared" si="28"/>
        <v>#DIV/0!</v>
      </c>
      <c r="N41" s="45" t="e">
        <f t="shared" si="28"/>
        <v>#DIV/0!</v>
      </c>
    </row>
    <row r="42" spans="2:14" ht="25.5">
      <c r="B42" s="46" t="s">
        <v>658</v>
      </c>
      <c r="C42" s="121">
        <f>+C134</f>
        <v>0</v>
      </c>
      <c r="D42" s="121">
        <f t="shared" ref="D42:N42" si="29">+D134</f>
        <v>9.7000000000000003E-2</v>
      </c>
      <c r="E42" s="121">
        <f t="shared" si="29"/>
        <v>8.1199999999999994E-2</v>
      </c>
      <c r="F42" s="121">
        <f t="shared" si="29"/>
        <v>8.1100000000000005E-2</v>
      </c>
      <c r="G42" s="121">
        <f t="shared" si="29"/>
        <v>0.16339999999999999</v>
      </c>
      <c r="H42" s="121">
        <f t="shared" si="29"/>
        <v>0.21379999999999999</v>
      </c>
      <c r="I42" s="121">
        <f t="shared" si="29"/>
        <v>0.1825</v>
      </c>
      <c r="J42" s="121">
        <f t="shared" si="29"/>
        <v>0</v>
      </c>
      <c r="K42" s="121">
        <f t="shared" si="29"/>
        <v>0</v>
      </c>
      <c r="L42" s="121">
        <f t="shared" si="29"/>
        <v>0</v>
      </c>
      <c r="M42" s="121">
        <f t="shared" si="29"/>
        <v>0</v>
      </c>
      <c r="N42" s="121">
        <f t="shared" si="29"/>
        <v>0</v>
      </c>
    </row>
    <row r="43" spans="2:14" ht="25.5">
      <c r="B43" s="46" t="s">
        <v>659</v>
      </c>
      <c r="C43" s="181">
        <f>+C42*C44</f>
        <v>0</v>
      </c>
      <c r="D43" s="181">
        <f t="shared" ref="D43:N43" si="30">+D42*D44</f>
        <v>65.960000000000008</v>
      </c>
      <c r="E43" s="181">
        <f t="shared" si="30"/>
        <v>56.352799999999995</v>
      </c>
      <c r="F43" s="181">
        <f t="shared" si="30"/>
        <v>61.960400000000007</v>
      </c>
      <c r="G43" s="181">
        <f t="shared" si="30"/>
        <v>139.21679999999998</v>
      </c>
      <c r="H43" s="181">
        <f t="shared" si="30"/>
        <v>181.35585</v>
      </c>
      <c r="I43" s="181">
        <f t="shared" si="30"/>
        <v>161.43767500000001</v>
      </c>
      <c r="J43" s="181">
        <f t="shared" si="30"/>
        <v>0</v>
      </c>
      <c r="K43" s="181">
        <f t="shared" si="30"/>
        <v>0</v>
      </c>
      <c r="L43" s="181">
        <f t="shared" si="30"/>
        <v>0</v>
      </c>
      <c r="M43" s="181">
        <f t="shared" si="30"/>
        <v>0</v>
      </c>
      <c r="N43" s="181">
        <f t="shared" si="30"/>
        <v>0</v>
      </c>
    </row>
    <row r="44" spans="2:14" ht="25.5">
      <c r="B44" s="79" t="s">
        <v>600</v>
      </c>
      <c r="C44" s="173">
        <v>668.8</v>
      </c>
      <c r="D44" s="173">
        <v>680</v>
      </c>
      <c r="E44" s="173">
        <v>694</v>
      </c>
      <c r="F44" s="173">
        <v>764</v>
      </c>
      <c r="G44" s="173">
        <v>852</v>
      </c>
      <c r="H44" s="173">
        <v>848.25</v>
      </c>
      <c r="I44" s="173">
        <v>884.59</v>
      </c>
      <c r="J44" s="174"/>
      <c r="K44" s="174"/>
      <c r="L44" s="174"/>
      <c r="M44" s="174"/>
      <c r="N44" s="174"/>
    </row>
    <row r="45" spans="2:14" ht="25.5">
      <c r="B45" s="48" t="s">
        <v>160</v>
      </c>
      <c r="C45" s="49" t="e">
        <f t="shared" ref="C45:N45" si="31">C40/C16</f>
        <v>#DIV/0!</v>
      </c>
      <c r="D45" s="49">
        <f t="shared" si="31"/>
        <v>5.4505977519759573E-2</v>
      </c>
      <c r="E45" s="49">
        <f t="shared" si="31"/>
        <v>4.6726944922663993E-2</v>
      </c>
      <c r="F45" s="49">
        <f t="shared" si="31"/>
        <v>5.3653321764997521E-2</v>
      </c>
      <c r="G45" s="49">
        <f t="shared" si="31"/>
        <v>9.7912894578017315E-2</v>
      </c>
      <c r="H45" s="49">
        <f t="shared" si="31"/>
        <v>0.12601306106669979</v>
      </c>
      <c r="I45" s="49">
        <f t="shared" si="31"/>
        <v>9.9823231029359014E-2</v>
      </c>
      <c r="J45" s="49" t="e">
        <f t="shared" si="31"/>
        <v>#DIV/0!</v>
      </c>
      <c r="K45" s="49" t="e">
        <f t="shared" si="31"/>
        <v>#DIV/0!</v>
      </c>
      <c r="L45" s="49" t="e">
        <f t="shared" si="31"/>
        <v>#DIV/0!</v>
      </c>
      <c r="M45" s="49" t="e">
        <f t="shared" si="31"/>
        <v>#DIV/0!</v>
      </c>
      <c r="N45" s="49" t="e">
        <f t="shared" si="31"/>
        <v>#DIV/0!</v>
      </c>
    </row>
    <row r="46" spans="2:14" ht="25.5">
      <c r="B46" s="48" t="s">
        <v>382</v>
      </c>
      <c r="C46" s="49">
        <f>AVERAGE(G45:I45)</f>
        <v>0.10791639555802539</v>
      </c>
      <c r="D46" s="49"/>
      <c r="E46" s="49"/>
      <c r="F46" s="49"/>
      <c r="G46" s="49"/>
      <c r="H46" s="49"/>
      <c r="I46" s="49"/>
      <c r="J46" s="49"/>
      <c r="K46" s="49"/>
      <c r="L46" s="49"/>
      <c r="M46" s="49"/>
      <c r="N46" s="49"/>
    </row>
    <row r="47" spans="2:14" ht="25.5">
      <c r="B47" s="48" t="s">
        <v>298</v>
      </c>
      <c r="C47" s="50">
        <f>+C146</f>
        <v>0</v>
      </c>
      <c r="D47" s="50">
        <f t="shared" ref="D47:N47" si="32">+D146</f>
        <v>13500000</v>
      </c>
      <c r="E47" s="50">
        <f t="shared" si="32"/>
        <v>11966000</v>
      </c>
      <c r="F47" s="50">
        <f t="shared" si="32"/>
        <v>8651000</v>
      </c>
      <c r="G47" s="50">
        <f t="shared" si="32"/>
        <v>329000</v>
      </c>
      <c r="H47" s="50">
        <f t="shared" si="32"/>
        <v>23222300</v>
      </c>
      <c r="I47" s="210">
        <f t="shared" si="32"/>
        <v>-2692000</v>
      </c>
      <c r="J47" s="50">
        <f t="shared" si="32"/>
        <v>0</v>
      </c>
      <c r="K47" s="50">
        <f t="shared" si="32"/>
        <v>0</v>
      </c>
      <c r="L47" s="50">
        <f t="shared" si="32"/>
        <v>0</v>
      </c>
      <c r="M47" s="50">
        <f t="shared" si="32"/>
        <v>0</v>
      </c>
      <c r="N47" s="50">
        <f t="shared" si="32"/>
        <v>0</v>
      </c>
    </row>
    <row r="48" spans="2:14" ht="25.5">
      <c r="B48" s="51" t="s">
        <v>119</v>
      </c>
      <c r="C48" s="51">
        <f>SUM(C50:C53)</f>
        <v>61.695</v>
      </c>
      <c r="D48" s="51">
        <f t="shared" ref="D48:F48" si="33">SUM(D50:D53)</f>
        <v>57.894999999999996</v>
      </c>
      <c r="E48" s="51">
        <f t="shared" si="33"/>
        <v>47.513999999999996</v>
      </c>
      <c r="F48" s="51">
        <f t="shared" si="33"/>
        <v>65.635000000000005</v>
      </c>
      <c r="G48" s="51">
        <f>SUM(G50:G53)</f>
        <v>49.063000000000002</v>
      </c>
      <c r="H48" s="51">
        <f>SUM(H50:H53)</f>
        <v>256.74299999999999</v>
      </c>
      <c r="I48" s="51">
        <f t="shared" ref="I48:N48" si="34">SUM(I50:I52)</f>
        <v>72.527000000000001</v>
      </c>
      <c r="J48" s="51">
        <f t="shared" si="34"/>
        <v>147.499</v>
      </c>
      <c r="K48" s="51">
        <f t="shared" si="34"/>
        <v>0</v>
      </c>
      <c r="L48" s="51">
        <f t="shared" si="34"/>
        <v>0</v>
      </c>
      <c r="M48" s="51">
        <f t="shared" si="34"/>
        <v>0</v>
      </c>
      <c r="N48" s="51">
        <f t="shared" si="34"/>
        <v>0</v>
      </c>
    </row>
    <row r="49" spans="2:16" ht="25.5">
      <c r="B49" s="51" t="s">
        <v>383</v>
      </c>
      <c r="C49" s="51">
        <f>+C50+C51</f>
        <v>26.094000000000001</v>
      </c>
      <c r="D49" s="51">
        <f t="shared" ref="D49:N49" si="35">+D50+D51</f>
        <v>30.876999999999999</v>
      </c>
      <c r="E49" s="51">
        <f t="shared" si="35"/>
        <v>16</v>
      </c>
      <c r="F49" s="51">
        <f t="shared" si="35"/>
        <v>19.062999999999999</v>
      </c>
      <c r="G49" s="51">
        <f>+G50+G51</f>
        <v>49.063000000000002</v>
      </c>
      <c r="H49" s="51">
        <f>+H50+H51</f>
        <v>158.04900000000001</v>
      </c>
      <c r="I49" s="51">
        <f t="shared" si="35"/>
        <v>66.445999999999998</v>
      </c>
      <c r="J49" s="51">
        <f t="shared" si="35"/>
        <v>48.031999999999996</v>
      </c>
      <c r="K49" s="51">
        <f t="shared" si="35"/>
        <v>0</v>
      </c>
      <c r="L49" s="51">
        <f t="shared" si="35"/>
        <v>0</v>
      </c>
      <c r="M49" s="51">
        <f t="shared" si="35"/>
        <v>0</v>
      </c>
      <c r="N49" s="51">
        <f t="shared" si="35"/>
        <v>0</v>
      </c>
    </row>
    <row r="50" spans="2:16" ht="18">
      <c r="B50" s="135" t="s">
        <v>121</v>
      </c>
      <c r="C50" s="94">
        <v>26.094000000000001</v>
      </c>
      <c r="D50" s="94">
        <v>30.876999999999999</v>
      </c>
      <c r="E50" s="94">
        <v>16</v>
      </c>
      <c r="F50" s="94">
        <v>19.062999999999999</v>
      </c>
      <c r="G50" s="94">
        <v>16.37</v>
      </c>
      <c r="H50" s="94">
        <v>40.130000000000003</v>
      </c>
      <c r="I50" s="155">
        <v>66.445999999999998</v>
      </c>
      <c r="J50" s="155">
        <v>48.031999999999996</v>
      </c>
      <c r="K50" s="155"/>
      <c r="L50" s="155"/>
      <c r="M50" s="155"/>
      <c r="N50" s="155"/>
    </row>
    <row r="51" spans="2:16" ht="18">
      <c r="B51" s="135" t="s">
        <v>122</v>
      </c>
      <c r="C51" s="94"/>
      <c r="D51" s="94"/>
      <c r="E51" s="94"/>
      <c r="F51" s="94"/>
      <c r="G51" s="94">
        <v>32.692999999999998</v>
      </c>
      <c r="H51" s="94">
        <v>117.919</v>
      </c>
      <c r="I51" s="155"/>
      <c r="J51" s="155"/>
      <c r="K51" s="155"/>
      <c r="L51" s="155"/>
      <c r="M51" s="155"/>
      <c r="N51" s="155"/>
    </row>
    <row r="52" spans="2:16" ht="18">
      <c r="B52" s="135" t="s">
        <v>123</v>
      </c>
      <c r="C52" s="94">
        <v>35.600999999999999</v>
      </c>
      <c r="D52" s="94">
        <v>27.018000000000001</v>
      </c>
      <c r="E52" s="94">
        <v>31.513999999999999</v>
      </c>
      <c r="F52" s="94">
        <v>46.572000000000003</v>
      </c>
      <c r="G52" s="94"/>
      <c r="H52" s="94">
        <v>98.694000000000003</v>
      </c>
      <c r="I52" s="155">
        <v>6.0810000000000004</v>
      </c>
      <c r="J52" s="155">
        <v>99.466999999999999</v>
      </c>
      <c r="K52" s="155"/>
      <c r="L52" s="155"/>
      <c r="M52" s="155"/>
      <c r="N52" s="155"/>
    </row>
    <row r="53" spans="2:16" ht="18">
      <c r="B53" s="135" t="s">
        <v>124</v>
      </c>
      <c r="C53" s="94"/>
      <c r="D53" s="94"/>
      <c r="E53" s="94"/>
      <c r="F53" s="94"/>
      <c r="G53" s="94"/>
      <c r="H53" s="94"/>
      <c r="I53" s="94"/>
      <c r="J53" s="94"/>
      <c r="K53" s="94"/>
      <c r="L53" s="94"/>
      <c r="M53" s="94"/>
      <c r="N53" s="94"/>
    </row>
    <row r="54" spans="2:16" ht="25.5">
      <c r="B54" s="541" t="s">
        <v>167</v>
      </c>
      <c r="C54" s="99" t="e">
        <f>(C51+C52+D50)/C43</f>
        <v>#DIV/0!</v>
      </c>
      <c r="D54" s="99">
        <f t="shared" ref="D54:N54" si="36">(D51+D52+E50)/D43</f>
        <v>0.65218314129775612</v>
      </c>
      <c r="E54" s="99">
        <f t="shared" si="36"/>
        <v>0.89750642381567558</v>
      </c>
      <c r="F54" s="99">
        <f t="shared" si="36"/>
        <v>1.0158423767438558</v>
      </c>
      <c r="G54" s="99">
        <f t="shared" si="36"/>
        <v>0.52309060400756247</v>
      </c>
      <c r="H54" s="99">
        <f t="shared" si="36"/>
        <v>1.5607933242848244</v>
      </c>
      <c r="I54" s="99">
        <f t="shared" si="36"/>
        <v>0.33519437145015868</v>
      </c>
      <c r="J54" s="99" t="e">
        <f t="shared" si="36"/>
        <v>#DIV/0!</v>
      </c>
      <c r="K54" s="99" t="e">
        <f t="shared" si="36"/>
        <v>#DIV/0!</v>
      </c>
      <c r="L54" s="99" t="e">
        <f t="shared" si="36"/>
        <v>#DIV/0!</v>
      </c>
      <c r="M54" s="99" t="e">
        <f t="shared" si="36"/>
        <v>#DIV/0!</v>
      </c>
      <c r="N54" s="99" t="e">
        <f t="shared" si="36"/>
        <v>#DIV/0!</v>
      </c>
    </row>
    <row r="55" spans="2:16" ht="28.5">
      <c r="B55" s="540" t="s">
        <v>303</v>
      </c>
      <c r="C55" s="54">
        <f>AVERAGE(G54:I54)</f>
        <v>0.80635943324751524</v>
      </c>
      <c r="D55" s="54"/>
      <c r="E55" s="54"/>
      <c r="F55" s="54"/>
      <c r="G55" s="54"/>
      <c r="H55" s="54"/>
      <c r="I55" s="54"/>
      <c r="J55" s="54"/>
      <c r="K55" s="54"/>
      <c r="L55" s="54"/>
      <c r="M55" s="54"/>
      <c r="N55" s="54"/>
    </row>
    <row r="56" spans="2:16" ht="25.5">
      <c r="B56" s="541" t="s">
        <v>299</v>
      </c>
      <c r="C56" s="99">
        <f t="shared" ref="C56:I56" si="37">+C48/C21</f>
        <v>7.711875E-2</v>
      </c>
      <c r="D56" s="99">
        <f t="shared" si="37"/>
        <v>7.4224358974358973E-2</v>
      </c>
      <c r="E56" s="99">
        <f t="shared" si="37"/>
        <v>6.7395744680851064E-2</v>
      </c>
      <c r="F56" s="99">
        <f t="shared" si="37"/>
        <v>9.6522058823529419E-2</v>
      </c>
      <c r="G56" s="99">
        <f t="shared" si="37"/>
        <v>6.9930159635119726E-2</v>
      </c>
      <c r="H56" s="99">
        <f t="shared" si="37"/>
        <v>0.33781973684210526</v>
      </c>
      <c r="I56" s="99">
        <f t="shared" si="37"/>
        <v>8.5313838046393448E-2</v>
      </c>
      <c r="J56" s="99">
        <f t="shared" ref="J56:N56" si="38">+J48/J21</f>
        <v>0.16388777777777777</v>
      </c>
      <c r="K56" s="99" t="e">
        <f t="shared" si="38"/>
        <v>#DIV/0!</v>
      </c>
      <c r="L56" s="99" t="e">
        <f t="shared" si="38"/>
        <v>#DIV/0!</v>
      </c>
      <c r="M56" s="99" t="e">
        <f t="shared" si="38"/>
        <v>#DIV/0!</v>
      </c>
      <c r="N56" s="99" t="e">
        <f t="shared" si="38"/>
        <v>#DIV/0!</v>
      </c>
    </row>
    <row r="57" spans="2:16" ht="25.5">
      <c r="B57" s="542" t="s">
        <v>384</v>
      </c>
      <c r="C57" s="534">
        <f>AVERAGE(G56:I56)</f>
        <v>0.16435457817453947</v>
      </c>
      <c r="D57" s="534"/>
      <c r="E57" s="534"/>
      <c r="F57" s="534"/>
      <c r="G57" s="534"/>
      <c r="H57" s="534"/>
      <c r="I57" s="534"/>
      <c r="J57" s="534"/>
      <c r="K57" s="534"/>
      <c r="L57" s="534"/>
      <c r="M57" s="534"/>
      <c r="N57" s="534"/>
      <c r="O57" s="534"/>
      <c r="P57" s="534"/>
    </row>
    <row r="58" spans="2:16" ht="25.5">
      <c r="B58" s="543" t="s">
        <v>176</v>
      </c>
      <c r="C58" s="355" t="e">
        <f>+C45*(100%-C54)</f>
        <v>#DIV/0!</v>
      </c>
      <c r="D58" s="355">
        <f t="shared" ref="D58:I58" si="39">+D45*(100%-D54)</f>
        <v>1.8958097881417897E-2</v>
      </c>
      <c r="E58" s="355">
        <f t="shared" si="39"/>
        <v>4.7892116892917927E-3</v>
      </c>
      <c r="F58" s="549">
        <f t="shared" si="39"/>
        <v>-8.4999613696040905E-4</v>
      </c>
      <c r="G58" s="355">
        <f t="shared" si="39"/>
        <v>4.6695579413073451E-2</v>
      </c>
      <c r="H58" s="355">
        <f t="shared" si="39"/>
        <v>-7.0667283418901161E-2</v>
      </c>
      <c r="I58" s="355">
        <f t="shared" si="39"/>
        <v>6.6363045848349053E-2</v>
      </c>
      <c r="J58" s="355" t="e">
        <f t="shared" ref="J58:N58" si="40">+J45*(100%-J54)</f>
        <v>#DIV/0!</v>
      </c>
      <c r="K58" s="355" t="e">
        <f t="shared" si="40"/>
        <v>#DIV/0!</v>
      </c>
      <c r="L58" s="355" t="e">
        <f t="shared" si="40"/>
        <v>#DIV/0!</v>
      </c>
      <c r="M58" s="355" t="e">
        <f t="shared" si="40"/>
        <v>#DIV/0!</v>
      </c>
      <c r="N58" s="355" t="e">
        <f t="shared" si="40"/>
        <v>#DIV/0!</v>
      </c>
    </row>
    <row r="59" spans="2:16" ht="25.5">
      <c r="B59" s="542" t="s">
        <v>306</v>
      </c>
      <c r="C59" s="534">
        <f>AVERAGE(G58:I58)</f>
        <v>1.4130447280840447E-2</v>
      </c>
      <c r="D59" s="534"/>
      <c r="E59" s="534"/>
      <c r="F59" s="534"/>
      <c r="G59" s="534"/>
      <c r="H59" s="534"/>
      <c r="I59" s="534"/>
      <c r="J59" s="534"/>
      <c r="K59" s="534"/>
      <c r="L59" s="534"/>
      <c r="M59" s="534"/>
      <c r="N59" s="534"/>
      <c r="O59" s="534"/>
    </row>
    <row r="61" spans="2:16">
      <c r="B61" s="75" t="s">
        <v>307</v>
      </c>
    </row>
    <row r="62" spans="2:16" ht="14.65" thickBot="1"/>
    <row r="63" spans="2:16">
      <c r="B63" s="57" t="s">
        <v>385</v>
      </c>
      <c r="C63" s="158">
        <v>2017</v>
      </c>
      <c r="D63" s="158">
        <v>2018</v>
      </c>
      <c r="E63" s="158">
        <v>2019</v>
      </c>
      <c r="F63" s="158">
        <v>2020</v>
      </c>
      <c r="G63" s="158">
        <v>2021</v>
      </c>
      <c r="H63" s="158">
        <v>2022</v>
      </c>
      <c r="I63" s="158">
        <v>2023</v>
      </c>
      <c r="J63" s="158">
        <v>2024</v>
      </c>
      <c r="K63" s="158">
        <v>2025</v>
      </c>
      <c r="L63" s="158">
        <v>2026</v>
      </c>
      <c r="M63" s="158">
        <v>2027</v>
      </c>
      <c r="N63" s="158">
        <v>2028</v>
      </c>
    </row>
    <row r="64" spans="2:16">
      <c r="B64" s="157" t="s">
        <v>309</v>
      </c>
      <c r="C64" s="66"/>
      <c r="D64" s="66"/>
      <c r="E64" s="66"/>
      <c r="F64" s="66"/>
      <c r="G64" s="66"/>
      <c r="H64" s="66"/>
      <c r="I64" s="66"/>
      <c r="J64" s="66"/>
      <c r="K64" s="66"/>
      <c r="L64" s="66"/>
      <c r="M64" s="66"/>
      <c r="N64" s="66"/>
    </row>
    <row r="65" spans="2:14">
      <c r="B65" s="58" t="s">
        <v>310</v>
      </c>
      <c r="C65" s="64"/>
      <c r="D65" s="64">
        <v>15417000</v>
      </c>
      <c r="E65" s="64">
        <v>11590000</v>
      </c>
      <c r="F65" s="69">
        <v>10403000</v>
      </c>
      <c r="G65" s="64">
        <v>34738000</v>
      </c>
      <c r="H65" s="64">
        <v>18627000</v>
      </c>
      <c r="I65" s="64">
        <v>20815000</v>
      </c>
      <c r="J65" s="64"/>
      <c r="K65" s="64"/>
      <c r="L65" s="64"/>
      <c r="M65" s="64"/>
      <c r="N65" s="64"/>
    </row>
    <row r="66" spans="2:14">
      <c r="B66" s="59" t="s">
        <v>386</v>
      </c>
      <c r="C66" s="66"/>
      <c r="D66" s="66"/>
      <c r="E66" s="66"/>
      <c r="F66" s="66"/>
      <c r="G66" s="66"/>
      <c r="H66" s="160"/>
      <c r="I66" s="66"/>
      <c r="J66" s="66"/>
      <c r="K66" s="66"/>
      <c r="L66" s="66"/>
      <c r="M66" s="66"/>
      <c r="N66" s="66"/>
    </row>
    <row r="67" spans="2:14">
      <c r="B67" s="59" t="s">
        <v>387</v>
      </c>
      <c r="C67" s="139"/>
      <c r="D67" s="133"/>
      <c r="E67" s="133"/>
      <c r="F67" s="358"/>
      <c r="G67" s="66"/>
      <c r="H67" s="160"/>
      <c r="I67" s="66"/>
      <c r="J67" s="66"/>
      <c r="K67" s="66"/>
      <c r="L67" s="66"/>
      <c r="M67" s="66"/>
      <c r="N67" s="66"/>
    </row>
    <row r="68" spans="2:14">
      <c r="B68" s="59" t="s">
        <v>388</v>
      </c>
      <c r="C68" s="66"/>
      <c r="D68" s="66"/>
      <c r="E68" s="66"/>
      <c r="F68" s="66"/>
      <c r="G68" s="66"/>
      <c r="H68" s="160"/>
      <c r="I68" s="66"/>
      <c r="J68" s="66"/>
      <c r="K68" s="66"/>
      <c r="L68" s="66"/>
      <c r="M68" s="66"/>
      <c r="N68" s="66"/>
    </row>
    <row r="69" spans="2:14">
      <c r="B69" s="59" t="s">
        <v>389</v>
      </c>
      <c r="C69" s="359"/>
      <c r="D69" s="359">
        <v>3107000</v>
      </c>
      <c r="E69" s="359">
        <v>2120000</v>
      </c>
      <c r="F69" s="359">
        <v>4083000</v>
      </c>
      <c r="G69" s="66">
        <v>19040000</v>
      </c>
      <c r="H69" s="160">
        <v>9368000</v>
      </c>
      <c r="I69" s="66">
        <v>7941000</v>
      </c>
      <c r="J69" s="66"/>
      <c r="K69" s="66"/>
      <c r="L69" s="66"/>
      <c r="M69" s="66"/>
      <c r="N69" s="66"/>
    </row>
    <row r="70" spans="2:14">
      <c r="B70" s="59" t="s">
        <v>390</v>
      </c>
      <c r="C70" s="359"/>
      <c r="D70" s="359"/>
      <c r="E70" s="359"/>
      <c r="F70" s="359"/>
      <c r="G70" s="360"/>
      <c r="H70" s="359"/>
      <c r="I70" s="66"/>
      <c r="J70" s="66"/>
      <c r="K70" s="66"/>
      <c r="L70" s="66"/>
      <c r="M70" s="66"/>
      <c r="N70" s="66"/>
    </row>
    <row r="71" spans="2:14">
      <c r="B71" s="59" t="s">
        <v>391</v>
      </c>
      <c r="C71" s="359"/>
      <c r="D71" s="359">
        <v>2443000</v>
      </c>
      <c r="E71" s="359">
        <v>2337000</v>
      </c>
      <c r="F71" s="359">
        <v>1592000</v>
      </c>
      <c r="G71" s="66">
        <v>3546000</v>
      </c>
      <c r="H71" s="160">
        <v>4822000</v>
      </c>
      <c r="I71" s="66">
        <v>3941000</v>
      </c>
      <c r="J71" s="66"/>
      <c r="K71" s="66"/>
      <c r="L71" s="66"/>
      <c r="M71" s="66"/>
      <c r="N71" s="66"/>
    </row>
    <row r="72" spans="2:14">
      <c r="B72" s="59" t="s">
        <v>392</v>
      </c>
      <c r="C72" s="66"/>
      <c r="D72" s="66"/>
      <c r="E72" s="66"/>
      <c r="F72" s="66"/>
      <c r="G72" s="66"/>
      <c r="H72" s="160"/>
      <c r="I72" s="66"/>
      <c r="J72" s="66"/>
      <c r="K72" s="66"/>
      <c r="L72" s="66"/>
      <c r="M72" s="66"/>
      <c r="N72" s="66"/>
    </row>
    <row r="73" spans="2:14">
      <c r="B73" s="59" t="s">
        <v>318</v>
      </c>
      <c r="C73" s="66">
        <f t="shared" ref="C73:M73" si="41">+C65-C66-C71-C72-C70-C69-C68-C67</f>
        <v>0</v>
      </c>
      <c r="D73" s="66">
        <f t="shared" si="41"/>
        <v>9867000</v>
      </c>
      <c r="E73" s="66">
        <f t="shared" si="41"/>
        <v>7133000</v>
      </c>
      <c r="F73" s="66">
        <f t="shared" si="41"/>
        <v>4728000</v>
      </c>
      <c r="G73" s="66">
        <f t="shared" si="41"/>
        <v>12152000</v>
      </c>
      <c r="H73" s="66">
        <f t="shared" si="41"/>
        <v>4437000</v>
      </c>
      <c r="I73" s="66">
        <f t="shared" si="41"/>
        <v>8933000</v>
      </c>
      <c r="J73" s="66">
        <f t="shared" si="41"/>
        <v>0</v>
      </c>
      <c r="K73" s="66">
        <f t="shared" si="41"/>
        <v>0</v>
      </c>
      <c r="L73" s="66">
        <f t="shared" si="41"/>
        <v>0</v>
      </c>
      <c r="M73" s="66">
        <f t="shared" si="41"/>
        <v>0</v>
      </c>
      <c r="N73" s="66"/>
    </row>
    <row r="74" spans="2:14">
      <c r="B74" s="58" t="s">
        <v>319</v>
      </c>
      <c r="C74" s="64"/>
      <c r="D74" s="64">
        <v>106129000</v>
      </c>
      <c r="E74" s="64">
        <v>102695000</v>
      </c>
      <c r="F74" s="69">
        <v>98997000</v>
      </c>
      <c r="G74" s="64">
        <v>100249000</v>
      </c>
      <c r="H74" s="141">
        <v>109643000</v>
      </c>
      <c r="I74" s="64">
        <v>129924000</v>
      </c>
      <c r="J74" s="64"/>
      <c r="K74" s="64"/>
      <c r="L74" s="64"/>
      <c r="M74" s="64"/>
      <c r="N74" s="64"/>
    </row>
    <row r="75" spans="2:14">
      <c r="B75" s="59" t="s">
        <v>393</v>
      </c>
      <c r="C75" s="66"/>
      <c r="D75" s="66"/>
      <c r="E75" s="66"/>
      <c r="F75" s="66"/>
      <c r="G75" s="67"/>
      <c r="H75" s="131"/>
      <c r="I75" s="66"/>
      <c r="J75" s="66"/>
      <c r="K75" s="66"/>
      <c r="L75" s="66"/>
      <c r="M75" s="66"/>
      <c r="N75" s="66"/>
    </row>
    <row r="76" spans="2:14">
      <c r="B76" s="59" t="s">
        <v>394</v>
      </c>
      <c r="C76" s="66"/>
      <c r="D76" s="66"/>
      <c r="E76" s="66"/>
      <c r="F76" s="66"/>
      <c r="G76" s="67"/>
      <c r="H76" s="131"/>
      <c r="I76" s="66"/>
      <c r="J76" s="66"/>
      <c r="K76" s="66"/>
      <c r="L76" s="66"/>
      <c r="M76" s="66"/>
      <c r="N76" s="66"/>
    </row>
    <row r="77" spans="2:14">
      <c r="B77" s="59" t="s">
        <v>487</v>
      </c>
      <c r="C77" s="66"/>
      <c r="D77" s="66"/>
      <c r="E77" s="66"/>
      <c r="F77" s="66"/>
      <c r="G77" s="66"/>
      <c r="H77" s="160"/>
      <c r="I77" s="66"/>
      <c r="J77" s="66"/>
      <c r="K77" s="66"/>
      <c r="L77" s="66"/>
      <c r="M77" s="66"/>
      <c r="N77" s="66"/>
    </row>
    <row r="78" spans="2:14">
      <c r="B78" s="59" t="s">
        <v>396</v>
      </c>
      <c r="C78" s="66"/>
      <c r="D78" s="66"/>
      <c r="E78" s="66"/>
      <c r="F78" s="66"/>
      <c r="G78" s="66"/>
      <c r="H78" s="160"/>
      <c r="I78" s="66"/>
      <c r="J78" s="66"/>
      <c r="K78" s="66"/>
      <c r="L78" s="66"/>
      <c r="M78" s="66"/>
      <c r="N78" s="66"/>
    </row>
    <row r="79" spans="2:14">
      <c r="B79" s="59" t="s">
        <v>397</v>
      </c>
      <c r="C79" s="66"/>
      <c r="D79" s="66"/>
      <c r="E79" s="66"/>
      <c r="F79" s="66"/>
      <c r="G79" s="66"/>
      <c r="H79" s="160"/>
      <c r="I79" s="66"/>
      <c r="J79" s="66"/>
      <c r="K79" s="66"/>
      <c r="L79" s="66"/>
      <c r="M79" s="66"/>
      <c r="N79" s="66"/>
    </row>
    <row r="80" spans="2:14">
      <c r="B80" s="59" t="s">
        <v>398</v>
      </c>
      <c r="C80" s="66"/>
      <c r="D80" s="66">
        <v>103756000</v>
      </c>
      <c r="E80" s="66">
        <v>101682000</v>
      </c>
      <c r="F80" s="68">
        <v>98955000</v>
      </c>
      <c r="G80" s="66">
        <v>99857000</v>
      </c>
      <c r="H80" s="160">
        <v>108706000</v>
      </c>
      <c r="I80" s="66">
        <v>127374000</v>
      </c>
      <c r="J80" s="66"/>
      <c r="K80" s="66"/>
      <c r="L80" s="66"/>
      <c r="M80" s="66"/>
      <c r="N80" s="66"/>
    </row>
    <row r="81" spans="2:14">
      <c r="B81" s="59" t="s">
        <v>399</v>
      </c>
      <c r="C81" s="66"/>
      <c r="D81" s="66"/>
      <c r="E81" s="66"/>
      <c r="F81" s="66"/>
      <c r="G81" s="66"/>
      <c r="H81" s="66"/>
      <c r="I81" s="66"/>
      <c r="J81" s="66"/>
      <c r="K81" s="66"/>
      <c r="L81" s="66"/>
      <c r="M81" s="66"/>
      <c r="N81" s="66"/>
    </row>
    <row r="82" spans="2:14">
      <c r="B82" s="59" t="s">
        <v>400</v>
      </c>
      <c r="C82" s="66"/>
      <c r="D82" s="66"/>
      <c r="E82" s="66"/>
      <c r="F82" s="161"/>
      <c r="G82" s="66"/>
      <c r="H82" s="160"/>
      <c r="I82" s="66"/>
      <c r="J82" s="66"/>
      <c r="K82" s="66"/>
      <c r="L82" s="66"/>
      <c r="M82" s="66"/>
      <c r="N82" s="66"/>
    </row>
    <row r="83" spans="2:14">
      <c r="B83" s="59" t="s">
        <v>401</v>
      </c>
      <c r="C83" s="66"/>
      <c r="D83" s="66"/>
      <c r="E83" s="66"/>
      <c r="F83" s="66"/>
      <c r="G83" s="66"/>
      <c r="H83" s="160"/>
      <c r="I83" s="66"/>
      <c r="J83" s="66"/>
      <c r="K83" s="66"/>
      <c r="L83" s="66"/>
      <c r="M83" s="66"/>
      <c r="N83" s="66"/>
    </row>
    <row r="84" spans="2:14">
      <c r="B84" s="59" t="s">
        <v>328</v>
      </c>
      <c r="C84" s="66">
        <f t="shared" ref="C84:M84" si="42">+C74-C81-C82-C80-C75-C83-C79-C78-C77-C76</f>
        <v>0</v>
      </c>
      <c r="D84" s="66">
        <f t="shared" si="42"/>
        <v>2373000</v>
      </c>
      <c r="E84" s="66">
        <f t="shared" si="42"/>
        <v>1013000</v>
      </c>
      <c r="F84" s="66">
        <f t="shared" si="42"/>
        <v>42000</v>
      </c>
      <c r="G84" s="66">
        <f t="shared" si="42"/>
        <v>392000</v>
      </c>
      <c r="H84" s="66">
        <f t="shared" si="42"/>
        <v>937000</v>
      </c>
      <c r="I84" s="66">
        <f t="shared" si="42"/>
        <v>2550000</v>
      </c>
      <c r="J84" s="66">
        <f t="shared" si="42"/>
        <v>0</v>
      </c>
      <c r="K84" s="66">
        <f t="shared" si="42"/>
        <v>0</v>
      </c>
      <c r="L84" s="66">
        <f t="shared" si="42"/>
        <v>0</v>
      </c>
      <c r="M84" s="66">
        <f t="shared" si="42"/>
        <v>0</v>
      </c>
      <c r="N84" s="66"/>
    </row>
    <row r="85" spans="2:14" ht="14.65" thickBot="1">
      <c r="B85" s="60" t="s">
        <v>329</v>
      </c>
      <c r="C85" s="70">
        <f t="shared" ref="C85:I85" si="43">+C74+C65</f>
        <v>0</v>
      </c>
      <c r="D85" s="70">
        <f t="shared" si="43"/>
        <v>121546000</v>
      </c>
      <c r="E85" s="70">
        <f t="shared" si="43"/>
        <v>114285000</v>
      </c>
      <c r="F85" s="70">
        <f t="shared" si="43"/>
        <v>109400000</v>
      </c>
      <c r="G85" s="70">
        <f t="shared" si="43"/>
        <v>134987000</v>
      </c>
      <c r="H85" s="162">
        <f t="shared" si="43"/>
        <v>128270000</v>
      </c>
      <c r="I85" s="162">
        <f t="shared" si="43"/>
        <v>150739000</v>
      </c>
      <c r="J85" s="70"/>
      <c r="K85" s="70"/>
      <c r="L85" s="70"/>
      <c r="M85" s="70"/>
      <c r="N85" s="70"/>
    </row>
    <row r="86" spans="2:14" ht="14.65" thickBot="1">
      <c r="B86" s="61"/>
      <c r="C86" s="72"/>
      <c r="D86" s="72"/>
      <c r="E86" s="72"/>
      <c r="F86" s="72"/>
      <c r="G86" s="72"/>
      <c r="H86" s="163"/>
      <c r="I86" s="72"/>
      <c r="J86" s="72"/>
      <c r="K86" s="72"/>
      <c r="L86" s="72"/>
      <c r="M86" s="72"/>
      <c r="N86" s="72"/>
    </row>
    <row r="87" spans="2:14">
      <c r="B87" s="57" t="s">
        <v>330</v>
      </c>
      <c r="C87" s="62"/>
      <c r="D87" s="62"/>
      <c r="E87" s="62"/>
      <c r="F87" s="62"/>
      <c r="G87" s="62"/>
      <c r="H87" s="164"/>
      <c r="I87" s="62"/>
      <c r="J87" s="62"/>
      <c r="K87" s="62"/>
      <c r="L87" s="62"/>
      <c r="M87" s="62"/>
      <c r="N87" s="62"/>
    </row>
    <row r="88" spans="2:14">
      <c r="B88" s="58" t="s">
        <v>310</v>
      </c>
      <c r="C88" s="64"/>
      <c r="D88" s="64">
        <v>8967000</v>
      </c>
      <c r="E88" s="64">
        <v>8410000</v>
      </c>
      <c r="F88" s="64">
        <v>10987000</v>
      </c>
      <c r="G88" s="64">
        <v>29673000</v>
      </c>
      <c r="H88" s="141">
        <v>27094000</v>
      </c>
      <c r="I88" s="64">
        <v>27727000</v>
      </c>
      <c r="J88" s="64"/>
      <c r="K88" s="64"/>
      <c r="L88" s="64"/>
      <c r="M88" s="64"/>
      <c r="N88" s="64"/>
    </row>
    <row r="89" spans="2:14">
      <c r="B89" s="59" t="s">
        <v>402</v>
      </c>
      <c r="C89" s="66"/>
      <c r="D89" s="66">
        <v>6644000</v>
      </c>
      <c r="E89" s="66">
        <v>6425000</v>
      </c>
      <c r="F89" s="66">
        <v>7835000</v>
      </c>
      <c r="G89" s="66">
        <v>16211000</v>
      </c>
      <c r="H89" s="160">
        <v>17598000</v>
      </c>
      <c r="I89" s="66">
        <v>17394000</v>
      </c>
      <c r="J89" s="66"/>
      <c r="K89" s="66"/>
      <c r="L89" s="66"/>
      <c r="M89" s="66"/>
      <c r="N89" s="66"/>
    </row>
    <row r="90" spans="2:14">
      <c r="B90" s="59" t="s">
        <v>403</v>
      </c>
      <c r="C90" s="66"/>
      <c r="D90" s="66"/>
      <c r="E90" s="66"/>
      <c r="F90" s="66"/>
      <c r="G90" s="66"/>
      <c r="H90" s="160"/>
      <c r="I90" s="66"/>
      <c r="J90" s="66"/>
      <c r="K90" s="66"/>
      <c r="L90" s="66"/>
      <c r="M90" s="66"/>
      <c r="N90" s="66"/>
    </row>
    <row r="91" spans="2:14">
      <c r="B91" s="59" t="s">
        <v>404</v>
      </c>
      <c r="C91" s="66"/>
      <c r="D91" s="66"/>
      <c r="E91" s="66"/>
      <c r="F91" s="66"/>
      <c r="G91" s="66"/>
      <c r="H91" s="160"/>
      <c r="I91" s="66"/>
      <c r="J91" s="66"/>
      <c r="K91" s="66"/>
      <c r="L91" s="66"/>
      <c r="M91" s="66"/>
      <c r="N91" s="66"/>
    </row>
    <row r="92" spans="2:14">
      <c r="B92" s="59" t="s">
        <v>405</v>
      </c>
      <c r="C92" s="66"/>
      <c r="D92" s="66">
        <v>948000</v>
      </c>
      <c r="E92" s="66">
        <v>1194000</v>
      </c>
      <c r="F92" s="66">
        <v>1096000</v>
      </c>
      <c r="G92" s="66">
        <v>9303000</v>
      </c>
      <c r="H92" s="160">
        <v>2173000</v>
      </c>
      <c r="I92" s="66">
        <v>5050000</v>
      </c>
      <c r="J92" s="66"/>
      <c r="K92" s="66"/>
      <c r="L92" s="66"/>
      <c r="M92" s="66"/>
      <c r="N92" s="66"/>
    </row>
    <row r="93" spans="2:14">
      <c r="B93" s="59" t="s">
        <v>406</v>
      </c>
      <c r="C93" s="66"/>
      <c r="D93" s="66"/>
      <c r="E93" s="66"/>
      <c r="F93" s="66"/>
      <c r="G93" s="66"/>
      <c r="H93" s="131"/>
      <c r="I93" s="66"/>
      <c r="J93" s="66"/>
      <c r="K93" s="66"/>
      <c r="L93" s="66"/>
      <c r="M93" s="66"/>
      <c r="N93" s="66"/>
    </row>
    <row r="94" spans="2:14">
      <c r="B94" s="59" t="s">
        <v>407</v>
      </c>
      <c r="C94" s="66"/>
      <c r="D94" s="66"/>
      <c r="E94" s="66"/>
      <c r="F94" s="66"/>
      <c r="G94" s="66"/>
      <c r="H94" s="160"/>
      <c r="I94" s="66"/>
      <c r="J94" s="66"/>
      <c r="K94" s="66"/>
      <c r="L94" s="66"/>
      <c r="M94" s="66"/>
      <c r="N94" s="66"/>
    </row>
    <row r="95" spans="2:14">
      <c r="B95" s="59" t="s">
        <v>408</v>
      </c>
      <c r="C95" s="66"/>
      <c r="D95" s="66"/>
      <c r="E95" s="66"/>
      <c r="F95" s="66"/>
      <c r="G95" s="66"/>
      <c r="H95" s="131"/>
      <c r="I95" s="66"/>
      <c r="J95" s="66"/>
      <c r="K95" s="66"/>
      <c r="L95" s="66"/>
      <c r="M95" s="66"/>
      <c r="N95" s="66"/>
    </row>
    <row r="96" spans="2:14">
      <c r="B96" s="59" t="s">
        <v>409</v>
      </c>
      <c r="C96" s="66"/>
      <c r="D96" s="66"/>
      <c r="E96" s="66"/>
      <c r="F96" s="66"/>
      <c r="G96" s="66"/>
      <c r="H96" s="160"/>
      <c r="I96" s="66"/>
      <c r="J96" s="66"/>
      <c r="K96" s="66"/>
      <c r="L96" s="66"/>
      <c r="M96" s="66"/>
      <c r="N96" s="66"/>
    </row>
    <row r="97" spans="2:14">
      <c r="B97" s="59" t="s">
        <v>410</v>
      </c>
      <c r="C97" s="66">
        <f t="shared" ref="C97:M97" si="44">+C88-C89-C95-C96-C94-C93-C92-C91-C90</f>
        <v>0</v>
      </c>
      <c r="D97" s="66">
        <f t="shared" si="44"/>
        <v>1375000</v>
      </c>
      <c r="E97" s="66">
        <f t="shared" si="44"/>
        <v>791000</v>
      </c>
      <c r="F97" s="66">
        <f t="shared" si="44"/>
        <v>2056000</v>
      </c>
      <c r="G97" s="66">
        <f t="shared" si="44"/>
        <v>4159000</v>
      </c>
      <c r="H97" s="66">
        <f t="shared" si="44"/>
        <v>7323000</v>
      </c>
      <c r="I97" s="66">
        <f>+I88-I89-I95-I96-I94-I93-I92-I91-I90</f>
        <v>5283000</v>
      </c>
      <c r="J97" s="66">
        <f t="shared" si="44"/>
        <v>0</v>
      </c>
      <c r="K97" s="66">
        <f t="shared" si="44"/>
        <v>0</v>
      </c>
      <c r="L97" s="66">
        <f t="shared" si="44"/>
        <v>0</v>
      </c>
      <c r="M97" s="66">
        <f t="shared" si="44"/>
        <v>0</v>
      </c>
      <c r="N97" s="66"/>
    </row>
    <row r="98" spans="2:14">
      <c r="B98" s="58" t="s">
        <v>319</v>
      </c>
      <c r="C98" s="361"/>
      <c r="D98" s="362">
        <v>37046000</v>
      </c>
      <c r="E98" s="362">
        <v>32106000</v>
      </c>
      <c r="F98" s="363">
        <v>29369000</v>
      </c>
      <c r="G98" s="364">
        <v>34067000</v>
      </c>
      <c r="H98" s="364">
        <v>28747000</v>
      </c>
      <c r="I98" s="64">
        <v>44944000</v>
      </c>
      <c r="J98" s="64"/>
      <c r="K98" s="64"/>
      <c r="L98" s="64"/>
      <c r="M98" s="64"/>
      <c r="N98" s="64"/>
    </row>
    <row r="99" spans="2:14">
      <c r="B99" s="59" t="s">
        <v>411</v>
      </c>
      <c r="C99" s="66"/>
      <c r="D99" s="66"/>
      <c r="E99" s="66"/>
      <c r="F99" s="66"/>
      <c r="G99" s="66"/>
      <c r="H99" s="160"/>
      <c r="I99" s="66"/>
      <c r="J99" s="66"/>
      <c r="K99" s="66"/>
      <c r="L99" s="66"/>
      <c r="M99" s="66"/>
      <c r="N99" s="66"/>
    </row>
    <row r="100" spans="2:14">
      <c r="B100" s="59" t="s">
        <v>412</v>
      </c>
      <c r="C100" s="66"/>
      <c r="D100" s="66"/>
      <c r="E100" s="66"/>
      <c r="F100" s="66"/>
      <c r="G100" s="66"/>
      <c r="H100" s="160"/>
      <c r="I100" s="66"/>
      <c r="J100" s="66"/>
      <c r="K100" s="66"/>
      <c r="L100" s="66"/>
      <c r="M100" s="66"/>
      <c r="N100" s="66"/>
    </row>
    <row r="101" spans="2:14">
      <c r="B101" s="59" t="s">
        <v>413</v>
      </c>
      <c r="C101" s="66"/>
      <c r="D101" s="66"/>
      <c r="E101" s="66"/>
      <c r="F101" s="66"/>
      <c r="G101" s="66"/>
      <c r="H101" s="160"/>
      <c r="I101" s="66"/>
      <c r="J101" s="66"/>
      <c r="K101" s="66"/>
      <c r="L101" s="66"/>
      <c r="M101" s="66"/>
      <c r="N101" s="66"/>
    </row>
    <row r="102" spans="2:14">
      <c r="B102" s="59" t="s">
        <v>414</v>
      </c>
      <c r="C102" s="66"/>
      <c r="D102" s="66"/>
      <c r="E102" s="66"/>
      <c r="F102" s="66"/>
      <c r="G102" s="66"/>
      <c r="H102" s="160"/>
      <c r="I102" s="66"/>
      <c r="J102" s="66"/>
      <c r="K102" s="66"/>
      <c r="L102" s="66"/>
      <c r="M102" s="66"/>
      <c r="N102" s="66"/>
    </row>
    <row r="103" spans="2:14">
      <c r="B103" s="59" t="s">
        <v>341</v>
      </c>
      <c r="C103" s="66">
        <f t="shared" ref="C103:M103" si="45">+C98-C99-C101-C102-C100</f>
        <v>0</v>
      </c>
      <c r="D103" s="66">
        <f t="shared" si="45"/>
        <v>37046000</v>
      </c>
      <c r="E103" s="66">
        <f t="shared" si="45"/>
        <v>32106000</v>
      </c>
      <c r="F103" s="66">
        <f t="shared" si="45"/>
        <v>29369000</v>
      </c>
      <c r="G103" s="66">
        <f t="shared" si="45"/>
        <v>34067000</v>
      </c>
      <c r="H103" s="66">
        <f t="shared" si="45"/>
        <v>28747000</v>
      </c>
      <c r="I103" s="66">
        <f t="shared" si="45"/>
        <v>44944000</v>
      </c>
      <c r="J103" s="66">
        <f t="shared" si="45"/>
        <v>0</v>
      </c>
      <c r="K103" s="66">
        <f t="shared" si="45"/>
        <v>0</v>
      </c>
      <c r="L103" s="66">
        <f t="shared" si="45"/>
        <v>0</v>
      </c>
      <c r="M103" s="66">
        <f t="shared" si="45"/>
        <v>0</v>
      </c>
      <c r="N103" s="66"/>
    </row>
    <row r="104" spans="2:14" ht="14.65" thickBot="1">
      <c r="B104" s="60" t="s">
        <v>342</v>
      </c>
      <c r="C104" s="70">
        <f t="shared" ref="C104:I104" si="46">+C98+C88</f>
        <v>0</v>
      </c>
      <c r="D104" s="70">
        <f t="shared" si="46"/>
        <v>46013000</v>
      </c>
      <c r="E104" s="70">
        <f t="shared" si="46"/>
        <v>40516000</v>
      </c>
      <c r="F104" s="70">
        <f t="shared" si="46"/>
        <v>40356000</v>
      </c>
      <c r="G104" s="70">
        <f t="shared" si="46"/>
        <v>63740000</v>
      </c>
      <c r="H104" s="162">
        <f t="shared" si="46"/>
        <v>55841000</v>
      </c>
      <c r="I104" s="162">
        <f t="shared" si="46"/>
        <v>72671000</v>
      </c>
      <c r="J104" s="70"/>
      <c r="K104" s="70"/>
      <c r="L104" s="70"/>
      <c r="M104" s="70"/>
      <c r="N104" s="70"/>
    </row>
    <row r="105" spans="2:14" ht="14.65" thickBot="1">
      <c r="B105" s="61"/>
      <c r="C105" s="61"/>
      <c r="D105" s="61"/>
      <c r="E105" s="61"/>
      <c r="F105" s="61"/>
      <c r="G105" s="61"/>
      <c r="H105" s="61"/>
      <c r="I105" s="61"/>
      <c r="J105" s="61"/>
      <c r="K105" s="61"/>
      <c r="L105" s="61"/>
      <c r="M105" s="61"/>
      <c r="N105" s="61"/>
    </row>
    <row r="106" spans="2:14" ht="14.65" thickBot="1">
      <c r="B106" s="57" t="s">
        <v>343</v>
      </c>
      <c r="C106" s="62"/>
      <c r="D106" s="62"/>
      <c r="E106" s="62"/>
      <c r="F106" s="62"/>
      <c r="G106" s="62"/>
      <c r="H106" s="164"/>
      <c r="I106" s="62"/>
      <c r="J106" s="62"/>
      <c r="K106" s="62"/>
      <c r="L106" s="62"/>
      <c r="M106" s="62"/>
      <c r="N106" s="62"/>
    </row>
    <row r="107" spans="2:14">
      <c r="B107" s="59" t="s">
        <v>415</v>
      </c>
      <c r="C107" s="62"/>
      <c r="D107" s="160">
        <v>65993000</v>
      </c>
      <c r="E107" s="160">
        <v>65993000</v>
      </c>
      <c r="F107" s="160">
        <v>66070000</v>
      </c>
      <c r="G107" s="160">
        <v>66070000</v>
      </c>
      <c r="H107" s="160">
        <v>66070000</v>
      </c>
      <c r="I107" s="160">
        <v>66070000</v>
      </c>
      <c r="J107" s="160"/>
      <c r="K107" s="160"/>
      <c r="L107" s="160"/>
      <c r="M107" s="160"/>
      <c r="N107" s="160"/>
    </row>
    <row r="108" spans="2:14">
      <c r="B108" s="59" t="s">
        <v>416</v>
      </c>
      <c r="C108" s="66"/>
      <c r="D108" s="66">
        <v>8112000</v>
      </c>
      <c r="E108" s="68">
        <v>6544000</v>
      </c>
      <c r="F108" s="66">
        <v>3466000</v>
      </c>
      <c r="G108" s="66">
        <v>4883000</v>
      </c>
      <c r="H108" s="160">
        <v>6389000</v>
      </c>
      <c r="I108" s="66">
        <v>11581000</v>
      </c>
      <c r="J108" s="66"/>
      <c r="K108" s="66"/>
      <c r="L108" s="66"/>
      <c r="M108" s="66"/>
      <c r="N108" s="66"/>
    </row>
    <row r="109" spans="2:14">
      <c r="B109" s="59" t="s">
        <v>345</v>
      </c>
      <c r="C109" s="66"/>
      <c r="D109" s="66">
        <v>1428000</v>
      </c>
      <c r="E109" s="66">
        <v>1232000</v>
      </c>
      <c r="F109" s="66">
        <v>-4992000</v>
      </c>
      <c r="G109" s="66">
        <v>294000</v>
      </c>
      <c r="H109" s="160">
        <v>-30000</v>
      </c>
      <c r="I109" s="66">
        <v>417000</v>
      </c>
      <c r="J109" s="66"/>
      <c r="K109" s="66"/>
      <c r="L109" s="66"/>
      <c r="M109" s="66"/>
      <c r="N109" s="66"/>
    </row>
    <row r="110" spans="2:14">
      <c r="B110" s="59" t="s">
        <v>419</v>
      </c>
      <c r="C110" s="66"/>
      <c r="D110" s="66"/>
      <c r="E110" s="66"/>
      <c r="F110" s="66"/>
      <c r="G110" s="66"/>
      <c r="H110" s="160"/>
      <c r="I110" s="66"/>
      <c r="J110" s="66"/>
      <c r="K110" s="66"/>
      <c r="L110" s="66"/>
      <c r="M110" s="66"/>
      <c r="N110" s="66"/>
    </row>
    <row r="111" spans="2:14" ht="14.65" thickBot="1">
      <c r="B111" s="60" t="s">
        <v>420</v>
      </c>
      <c r="C111" s="70">
        <f t="shared" ref="C111:F111" si="47">+C107+C109+C108</f>
        <v>0</v>
      </c>
      <c r="D111" s="70">
        <f t="shared" si="47"/>
        <v>75533000</v>
      </c>
      <c r="E111" s="70">
        <f t="shared" si="47"/>
        <v>73769000</v>
      </c>
      <c r="F111" s="70">
        <f t="shared" si="47"/>
        <v>64544000</v>
      </c>
      <c r="G111" s="70">
        <f>+G107+G109+G108</f>
        <v>71247000</v>
      </c>
      <c r="H111" s="70">
        <f>+H107+H109+H108</f>
        <v>72429000</v>
      </c>
      <c r="I111" s="70">
        <f>+I107+I109+I108</f>
        <v>78068000</v>
      </c>
      <c r="J111" s="70"/>
      <c r="K111" s="70"/>
      <c r="L111" s="70"/>
      <c r="M111" s="70"/>
      <c r="N111" s="70"/>
    </row>
    <row r="112" spans="2:14" ht="14.65" thickBot="1">
      <c r="B112" s="60" t="s">
        <v>347</v>
      </c>
      <c r="C112" s="70">
        <f>+C111+C110</f>
        <v>0</v>
      </c>
      <c r="D112" s="70">
        <f>+D111+D110</f>
        <v>75533000</v>
      </c>
      <c r="E112" s="70">
        <f>+E111+E110</f>
        <v>73769000</v>
      </c>
      <c r="F112" s="70">
        <f t="shared" ref="F112:N112" si="48">+F111+F110</f>
        <v>64544000</v>
      </c>
      <c r="G112" s="70">
        <f t="shared" si="48"/>
        <v>71247000</v>
      </c>
      <c r="H112" s="70">
        <f t="shared" si="48"/>
        <v>72429000</v>
      </c>
      <c r="I112" s="70">
        <f t="shared" si="48"/>
        <v>78068000</v>
      </c>
      <c r="J112" s="70">
        <f t="shared" si="48"/>
        <v>0</v>
      </c>
      <c r="K112" s="70">
        <f t="shared" si="48"/>
        <v>0</v>
      </c>
      <c r="L112" s="70">
        <f t="shared" si="48"/>
        <v>0</v>
      </c>
      <c r="M112" s="70">
        <f t="shared" si="48"/>
        <v>0</v>
      </c>
      <c r="N112" s="70">
        <f t="shared" si="48"/>
        <v>0</v>
      </c>
    </row>
    <row r="114" spans="2:14" ht="14.65" thickBot="1">
      <c r="B114" s="75" t="s">
        <v>348</v>
      </c>
    </row>
    <row r="115" spans="2:14" ht="14.65" thickBot="1">
      <c r="B115" s="82" t="s">
        <v>308</v>
      </c>
      <c r="C115" s="88">
        <v>2017</v>
      </c>
      <c r="D115" s="88">
        <v>2018</v>
      </c>
      <c r="E115" s="88">
        <v>2019</v>
      </c>
      <c r="F115" s="88">
        <v>2020</v>
      </c>
      <c r="G115" s="88">
        <v>2021</v>
      </c>
      <c r="H115" s="88">
        <v>2022</v>
      </c>
      <c r="I115" s="88">
        <v>2023</v>
      </c>
      <c r="J115" s="88">
        <v>2024</v>
      </c>
      <c r="K115" s="88">
        <v>2025</v>
      </c>
      <c r="L115" s="88">
        <v>2026</v>
      </c>
      <c r="M115" s="88">
        <v>2027</v>
      </c>
      <c r="N115" s="88">
        <v>2028</v>
      </c>
    </row>
    <row r="116" spans="2:14">
      <c r="B116" s="83" t="s">
        <v>349</v>
      </c>
      <c r="C116" s="90"/>
      <c r="D116" s="90">
        <v>20938000</v>
      </c>
      <c r="E116" s="90">
        <v>25090000</v>
      </c>
      <c r="F116" s="90">
        <v>19686000</v>
      </c>
      <c r="G116" s="90">
        <v>64673000</v>
      </c>
      <c r="H116" s="90">
        <v>90170000</v>
      </c>
      <c r="I116" s="90">
        <v>46633000</v>
      </c>
      <c r="J116" s="90"/>
      <c r="K116" s="90"/>
      <c r="L116" s="90"/>
      <c r="M116" s="90"/>
      <c r="N116" s="90"/>
    </row>
    <row r="117" spans="2:14">
      <c r="B117" s="85" t="s">
        <v>534</v>
      </c>
      <c r="C117" s="160"/>
      <c r="D117" s="160">
        <v>-11004000</v>
      </c>
      <c r="E117" s="160">
        <v>-15114000</v>
      </c>
      <c r="F117" s="160">
        <v>-11146000</v>
      </c>
      <c r="G117" s="66">
        <v>-49082000</v>
      </c>
      <c r="H117" s="66">
        <v>-74462000</v>
      </c>
      <c r="I117" s="66">
        <v>-32178000</v>
      </c>
      <c r="J117" s="66"/>
      <c r="K117" s="66"/>
      <c r="L117" s="66"/>
      <c r="M117" s="66"/>
      <c r="N117" s="66"/>
    </row>
    <row r="118" spans="2:14">
      <c r="B118" s="86" t="s">
        <v>422</v>
      </c>
      <c r="C118" s="141">
        <f t="shared" ref="C118:F118" si="49">+C116+C117</f>
        <v>0</v>
      </c>
      <c r="D118" s="141">
        <f>+D116+D117</f>
        <v>9934000</v>
      </c>
      <c r="E118" s="141">
        <f t="shared" si="49"/>
        <v>9976000</v>
      </c>
      <c r="F118" s="141">
        <f t="shared" si="49"/>
        <v>8540000</v>
      </c>
      <c r="G118" s="64">
        <f>+G116+G117</f>
        <v>15591000</v>
      </c>
      <c r="H118" s="64">
        <f t="shared" ref="H118:I118" si="50">+H116+H117</f>
        <v>15708000</v>
      </c>
      <c r="I118" s="64">
        <f t="shared" si="50"/>
        <v>14455000</v>
      </c>
      <c r="J118" s="64"/>
      <c r="K118" s="64"/>
      <c r="L118" s="64"/>
      <c r="M118" s="64"/>
      <c r="N118" s="64"/>
    </row>
    <row r="119" spans="2:14">
      <c r="B119" s="85" t="s">
        <v>592</v>
      </c>
      <c r="C119" s="189"/>
      <c r="D119" s="189"/>
      <c r="E119" s="189"/>
      <c r="F119" s="189"/>
      <c r="G119" s="117"/>
      <c r="H119" s="117"/>
      <c r="I119" s="117"/>
      <c r="J119" s="117"/>
      <c r="K119" s="117"/>
      <c r="L119" s="117"/>
      <c r="M119" s="117"/>
      <c r="N119" s="117"/>
    </row>
    <row r="120" spans="2:14">
      <c r="B120" s="85" t="s">
        <v>536</v>
      </c>
      <c r="C120" s="189"/>
      <c r="D120" s="189"/>
      <c r="E120" s="189"/>
      <c r="F120" s="189"/>
      <c r="G120" s="117"/>
      <c r="H120" s="117"/>
      <c r="I120" s="117"/>
      <c r="J120" s="117"/>
      <c r="K120" s="117"/>
      <c r="L120" s="117"/>
      <c r="M120" s="117"/>
      <c r="N120" s="117"/>
    </row>
    <row r="121" spans="2:14">
      <c r="B121" s="85" t="s">
        <v>537</v>
      </c>
      <c r="C121" s="189"/>
      <c r="D121" s="189"/>
      <c r="E121" s="189"/>
      <c r="F121" s="189"/>
      <c r="G121" s="117"/>
      <c r="H121" s="117"/>
      <c r="I121" s="117"/>
      <c r="J121" s="117"/>
      <c r="K121" s="117"/>
      <c r="L121" s="117"/>
      <c r="M121" s="117"/>
      <c r="N121" s="117"/>
    </row>
    <row r="122" spans="2:14">
      <c r="B122" s="85" t="s">
        <v>593</v>
      </c>
      <c r="C122" s="189"/>
      <c r="D122" s="189"/>
      <c r="E122" s="189"/>
      <c r="F122" s="189"/>
      <c r="G122" s="117"/>
      <c r="H122" s="117"/>
      <c r="I122" s="117"/>
      <c r="J122" s="117"/>
      <c r="K122" s="117"/>
      <c r="L122" s="117"/>
      <c r="M122" s="117"/>
      <c r="N122" s="117"/>
    </row>
    <row r="123" spans="2:14">
      <c r="B123" s="86" t="s">
        <v>428</v>
      </c>
      <c r="C123" s="141">
        <f t="shared" ref="C123" si="51">+C118+C122+C119+C120+C121</f>
        <v>0</v>
      </c>
      <c r="D123" s="141">
        <v>7657000</v>
      </c>
      <c r="E123" s="141">
        <v>6377000</v>
      </c>
      <c r="F123" s="141">
        <v>5568000</v>
      </c>
      <c r="G123" s="64">
        <v>11384000</v>
      </c>
      <c r="H123" s="64">
        <v>13556000</v>
      </c>
      <c r="I123" s="64">
        <v>12454000</v>
      </c>
      <c r="J123" s="64"/>
      <c r="K123" s="64"/>
      <c r="L123" s="64"/>
      <c r="M123" s="64"/>
      <c r="N123" s="64"/>
    </row>
    <row r="124" spans="2:14">
      <c r="B124" s="85" t="s">
        <v>429</v>
      </c>
      <c r="C124" s="160"/>
      <c r="D124" s="160"/>
      <c r="E124" s="160"/>
      <c r="F124" s="160"/>
      <c r="G124" s="131"/>
      <c r="H124" s="131"/>
      <c r="I124" s="131"/>
      <c r="J124" s="131"/>
      <c r="K124" s="131"/>
      <c r="L124" s="131"/>
      <c r="M124" s="131"/>
      <c r="N124" s="131"/>
    </row>
    <row r="125" spans="2:14">
      <c r="B125" s="85" t="s">
        <v>430</v>
      </c>
      <c r="C125" s="160"/>
      <c r="D125" s="160"/>
      <c r="E125" s="160"/>
      <c r="F125" s="160"/>
      <c r="G125" s="131"/>
      <c r="H125" s="131"/>
      <c r="I125" s="131"/>
      <c r="J125" s="131"/>
      <c r="K125" s="131"/>
      <c r="L125" s="131"/>
      <c r="M125" s="131"/>
      <c r="N125" s="131"/>
    </row>
    <row r="126" spans="2:14">
      <c r="B126" s="85" t="s">
        <v>431</v>
      </c>
      <c r="C126" s="160"/>
      <c r="D126" s="160"/>
      <c r="E126" s="160"/>
      <c r="F126" s="160"/>
      <c r="G126" s="131"/>
      <c r="H126" s="131"/>
      <c r="I126" s="131"/>
      <c r="J126" s="131"/>
      <c r="K126" s="131"/>
      <c r="L126" s="131"/>
      <c r="M126" s="131"/>
      <c r="N126" s="131"/>
    </row>
    <row r="127" spans="2:14">
      <c r="B127" s="85" t="s">
        <v>432</v>
      </c>
      <c r="C127" s="160"/>
      <c r="D127" s="160"/>
      <c r="E127" s="160"/>
      <c r="F127" s="160"/>
      <c r="G127" s="131"/>
      <c r="H127" s="131"/>
      <c r="I127" s="131"/>
      <c r="J127" s="131"/>
      <c r="K127" s="131"/>
      <c r="L127" s="131"/>
      <c r="M127" s="131"/>
      <c r="N127" s="131"/>
    </row>
    <row r="128" spans="2:14">
      <c r="B128" s="85" t="s">
        <v>433</v>
      </c>
      <c r="C128" s="160"/>
      <c r="D128" s="160"/>
      <c r="E128" s="160"/>
      <c r="F128" s="160"/>
      <c r="G128" s="131"/>
      <c r="H128" s="131"/>
      <c r="I128" s="131"/>
      <c r="J128" s="131"/>
      <c r="K128" s="131"/>
      <c r="L128" s="131"/>
      <c r="M128" s="131"/>
      <c r="N128" s="131"/>
    </row>
    <row r="129" spans="2:14">
      <c r="B129" s="86" t="s">
        <v>362</v>
      </c>
      <c r="C129" s="64">
        <f t="shared" ref="C129" si="52">+C123+C124+C125+C126+C127+C128</f>
        <v>0</v>
      </c>
      <c r="D129" s="64">
        <v>5349000</v>
      </c>
      <c r="E129" s="64">
        <v>4846000</v>
      </c>
      <c r="F129" s="64">
        <v>4690000</v>
      </c>
      <c r="G129" s="64">
        <v>9587000</v>
      </c>
      <c r="H129" s="64">
        <v>12608000</v>
      </c>
      <c r="I129" s="64">
        <v>10494000</v>
      </c>
      <c r="J129" s="64"/>
      <c r="K129" s="64"/>
      <c r="L129" s="64"/>
      <c r="M129" s="64"/>
      <c r="N129" s="64"/>
    </row>
    <row r="130" spans="2:14">
      <c r="B130" s="85" t="s">
        <v>363</v>
      </c>
      <c r="C130" s="160"/>
      <c r="D130" s="160">
        <v>-1232000</v>
      </c>
      <c r="E130" s="160">
        <v>-1399000</v>
      </c>
      <c r="F130" s="160">
        <v>-1227000</v>
      </c>
      <c r="G130" s="91">
        <v>-2611000</v>
      </c>
      <c r="H130" s="91">
        <v>-3481000</v>
      </c>
      <c r="I130" s="91">
        <v>-2701000</v>
      </c>
      <c r="J130" s="91"/>
      <c r="K130" s="91"/>
      <c r="L130" s="91"/>
      <c r="M130" s="91"/>
      <c r="N130" s="91"/>
    </row>
    <row r="131" spans="2:14">
      <c r="B131" s="84" t="s">
        <v>365</v>
      </c>
      <c r="C131" s="130">
        <f t="shared" ref="C131:G131" si="53">+C129+C130</f>
        <v>0</v>
      </c>
      <c r="D131" s="130">
        <f t="shared" si="53"/>
        <v>4117000</v>
      </c>
      <c r="E131" s="130">
        <f t="shared" si="53"/>
        <v>3447000</v>
      </c>
      <c r="F131" s="130">
        <f t="shared" si="53"/>
        <v>3463000</v>
      </c>
      <c r="G131" s="130">
        <f t="shared" si="53"/>
        <v>6976000</v>
      </c>
      <c r="H131" s="130">
        <f>+H129+H130</f>
        <v>9127000</v>
      </c>
      <c r="I131" s="130">
        <f>+I129+I130</f>
        <v>7793000</v>
      </c>
      <c r="J131" s="130"/>
      <c r="K131" s="130"/>
      <c r="L131" s="130"/>
      <c r="M131" s="130"/>
      <c r="N131" s="130"/>
    </row>
    <row r="132" spans="2:14" ht="28.5">
      <c r="B132" s="87" t="s">
        <v>435</v>
      </c>
      <c r="C132" s="66"/>
      <c r="D132" s="66"/>
      <c r="E132" s="66"/>
      <c r="F132" s="66"/>
      <c r="G132" s="91"/>
      <c r="H132" s="91"/>
      <c r="I132" s="91"/>
      <c r="J132" s="91"/>
      <c r="K132" s="91"/>
      <c r="L132" s="91"/>
      <c r="M132" s="91"/>
      <c r="N132" s="91"/>
    </row>
    <row r="133" spans="2:14">
      <c r="B133" s="84" t="s">
        <v>436</v>
      </c>
      <c r="C133" s="66">
        <f>+C131-C132</f>
        <v>0</v>
      </c>
      <c r="D133" s="66">
        <f t="shared" ref="D133:N133" si="54">+D131-D132</f>
        <v>4117000</v>
      </c>
      <c r="E133" s="66">
        <f t="shared" si="54"/>
        <v>3447000</v>
      </c>
      <c r="F133" s="66">
        <f t="shared" si="54"/>
        <v>3463000</v>
      </c>
      <c r="G133" s="66">
        <f t="shared" si="54"/>
        <v>6976000</v>
      </c>
      <c r="H133" s="66">
        <f t="shared" si="54"/>
        <v>9127000</v>
      </c>
      <c r="I133" s="66">
        <f t="shared" si="54"/>
        <v>7793000</v>
      </c>
      <c r="J133" s="66">
        <f t="shared" si="54"/>
        <v>0</v>
      </c>
      <c r="K133" s="66">
        <f t="shared" si="54"/>
        <v>0</v>
      </c>
      <c r="L133" s="66">
        <f t="shared" si="54"/>
        <v>0</v>
      </c>
      <c r="M133" s="66">
        <f t="shared" si="54"/>
        <v>0</v>
      </c>
      <c r="N133" s="66">
        <f t="shared" si="54"/>
        <v>0</v>
      </c>
    </row>
    <row r="134" spans="2:14">
      <c r="B134" s="84" t="s">
        <v>366</v>
      </c>
      <c r="C134" s="111"/>
      <c r="D134" s="111">
        <v>9.7000000000000003E-2</v>
      </c>
      <c r="E134" s="111">
        <v>8.1199999999999994E-2</v>
      </c>
      <c r="F134" s="134">
        <v>8.1100000000000005E-2</v>
      </c>
      <c r="G134" s="134">
        <v>0.16339999999999999</v>
      </c>
      <c r="H134" s="134">
        <v>0.21379999999999999</v>
      </c>
      <c r="I134" s="134">
        <v>0.1825</v>
      </c>
      <c r="J134" s="134"/>
      <c r="K134" s="134"/>
      <c r="L134" s="134"/>
      <c r="M134" s="134"/>
      <c r="N134" s="134"/>
    </row>
    <row r="136" spans="2:14" ht="14.65" thickBot="1">
      <c r="B136" s="75" t="s">
        <v>367</v>
      </c>
    </row>
    <row r="137" spans="2:14" ht="14.65" thickBot="1">
      <c r="B137" s="82" t="s">
        <v>308</v>
      </c>
      <c r="C137" s="88">
        <v>2017</v>
      </c>
      <c r="D137" s="88">
        <v>2018</v>
      </c>
      <c r="E137" s="88">
        <v>2019</v>
      </c>
      <c r="F137" s="88">
        <v>2020</v>
      </c>
      <c r="G137" s="88">
        <v>2021</v>
      </c>
      <c r="H137" s="88">
        <v>2022</v>
      </c>
      <c r="I137" s="88">
        <v>2023</v>
      </c>
      <c r="J137" s="88">
        <v>2024</v>
      </c>
      <c r="K137" s="88">
        <v>2025</v>
      </c>
      <c r="L137" s="88">
        <v>2026</v>
      </c>
      <c r="M137" s="88">
        <v>2027</v>
      </c>
      <c r="N137" s="88">
        <v>2028</v>
      </c>
    </row>
    <row r="138" spans="2:14">
      <c r="B138" s="83" t="s">
        <v>368</v>
      </c>
      <c r="C138" s="90"/>
      <c r="D138" s="90">
        <f>7583000-D142</f>
        <v>14160000</v>
      </c>
      <c r="E138" s="90">
        <f>7583000-E142</f>
        <v>13833000</v>
      </c>
      <c r="F138" s="90">
        <v>10098000</v>
      </c>
      <c r="G138" s="90">
        <v>6471000</v>
      </c>
      <c r="H138" s="90">
        <v>24644000</v>
      </c>
      <c r="I138" s="90">
        <v>20288000</v>
      </c>
      <c r="J138" s="90"/>
      <c r="K138" s="90"/>
      <c r="L138" s="90"/>
      <c r="M138" s="90"/>
      <c r="N138" s="90"/>
    </row>
    <row r="139" spans="2:14">
      <c r="B139" s="86" t="s">
        <v>369</v>
      </c>
      <c r="C139" s="91"/>
      <c r="D139" s="91">
        <v>1890000</v>
      </c>
      <c r="E139" s="93">
        <v>3959000</v>
      </c>
      <c r="F139" s="66">
        <v>-1447000</v>
      </c>
      <c r="G139" s="91">
        <v>-6142000</v>
      </c>
      <c r="H139" s="66">
        <v>-14217000</v>
      </c>
      <c r="I139" s="66">
        <v>-22980000</v>
      </c>
      <c r="J139" s="66"/>
      <c r="K139" s="66"/>
      <c r="L139" s="66"/>
      <c r="M139" s="66"/>
      <c r="N139" s="66"/>
    </row>
    <row r="140" spans="2:14">
      <c r="B140" s="85" t="s">
        <v>370</v>
      </c>
      <c r="C140" s="93"/>
      <c r="D140" s="93">
        <v>-660000</v>
      </c>
      <c r="E140" s="93">
        <v>-1867000</v>
      </c>
      <c r="F140" s="66">
        <v>-1447000</v>
      </c>
      <c r="G140" s="91">
        <v>-6142000</v>
      </c>
      <c r="H140" s="93">
        <v>-1421700</v>
      </c>
      <c r="I140" s="93">
        <v>-22980000</v>
      </c>
      <c r="J140" s="93"/>
      <c r="K140" s="93"/>
      <c r="L140" s="93"/>
      <c r="M140" s="93"/>
      <c r="N140" s="93"/>
    </row>
    <row r="141" spans="2:14">
      <c r="B141" s="86" t="s">
        <v>372</v>
      </c>
      <c r="C141" s="120"/>
      <c r="D141" s="120">
        <v>-8601000</v>
      </c>
      <c r="E141" s="64">
        <v>-8542000</v>
      </c>
      <c r="F141" s="120">
        <v>-10237000</v>
      </c>
      <c r="G141" s="114">
        <v>5142000</v>
      </c>
      <c r="H141" s="120">
        <v>-15949000</v>
      </c>
      <c r="I141" s="120">
        <v>534200</v>
      </c>
      <c r="J141" s="120"/>
      <c r="K141" s="120"/>
      <c r="L141" s="120"/>
      <c r="M141" s="120"/>
      <c r="N141" s="120"/>
    </row>
    <row r="142" spans="2:14">
      <c r="B142" s="85" t="s">
        <v>373</v>
      </c>
      <c r="C142" s="366"/>
      <c r="D142" s="366">
        <v>-6577000</v>
      </c>
      <c r="E142" s="66">
        <v>-6250000</v>
      </c>
      <c r="F142" s="93">
        <v>-5502000</v>
      </c>
      <c r="G142" s="93">
        <v>-4505000</v>
      </c>
      <c r="H142" s="93">
        <v>-6976000</v>
      </c>
      <c r="I142" s="93">
        <v>-3000000</v>
      </c>
      <c r="J142" s="93"/>
      <c r="K142" s="93"/>
      <c r="L142" s="93"/>
      <c r="M142" s="93"/>
      <c r="N142" s="93"/>
    </row>
    <row r="143" spans="2:14">
      <c r="B143" s="85" t="s">
        <v>437</v>
      </c>
      <c r="C143" s="366"/>
      <c r="D143" s="366"/>
      <c r="E143" s="160"/>
      <c r="F143" s="366"/>
      <c r="G143" s="93"/>
      <c r="H143" s="93"/>
      <c r="I143" s="93"/>
      <c r="J143" s="93"/>
      <c r="K143" s="93"/>
      <c r="L143" s="93"/>
      <c r="M143" s="93"/>
      <c r="N143" s="93"/>
    </row>
    <row r="144" spans="2:14">
      <c r="B144" s="86" t="s">
        <v>375</v>
      </c>
      <c r="C144" s="64"/>
      <c r="D144" s="64">
        <v>86000</v>
      </c>
      <c r="E144" s="64">
        <v>2921000</v>
      </c>
      <c r="F144" s="64">
        <v>-1485000</v>
      </c>
      <c r="G144" s="64">
        <v>5337000</v>
      </c>
      <c r="H144" s="64">
        <v>-5521000</v>
      </c>
      <c r="I144" s="64">
        <v>2708000</v>
      </c>
      <c r="J144" s="64"/>
      <c r="K144" s="64"/>
      <c r="L144" s="64"/>
      <c r="M144" s="64"/>
      <c r="N144" s="64"/>
    </row>
    <row r="145" spans="2:14">
      <c r="B145" s="85"/>
      <c r="C145" s="66"/>
      <c r="D145" s="66"/>
      <c r="E145" s="66"/>
      <c r="F145" s="66"/>
      <c r="G145" s="66"/>
      <c r="H145" s="66"/>
      <c r="I145" s="66"/>
      <c r="J145" s="66"/>
      <c r="K145" s="66"/>
      <c r="L145" s="66"/>
      <c r="M145" s="66"/>
      <c r="N145" s="66"/>
    </row>
    <row r="146" spans="2:14">
      <c r="B146" s="84" t="s">
        <v>376</v>
      </c>
      <c r="C146" s="131">
        <f t="shared" ref="C146:G146" si="55">+C138+C140+C143</f>
        <v>0</v>
      </c>
      <c r="D146" s="131">
        <f t="shared" si="55"/>
        <v>13500000</v>
      </c>
      <c r="E146" s="131">
        <f t="shared" si="55"/>
        <v>11966000</v>
      </c>
      <c r="F146" s="131">
        <f t="shared" si="55"/>
        <v>8651000</v>
      </c>
      <c r="G146" s="131">
        <f t="shared" si="55"/>
        <v>329000</v>
      </c>
      <c r="H146" s="131">
        <f>+H138+H140+H143</f>
        <v>23222300</v>
      </c>
      <c r="I146" s="131">
        <f>+I138+I140+I143</f>
        <v>-2692000</v>
      </c>
      <c r="J146" s="131"/>
      <c r="K146" s="131"/>
      <c r="L146" s="131"/>
      <c r="M146" s="131"/>
      <c r="N146" s="131"/>
    </row>
  </sheetData>
  <conditionalFormatting sqref="C108:D108 F108">
    <cfRule type="cellIs" dxfId="157" priority="7" operator="lessThan">
      <formula>0</formula>
    </cfRule>
  </conditionalFormatting>
  <conditionalFormatting sqref="C70:F71">
    <cfRule type="cellIs" dxfId="156" priority="12" operator="lessThan">
      <formula>0</formula>
    </cfRule>
  </conditionalFormatting>
  <conditionalFormatting sqref="C109:F109">
    <cfRule type="cellIs" dxfId="155" priority="6" operator="lessThan">
      <formula>0</formula>
    </cfRule>
  </conditionalFormatting>
  <conditionalFormatting sqref="C64:H68">
    <cfRule type="cellIs" dxfId="154" priority="1" operator="lessThan">
      <formula>0</formula>
    </cfRule>
  </conditionalFormatting>
  <conditionalFormatting sqref="C72:H97">
    <cfRule type="cellIs" dxfId="153" priority="10" operator="lessThan">
      <formula>0</formula>
    </cfRule>
  </conditionalFormatting>
  <conditionalFormatting sqref="C99:H104">
    <cfRule type="cellIs" dxfId="152" priority="9" operator="lessThan">
      <formula>0</formula>
    </cfRule>
  </conditionalFormatting>
  <conditionalFormatting sqref="C106:I107">
    <cfRule type="cellIs" dxfId="151" priority="8" operator="lessThan">
      <formula>0</formula>
    </cfRule>
  </conditionalFormatting>
  <conditionalFormatting sqref="C116:N134">
    <cfRule type="cellIs" dxfId="150" priority="4" operator="lessThan">
      <formula>0</formula>
    </cfRule>
  </conditionalFormatting>
  <conditionalFormatting sqref="C138:N146">
    <cfRule type="cellIs" dxfId="149" priority="3" operator="lessThan">
      <formula>0</formula>
    </cfRule>
  </conditionalFormatting>
  <conditionalFormatting sqref="D69:F69">
    <cfRule type="cellIs" dxfId="148" priority="13" operator="lessThan">
      <formula>0</formula>
    </cfRule>
  </conditionalFormatting>
  <conditionalFormatting sqref="G69:H71">
    <cfRule type="cellIs" dxfId="147" priority="11" operator="lessThan">
      <formula>0</formula>
    </cfRule>
  </conditionalFormatting>
  <conditionalFormatting sqref="G108:I109 C110:I112">
    <cfRule type="cellIs" dxfId="146" priority="14" operator="lessThan">
      <formula>0</formula>
    </cfRule>
  </conditionalFormatting>
  <conditionalFormatting sqref="I64:N104">
    <cfRule type="cellIs" dxfId="145" priority="2" operator="lessThan">
      <formula>0</formula>
    </cfRule>
  </conditionalFormatting>
  <conditionalFormatting sqref="J106:N112">
    <cfRule type="cellIs" dxfId="144" priority="5" operator="lessThan">
      <formula>0</formula>
    </cfRule>
  </conditionalFormatting>
  <pageMargins left="0.7" right="0.7" top="0.75" bottom="0.75" header="0.3" footer="0.3"/>
  <pageSetup paperSize="9" orientation="portrait"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973E9-22CC-42F6-8C75-4EEAE9E5BBE5}">
  <dimension ref="B2:R154"/>
  <sheetViews>
    <sheetView zoomScale="80" zoomScaleNormal="80" workbookViewId="0">
      <pane xSplit="3" ySplit="6" topLeftCell="I96" activePane="bottomRight" state="frozen"/>
      <selection pane="bottomRight" activeCell="J26" sqref="J26"/>
      <selection pane="bottomLeft" activeCell="A7" sqref="A7"/>
      <selection pane="topRight" activeCell="C1" sqref="C1"/>
    </sheetView>
  </sheetViews>
  <sheetFormatPr defaultColWidth="10.7109375" defaultRowHeight="14.25"/>
  <cols>
    <col min="1" max="1" width="4.42578125" customWidth="1"/>
    <col min="2" max="2" width="51.7109375" customWidth="1"/>
    <col min="3" max="3" width="33.28515625" customWidth="1"/>
    <col min="4" max="6" width="36.7109375" bestFit="1" customWidth="1"/>
    <col min="7" max="7" width="36.28515625" customWidth="1"/>
    <col min="8" max="8" width="37.42578125" customWidth="1"/>
    <col min="9" max="9" width="36.7109375" bestFit="1" customWidth="1"/>
    <col min="10" max="10" width="37.140625" customWidth="1"/>
    <col min="11" max="14" width="25.42578125" bestFit="1" customWidth="1"/>
  </cols>
  <sheetData>
    <row r="2" spans="2:14" ht="21">
      <c r="B2" s="313">
        <f ca="1">TODAY()-1</f>
        <v>46105</v>
      </c>
      <c r="C2" s="314"/>
      <c r="D2" s="344" t="s">
        <v>518</v>
      </c>
      <c r="E2" s="345" t="s">
        <v>266</v>
      </c>
    </row>
    <row r="3" spans="2:14" ht="25.5">
      <c r="B3" s="376" cm="1">
        <f t="array" aca="1" ref="B3" ca="1">_FV(B6,"Precio")</f>
        <v>519</v>
      </c>
      <c r="C3" s="316"/>
      <c r="D3" s="365">
        <f>AVERAGE(H51:J51)</f>
        <v>38.276433333333337</v>
      </c>
      <c r="E3" s="365">
        <f>AVERAGE(G50:I50)</f>
        <v>28.232766666666667</v>
      </c>
    </row>
    <row r="4" spans="2:14" ht="28.5">
      <c r="B4" s="319"/>
      <c r="C4" s="829"/>
      <c r="D4" s="328"/>
      <c r="E4" s="328"/>
    </row>
    <row r="6" spans="2:14" ht="33.4">
      <c r="B6" s="3" t="e" vm="32">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+C68</f>
        <v>0</v>
      </c>
      <c r="D7" s="5">
        <f t="shared" ref="D7:N7" si="0">+D68</f>
        <v>672467353000</v>
      </c>
      <c r="E7" s="5">
        <f t="shared" si="0"/>
        <v>591085044000</v>
      </c>
      <c r="F7" s="5">
        <f t="shared" si="0"/>
        <v>465808355000</v>
      </c>
      <c r="G7" s="5">
        <f t="shared" si="0"/>
        <v>546172832000</v>
      </c>
      <c r="H7" s="5">
        <f t="shared" si="0"/>
        <v>1700122636000</v>
      </c>
      <c r="I7" s="5">
        <f t="shared" si="0"/>
        <v>1683683256000</v>
      </c>
      <c r="J7" s="5">
        <f t="shared" si="0"/>
        <v>1805201223000</v>
      </c>
      <c r="K7" s="5">
        <f t="shared" si="0"/>
        <v>0</v>
      </c>
      <c r="L7" s="5">
        <f t="shared" si="0"/>
        <v>0</v>
      </c>
      <c r="M7" s="5">
        <f t="shared" si="0"/>
        <v>0</v>
      </c>
      <c r="N7" s="5">
        <f t="shared" si="0"/>
        <v>0</v>
      </c>
    </row>
    <row r="8" spans="2:14" ht="25.5">
      <c r="B8" s="146" t="s">
        <v>377</v>
      </c>
      <c r="C8" s="147">
        <f>+C72</f>
        <v>0</v>
      </c>
      <c r="D8" s="147">
        <f t="shared" ref="D8:N8" si="1">+D72</f>
        <v>239425507000</v>
      </c>
      <c r="E8" s="147">
        <f t="shared" si="1"/>
        <v>209178012000</v>
      </c>
      <c r="F8" s="147">
        <f t="shared" si="1"/>
        <v>258985038000</v>
      </c>
      <c r="G8" s="147">
        <f t="shared" si="1"/>
        <v>286661860000</v>
      </c>
      <c r="H8" s="147">
        <f t="shared" si="1"/>
        <v>876265453000</v>
      </c>
      <c r="I8" s="147">
        <f t="shared" si="1"/>
        <v>867836232000</v>
      </c>
      <c r="J8" s="147">
        <f t="shared" si="1"/>
        <v>766452684000</v>
      </c>
      <c r="K8" s="147">
        <f t="shared" si="1"/>
        <v>0</v>
      </c>
      <c r="L8" s="147">
        <f t="shared" si="1"/>
        <v>0</v>
      </c>
      <c r="M8" s="147">
        <f t="shared" si="1"/>
        <v>0</v>
      </c>
      <c r="N8" s="147">
        <f t="shared" si="1"/>
        <v>0</v>
      </c>
    </row>
    <row r="9" spans="2:14" ht="25.5">
      <c r="B9" s="146" t="s">
        <v>378</v>
      </c>
      <c r="C9" s="147">
        <f>+C74</f>
        <v>0</v>
      </c>
      <c r="D9" s="147">
        <f t="shared" ref="D9:N9" si="2">+D74</f>
        <v>43770781000</v>
      </c>
      <c r="E9" s="147">
        <f t="shared" si="2"/>
        <v>29674090000</v>
      </c>
      <c r="F9" s="147">
        <f t="shared" si="2"/>
        <v>11704254000</v>
      </c>
      <c r="G9" s="147">
        <f t="shared" si="2"/>
        <v>13631041000</v>
      </c>
      <c r="H9" s="147">
        <f t="shared" si="2"/>
        <v>34450129000</v>
      </c>
      <c r="I9" s="147">
        <f t="shared" si="2"/>
        <v>31903884000</v>
      </c>
      <c r="J9" s="147">
        <f t="shared" si="2"/>
        <v>30911542000</v>
      </c>
      <c r="K9" s="147">
        <f t="shared" si="2"/>
        <v>0</v>
      </c>
      <c r="L9" s="147">
        <f t="shared" si="2"/>
        <v>0</v>
      </c>
      <c r="M9" s="147">
        <f t="shared" si="2"/>
        <v>0</v>
      </c>
      <c r="N9" s="147">
        <f t="shared" si="2"/>
        <v>0</v>
      </c>
    </row>
    <row r="10" spans="2:14" ht="25.5">
      <c r="B10" s="4" t="s">
        <v>379</v>
      </c>
      <c r="C10" s="5">
        <f>+C77</f>
        <v>0</v>
      </c>
      <c r="D10" s="5">
        <f t="shared" ref="D10:N10" si="3">+D77</f>
        <v>2996760726000</v>
      </c>
      <c r="E10" s="5">
        <f t="shared" si="3"/>
        <v>2996113733000</v>
      </c>
      <c r="F10" s="5">
        <f t="shared" si="3"/>
        <v>2625152610000</v>
      </c>
      <c r="G10" s="5">
        <f t="shared" si="3"/>
        <v>2755711323000</v>
      </c>
      <c r="H10" s="5">
        <f t="shared" si="3"/>
        <v>2707181982000</v>
      </c>
      <c r="I10" s="5">
        <f t="shared" si="3"/>
        <v>2950604840000</v>
      </c>
      <c r="J10" s="5">
        <f t="shared" si="3"/>
        <v>3002358288000</v>
      </c>
      <c r="K10" s="5">
        <f t="shared" si="3"/>
        <v>0</v>
      </c>
      <c r="L10" s="5">
        <f t="shared" si="3"/>
        <v>0</v>
      </c>
      <c r="M10" s="5">
        <f t="shared" si="3"/>
        <v>0</v>
      </c>
      <c r="N10" s="5">
        <f t="shared" si="3"/>
        <v>0</v>
      </c>
    </row>
    <row r="11" spans="2:14" ht="25.5">
      <c r="B11" s="8" t="s">
        <v>272</v>
      </c>
      <c r="C11" s="9">
        <f>+C10+C7</f>
        <v>0</v>
      </c>
      <c r="D11" s="9">
        <f t="shared" ref="D11:N11" si="4">+D10+D7</f>
        <v>3669228079000</v>
      </c>
      <c r="E11" s="9">
        <f t="shared" si="4"/>
        <v>3587198777000</v>
      </c>
      <c r="F11" s="9">
        <f t="shared" si="4"/>
        <v>3090960965000</v>
      </c>
      <c r="G11" s="9">
        <f t="shared" si="4"/>
        <v>3301884155000</v>
      </c>
      <c r="H11" s="9">
        <f t="shared" si="4"/>
        <v>4407304618000</v>
      </c>
      <c r="I11" s="9">
        <f t="shared" si="4"/>
        <v>4634288096000</v>
      </c>
      <c r="J11" s="9">
        <f t="shared" si="4"/>
        <v>4807559511000</v>
      </c>
      <c r="K11" s="9">
        <f t="shared" si="4"/>
        <v>0</v>
      </c>
      <c r="L11" s="9">
        <f t="shared" si="4"/>
        <v>0</v>
      </c>
      <c r="M11" s="9">
        <f t="shared" si="4"/>
        <v>0</v>
      </c>
      <c r="N11" s="9">
        <f t="shared" si="4"/>
        <v>0</v>
      </c>
    </row>
    <row r="12" spans="2:14" ht="25.5">
      <c r="B12" s="10" t="s">
        <v>273</v>
      </c>
      <c r="C12" s="11">
        <f>+C91</f>
        <v>0</v>
      </c>
      <c r="D12" s="11">
        <f t="shared" ref="D12:N12" si="5">+D91</f>
        <v>593881208000</v>
      </c>
      <c r="E12" s="11">
        <f t="shared" si="5"/>
        <v>488183716000</v>
      </c>
      <c r="F12" s="11">
        <f t="shared" si="5"/>
        <v>347895331000</v>
      </c>
      <c r="G12" s="11">
        <f t="shared" si="5"/>
        <v>508122463000</v>
      </c>
      <c r="H12" s="11">
        <f t="shared" si="5"/>
        <v>1082602387000</v>
      </c>
      <c r="I12" s="11">
        <f t="shared" si="5"/>
        <v>1368122040000</v>
      </c>
      <c r="J12" s="11">
        <f t="shared" si="5"/>
        <v>1182232737000</v>
      </c>
      <c r="K12" s="11">
        <f t="shared" si="5"/>
        <v>0</v>
      </c>
      <c r="L12" s="11">
        <f t="shared" si="5"/>
        <v>0</v>
      </c>
      <c r="M12" s="11">
        <f t="shared" si="5"/>
        <v>0</v>
      </c>
      <c r="N12" s="11">
        <f t="shared" si="5"/>
        <v>0</v>
      </c>
    </row>
    <row r="13" spans="2:14" ht="25.5">
      <c r="B13" s="10" t="s">
        <v>274</v>
      </c>
      <c r="C13" s="11">
        <f>+C101</f>
        <v>0</v>
      </c>
      <c r="D13" s="11">
        <f t="shared" ref="D13:N13" si="6">+D101</f>
        <v>1077855824000</v>
      </c>
      <c r="E13" s="11">
        <f t="shared" si="6"/>
        <v>1125160667000</v>
      </c>
      <c r="F13" s="11">
        <f t="shared" si="6"/>
        <v>1003735347000</v>
      </c>
      <c r="G13" s="11">
        <f t="shared" si="6"/>
        <v>1283153774000</v>
      </c>
      <c r="H13" s="11">
        <f t="shared" si="6"/>
        <v>1240478532000</v>
      </c>
      <c r="I13" s="11">
        <f t="shared" si="6"/>
        <v>910617397000</v>
      </c>
      <c r="J13" s="11">
        <f t="shared" si="6"/>
        <v>888026719000</v>
      </c>
      <c r="K13" s="11">
        <f t="shared" si="6"/>
        <v>0</v>
      </c>
      <c r="L13" s="11">
        <f t="shared" si="6"/>
        <v>0</v>
      </c>
      <c r="M13" s="11">
        <f t="shared" si="6"/>
        <v>0</v>
      </c>
      <c r="N13" s="11">
        <f t="shared" si="6"/>
        <v>0</v>
      </c>
    </row>
    <row r="14" spans="2:14" ht="25.5">
      <c r="B14" s="12" t="s">
        <v>275</v>
      </c>
      <c r="C14" s="13">
        <f>+C12+C13</f>
        <v>0</v>
      </c>
      <c r="D14" s="13">
        <f t="shared" ref="D14:N14" si="7">+D12+D13</f>
        <v>1671737032000</v>
      </c>
      <c r="E14" s="13">
        <f t="shared" si="7"/>
        <v>1613344383000</v>
      </c>
      <c r="F14" s="13">
        <f t="shared" si="7"/>
        <v>1351630678000</v>
      </c>
      <c r="G14" s="13">
        <f t="shared" si="7"/>
        <v>1791276237000</v>
      </c>
      <c r="H14" s="13">
        <f t="shared" si="7"/>
        <v>2323080919000</v>
      </c>
      <c r="I14" s="13">
        <f t="shared" si="7"/>
        <v>2278739437000</v>
      </c>
      <c r="J14" s="13">
        <f t="shared" si="7"/>
        <v>2070259456000</v>
      </c>
      <c r="K14" s="13">
        <f t="shared" si="7"/>
        <v>0</v>
      </c>
      <c r="L14" s="13">
        <f t="shared" si="7"/>
        <v>0</v>
      </c>
      <c r="M14" s="13">
        <f t="shared" si="7"/>
        <v>0</v>
      </c>
      <c r="N14" s="13">
        <f t="shared" si="7"/>
        <v>0</v>
      </c>
    </row>
    <row r="15" spans="2:14" ht="25.5">
      <c r="B15" s="14" t="s">
        <v>276</v>
      </c>
      <c r="C15" s="15">
        <f>+C115</f>
        <v>0</v>
      </c>
      <c r="D15" s="15">
        <f t="shared" ref="D15:N15" si="8">+D115</f>
        <v>1970520585000</v>
      </c>
      <c r="E15" s="15">
        <f t="shared" si="8"/>
        <v>1963775252000</v>
      </c>
      <c r="F15" s="15">
        <f t="shared" si="8"/>
        <v>1729217645000</v>
      </c>
      <c r="G15" s="15">
        <f t="shared" si="8"/>
        <v>1499913352000</v>
      </c>
      <c r="H15" s="15">
        <f t="shared" si="8"/>
        <v>2071384867000</v>
      </c>
      <c r="I15" s="15">
        <f t="shared" si="8"/>
        <v>2343795955000</v>
      </c>
      <c r="J15" s="15">
        <f t="shared" si="8"/>
        <v>2725131954000</v>
      </c>
      <c r="K15" s="15">
        <f t="shared" si="8"/>
        <v>0</v>
      </c>
      <c r="L15" s="15">
        <f t="shared" si="8"/>
        <v>0</v>
      </c>
      <c r="M15" s="15">
        <f t="shared" si="8"/>
        <v>0</v>
      </c>
      <c r="N15" s="15">
        <f t="shared" si="8"/>
        <v>0</v>
      </c>
    </row>
    <row r="16" spans="2:14" ht="25.5">
      <c r="B16" s="79" t="s">
        <v>278</v>
      </c>
      <c r="C16" s="80"/>
      <c r="D16" s="180">
        <v>8201754580</v>
      </c>
      <c r="E16" s="180">
        <v>8201754580</v>
      </c>
      <c r="F16" s="180">
        <v>8201754580</v>
      </c>
      <c r="G16" s="180">
        <v>8201754580</v>
      </c>
      <c r="H16" s="180">
        <v>8201754580</v>
      </c>
      <c r="I16" s="180">
        <v>8201754580</v>
      </c>
      <c r="J16" s="180">
        <v>8201754580</v>
      </c>
      <c r="K16" s="80"/>
      <c r="L16" s="80"/>
      <c r="M16" s="80"/>
      <c r="N16" s="80"/>
    </row>
    <row r="18" spans="2:14" ht="25.5">
      <c r="B18" s="18" t="s">
        <v>279</v>
      </c>
      <c r="C18" s="19" t="e">
        <f t="shared" ref="C18:N18" si="9">(C15/C16)</f>
        <v>#DIV/0!</v>
      </c>
      <c r="D18" s="19">
        <f t="shared" si="9"/>
        <v>240.25598008078902</v>
      </c>
      <c r="E18" s="19">
        <f t="shared" si="9"/>
        <v>239.43355447243826</v>
      </c>
      <c r="F18" s="19">
        <f t="shared" si="9"/>
        <v>210.83508755756992</v>
      </c>
      <c r="G18" s="19">
        <f t="shared" si="9"/>
        <v>182.87713163931321</v>
      </c>
      <c r="H18" s="19">
        <f t="shared" si="9"/>
        <v>252.55387085722822</v>
      </c>
      <c r="I18" s="19">
        <f t="shared" si="9"/>
        <v>285.76762839445996</v>
      </c>
      <c r="J18" s="19">
        <f t="shared" si="9"/>
        <v>332.26206995332944</v>
      </c>
      <c r="K18" s="19" t="e">
        <f t="shared" si="9"/>
        <v>#DIV/0!</v>
      </c>
      <c r="L18" s="19" t="e">
        <f t="shared" si="9"/>
        <v>#DIV/0!</v>
      </c>
      <c r="M18" s="19" t="e">
        <f t="shared" si="9"/>
        <v>#DIV/0!</v>
      </c>
      <c r="N18" s="19" t="e">
        <f t="shared" si="9"/>
        <v>#DIV/0!</v>
      </c>
    </row>
    <row r="19" spans="2:14" ht="25.5">
      <c r="B19" s="76" t="s">
        <v>282</v>
      </c>
      <c r="C19" s="77">
        <v>557</v>
      </c>
      <c r="D19" s="77">
        <v>418.25</v>
      </c>
      <c r="E19" s="77">
        <v>373.5</v>
      </c>
      <c r="F19" s="77">
        <v>267</v>
      </c>
      <c r="G19" s="77">
        <v>148</v>
      </c>
      <c r="H19" s="101">
        <v>188.39</v>
      </c>
      <c r="I19" s="101">
        <v>318</v>
      </c>
      <c r="J19" s="101">
        <v>382.12</v>
      </c>
      <c r="K19" s="101"/>
      <c r="L19" s="101"/>
      <c r="M19" s="101"/>
      <c r="N19" s="78"/>
    </row>
    <row r="20" spans="2:14" ht="25.5">
      <c r="B20" s="18" t="s">
        <v>283</v>
      </c>
      <c r="C20" s="22" t="e">
        <f>+C19/C40</f>
        <v>#DIV/0!</v>
      </c>
      <c r="D20" s="22">
        <f t="shared" ref="D20:N20" si="10">+D19/D40</f>
        <v>11.100053078556263</v>
      </c>
      <c r="E20" s="22">
        <f t="shared" si="10"/>
        <v>15.601503759398495</v>
      </c>
      <c r="F20" s="22">
        <f t="shared" si="10"/>
        <v>-14.119513484928609</v>
      </c>
      <c r="G20" s="22">
        <f t="shared" si="10"/>
        <v>10.466760961810467</v>
      </c>
      <c r="H20" s="22">
        <f t="shared" si="10"/>
        <v>2.5856437002470489</v>
      </c>
      <c r="I20" s="22">
        <f t="shared" si="10"/>
        <v>5.1573143042491081</v>
      </c>
      <c r="J20" s="22">
        <f>+J19/J40</f>
        <v>6.3835616438356162</v>
      </c>
      <c r="K20" s="22" t="e">
        <f t="shared" si="10"/>
        <v>#DIV/0!</v>
      </c>
      <c r="L20" s="22" t="e">
        <f t="shared" si="10"/>
        <v>#DIV/0!</v>
      </c>
      <c r="M20" s="22" t="e">
        <f t="shared" si="10"/>
        <v>#DIV/0!</v>
      </c>
      <c r="N20" s="22" t="e">
        <f t="shared" si="10"/>
        <v>#DIV/0!</v>
      </c>
    </row>
    <row r="21" spans="2:14" ht="25.5">
      <c r="B21" s="18" t="s">
        <v>380</v>
      </c>
      <c r="C21" s="22" t="e">
        <f t="shared" ref="C21:N21" si="11">+C19/C18</f>
        <v>#DIV/0!</v>
      </c>
      <c r="D21" s="22">
        <f t="shared" si="11"/>
        <v>1.7408515694775144</v>
      </c>
      <c r="E21" s="22">
        <f t="shared" si="11"/>
        <v>1.5599317348103539</v>
      </c>
      <c r="F21" s="22">
        <f t="shared" si="11"/>
        <v>1.2663926251226749</v>
      </c>
      <c r="G21" s="22">
        <f t="shared" si="11"/>
        <v>0.80928653393306149</v>
      </c>
      <c r="H21" s="22">
        <f t="shared" si="11"/>
        <v>0.7459398636835749</v>
      </c>
      <c r="I21" s="22">
        <f t="shared" si="11"/>
        <v>1.1127922423776007</v>
      </c>
      <c r="J21" s="22">
        <f t="shared" si="11"/>
        <v>1.1500560387578207</v>
      </c>
      <c r="K21" s="22" t="e">
        <f t="shared" si="11"/>
        <v>#DIV/0!</v>
      </c>
      <c r="L21" s="22" t="e">
        <f t="shared" si="11"/>
        <v>#DIV/0!</v>
      </c>
      <c r="M21" s="22" t="e">
        <f t="shared" si="11"/>
        <v>#DIV/0!</v>
      </c>
      <c r="N21" s="22" t="e">
        <f t="shared" si="11"/>
        <v>#DIV/0!</v>
      </c>
    </row>
    <row r="22" spans="2:14" ht="25.5">
      <c r="B22" s="18" t="s">
        <v>285</v>
      </c>
      <c r="C22" s="22" t="e">
        <f>+C20*C21</f>
        <v>#DIV/0!</v>
      </c>
      <c r="D22" s="22">
        <f t="shared" ref="D22:N22" si="12">+D20*D21</f>
        <v>19.323544823088387</v>
      </c>
      <c r="E22" s="22">
        <f t="shared" si="12"/>
        <v>24.337280825048751</v>
      </c>
      <c r="F22" s="22">
        <f t="shared" si="12"/>
        <v>-17.880847747633748</v>
      </c>
      <c r="G22" s="22">
        <f t="shared" si="12"/>
        <v>8.4706087002894694</v>
      </c>
      <c r="H22" s="22">
        <f t="shared" si="12"/>
        <v>1.9287347092965779</v>
      </c>
      <c r="I22" s="22">
        <f t="shared" si="12"/>
        <v>5.7390193492714401</v>
      </c>
      <c r="J22" s="22">
        <f t="shared" si="12"/>
        <v>7.3414536172759508</v>
      </c>
      <c r="K22" s="22" t="e">
        <f t="shared" si="12"/>
        <v>#DIV/0!</v>
      </c>
      <c r="L22" s="22" t="e">
        <f t="shared" si="12"/>
        <v>#DIV/0!</v>
      </c>
      <c r="M22" s="22" t="e">
        <f t="shared" si="12"/>
        <v>#DIV/0!</v>
      </c>
      <c r="N22" s="22" t="e">
        <f t="shared" si="12"/>
        <v>#DIV/0!</v>
      </c>
    </row>
    <row r="23" spans="2:14" ht="25.5">
      <c r="B23" s="23" t="s">
        <v>286</v>
      </c>
      <c r="C23" s="24" t="e">
        <f>IF(C41&lt;10%,0,IF(15%&lt;C41,2,1))</f>
        <v>#DIV/0!</v>
      </c>
      <c r="D23" s="24">
        <f>IF(D41&lt;10%,0,IF(15%&lt;D41,2,1))</f>
        <v>2</v>
      </c>
      <c r="E23" s="24">
        <f t="shared" ref="E23:N23" si="13">IF(E41&lt;10%,0,IF(15%&lt;E41,2,1))</f>
        <v>0</v>
      </c>
      <c r="F23" s="24">
        <f t="shared" si="13"/>
        <v>0</v>
      </c>
      <c r="G23" s="24">
        <f t="shared" si="13"/>
        <v>0</v>
      </c>
      <c r="H23" s="24">
        <f t="shared" si="13"/>
        <v>2</v>
      </c>
      <c r="I23" s="24">
        <f t="shared" si="13"/>
        <v>2</v>
      </c>
      <c r="J23" s="24">
        <f t="shared" si="13"/>
        <v>2</v>
      </c>
      <c r="K23" s="24" t="e">
        <f t="shared" si="13"/>
        <v>#DIV/0!</v>
      </c>
      <c r="L23" s="24" t="e">
        <f t="shared" si="13"/>
        <v>#DIV/0!</v>
      </c>
      <c r="M23" s="24" t="e">
        <f t="shared" si="13"/>
        <v>#DIV/0!</v>
      </c>
      <c r="N23" s="24" t="e">
        <f t="shared" si="13"/>
        <v>#DIV/0!</v>
      </c>
    </row>
    <row r="24" spans="2:14" ht="25.5">
      <c r="B24" s="23" t="s">
        <v>287</v>
      </c>
      <c r="C24" s="24" t="e">
        <f>IF(C41&lt;10%,1,IF(15%&lt;C41,2.5,2))</f>
        <v>#DIV/0!</v>
      </c>
      <c r="D24" s="24">
        <f t="shared" ref="D24:N24" si="14">IF(D41&lt;10%,1,IF(15%&lt;D41,2.5,2))</f>
        <v>2.5</v>
      </c>
      <c r="E24" s="24">
        <f t="shared" si="14"/>
        <v>1</v>
      </c>
      <c r="F24" s="24">
        <f t="shared" si="14"/>
        <v>1</v>
      </c>
      <c r="G24" s="24">
        <f t="shared" si="14"/>
        <v>1</v>
      </c>
      <c r="H24" s="24">
        <f t="shared" si="14"/>
        <v>2.5</v>
      </c>
      <c r="I24" s="24">
        <f t="shared" si="14"/>
        <v>2.5</v>
      </c>
      <c r="J24" s="24">
        <f>IF(J41&lt;10%,1,IF(15%&lt;J41,2.5,2))</f>
        <v>2.5</v>
      </c>
      <c r="K24" s="24" t="e">
        <f t="shared" si="14"/>
        <v>#DIV/0!</v>
      </c>
      <c r="L24" s="24" t="e">
        <f t="shared" si="14"/>
        <v>#DIV/0!</v>
      </c>
      <c r="M24" s="24" t="e">
        <f t="shared" si="14"/>
        <v>#DIV/0!</v>
      </c>
      <c r="N24" s="24" t="e">
        <f t="shared" si="14"/>
        <v>#DIV/0!</v>
      </c>
    </row>
    <row r="25" spans="2:14" ht="25.5">
      <c r="B25" s="25" t="s">
        <v>288</v>
      </c>
      <c r="C25" s="26" t="e">
        <f t="shared" ref="C25:N25" si="15">+C23*C18</f>
        <v>#DIV/0!</v>
      </c>
      <c r="D25" s="26">
        <f t="shared" si="15"/>
        <v>480.51196016157803</v>
      </c>
      <c r="E25" s="26">
        <f t="shared" si="15"/>
        <v>0</v>
      </c>
      <c r="F25" s="26">
        <f t="shared" si="15"/>
        <v>0</v>
      </c>
      <c r="G25" s="26">
        <f t="shared" si="15"/>
        <v>0</v>
      </c>
      <c r="H25" s="26">
        <f t="shared" si="15"/>
        <v>505.10774171445644</v>
      </c>
      <c r="I25" s="26">
        <f t="shared" si="15"/>
        <v>571.53525678891992</v>
      </c>
      <c r="J25" s="26">
        <f t="shared" si="15"/>
        <v>664.52413990665889</v>
      </c>
      <c r="K25" s="26" t="e">
        <f t="shared" si="15"/>
        <v>#DIV/0!</v>
      </c>
      <c r="L25" s="26" t="e">
        <f t="shared" si="15"/>
        <v>#DIV/0!</v>
      </c>
      <c r="M25" s="26" t="e">
        <f t="shared" si="15"/>
        <v>#DIV/0!</v>
      </c>
      <c r="N25" s="26" t="e">
        <f t="shared" si="15"/>
        <v>#DIV/0!</v>
      </c>
    </row>
    <row r="26" spans="2:14" ht="25.5">
      <c r="B26" s="25" t="s">
        <v>289</v>
      </c>
      <c r="C26" s="26" t="e">
        <f>AVERAGE(C25,C27)</f>
        <v>#DIV/0!</v>
      </c>
      <c r="D26" s="26">
        <f t="shared" ref="D26:N26" si="16">AVERAGE(D25,D27)</f>
        <v>540.57595518177527</v>
      </c>
      <c r="E26" s="26">
        <f t="shared" si="16"/>
        <v>119.71677723621913</v>
      </c>
      <c r="F26" s="26">
        <f t="shared" si="16"/>
        <v>105.41754377878496</v>
      </c>
      <c r="G26" s="26">
        <f t="shared" si="16"/>
        <v>91.438565819656603</v>
      </c>
      <c r="H26" s="26">
        <f t="shared" si="16"/>
        <v>568.24620942876345</v>
      </c>
      <c r="I26" s="26">
        <f t="shared" si="16"/>
        <v>642.97716388753497</v>
      </c>
      <c r="J26" s="26">
        <f t="shared" si="16"/>
        <v>747.58965739499126</v>
      </c>
      <c r="K26" s="26" t="e">
        <f t="shared" si="16"/>
        <v>#DIV/0!</v>
      </c>
      <c r="L26" s="26" t="e">
        <f t="shared" si="16"/>
        <v>#DIV/0!</v>
      </c>
      <c r="M26" s="26" t="e">
        <f t="shared" si="16"/>
        <v>#DIV/0!</v>
      </c>
      <c r="N26" s="26" t="e">
        <f t="shared" si="16"/>
        <v>#DIV/0!</v>
      </c>
    </row>
    <row r="27" spans="2:14" ht="25.5">
      <c r="B27" s="25" t="s">
        <v>290</v>
      </c>
      <c r="C27" s="26" t="e">
        <f t="shared" ref="C27:N27" si="17">+C18*C24</f>
        <v>#DIV/0!</v>
      </c>
      <c r="D27" s="26">
        <f t="shared" si="17"/>
        <v>600.63995020197251</v>
      </c>
      <c r="E27" s="26">
        <f t="shared" si="17"/>
        <v>239.43355447243826</v>
      </c>
      <c r="F27" s="26">
        <f t="shared" si="17"/>
        <v>210.83508755756992</v>
      </c>
      <c r="G27" s="26">
        <f t="shared" si="17"/>
        <v>182.87713163931321</v>
      </c>
      <c r="H27" s="26">
        <f t="shared" si="17"/>
        <v>631.38467714307058</v>
      </c>
      <c r="I27" s="26">
        <f t="shared" si="17"/>
        <v>714.4190709861499</v>
      </c>
      <c r="J27" s="26">
        <f t="shared" si="17"/>
        <v>830.65517488332364</v>
      </c>
      <c r="K27" s="26" t="e">
        <f t="shared" si="17"/>
        <v>#DIV/0!</v>
      </c>
      <c r="L27" s="26" t="e">
        <f t="shared" si="17"/>
        <v>#DIV/0!</v>
      </c>
      <c r="M27" s="26" t="e">
        <f t="shared" si="17"/>
        <v>#DIV/0!</v>
      </c>
      <c r="N27" s="26" t="e">
        <f t="shared" si="17"/>
        <v>#DIV/0!</v>
      </c>
    </row>
    <row r="29" spans="2:14" ht="25.5">
      <c r="B29" s="243" t="s">
        <v>291</v>
      </c>
      <c r="C29" s="81">
        <f t="shared" ref="C29:N29" si="18">C7-C12</f>
        <v>0</v>
      </c>
      <c r="D29" s="81">
        <f t="shared" si="18"/>
        <v>78586145000</v>
      </c>
      <c r="E29" s="81">
        <f t="shared" si="18"/>
        <v>102901328000</v>
      </c>
      <c r="F29" s="81">
        <f t="shared" si="18"/>
        <v>117913024000</v>
      </c>
      <c r="G29" s="81">
        <f t="shared" si="18"/>
        <v>38050369000</v>
      </c>
      <c r="H29" s="81">
        <f t="shared" si="18"/>
        <v>617520249000</v>
      </c>
      <c r="I29" s="81">
        <f t="shared" si="18"/>
        <v>315561216000</v>
      </c>
      <c r="J29" s="81">
        <f t="shared" si="18"/>
        <v>622968486000</v>
      </c>
      <c r="K29" s="81">
        <f t="shared" si="18"/>
        <v>0</v>
      </c>
      <c r="L29" s="81">
        <f t="shared" si="18"/>
        <v>0</v>
      </c>
      <c r="M29" s="81">
        <f t="shared" si="18"/>
        <v>0</v>
      </c>
      <c r="N29" s="81">
        <f t="shared" si="18"/>
        <v>0</v>
      </c>
    </row>
    <row r="30" spans="2:14" ht="25.5">
      <c r="B30" s="30" t="s">
        <v>149</v>
      </c>
      <c r="C30" s="241" t="e">
        <f t="shared" ref="C30:N30" si="19">C7/C12</f>
        <v>#DIV/0!</v>
      </c>
      <c r="D30" s="241">
        <f t="shared" si="19"/>
        <v>1.132326370899414</v>
      </c>
      <c r="E30" s="241">
        <f t="shared" si="19"/>
        <v>1.2107840237751806</v>
      </c>
      <c r="F30" s="241">
        <f t="shared" si="19"/>
        <v>1.3389324704676764</v>
      </c>
      <c r="G30" s="241">
        <f t="shared" si="19"/>
        <v>1.0748842489177652</v>
      </c>
      <c r="H30" s="242">
        <f t="shared" si="19"/>
        <v>1.5704035538949905</v>
      </c>
      <c r="I30" s="242">
        <f t="shared" si="19"/>
        <v>1.2306528268486925</v>
      </c>
      <c r="J30" s="242">
        <f t="shared" si="19"/>
        <v>1.5269423409647978</v>
      </c>
      <c r="K30" s="242" t="e">
        <f t="shared" si="19"/>
        <v>#DIV/0!</v>
      </c>
      <c r="L30" s="242" t="e">
        <f t="shared" si="19"/>
        <v>#DIV/0!</v>
      </c>
      <c r="M30" s="242" t="e">
        <f t="shared" si="19"/>
        <v>#DIV/0!</v>
      </c>
      <c r="N30" s="242" t="e">
        <f t="shared" si="19"/>
        <v>#DIV/0!</v>
      </c>
    </row>
    <row r="31" spans="2:14" ht="25.5">
      <c r="B31" s="30" t="s">
        <v>292</v>
      </c>
      <c r="C31" s="241" t="e">
        <f t="shared" ref="C31:N31" si="20">+(C7-C9)/C12</f>
        <v>#DIV/0!</v>
      </c>
      <c r="D31" s="241">
        <f t="shared" si="20"/>
        <v>1.0586234478057437</v>
      </c>
      <c r="E31" s="241">
        <f t="shared" si="20"/>
        <v>1.1499993457381115</v>
      </c>
      <c r="F31" s="241">
        <f t="shared" si="20"/>
        <v>1.3052894377590827</v>
      </c>
      <c r="G31" s="241">
        <f t="shared" si="20"/>
        <v>1.048057958028122</v>
      </c>
      <c r="H31" s="241">
        <f t="shared" si="20"/>
        <v>1.5385819641648362</v>
      </c>
      <c r="I31" s="241">
        <f t="shared" si="20"/>
        <v>1.20733335455951</v>
      </c>
      <c r="J31" s="241">
        <f t="shared" si="20"/>
        <v>1.5007955925010052</v>
      </c>
      <c r="K31" s="241" t="e">
        <f t="shared" si="20"/>
        <v>#DIV/0!</v>
      </c>
      <c r="L31" s="241" t="e">
        <f t="shared" si="20"/>
        <v>#DIV/0!</v>
      </c>
      <c r="M31" s="241" t="e">
        <f t="shared" si="20"/>
        <v>#DIV/0!</v>
      </c>
      <c r="N31" s="241" t="e">
        <f t="shared" si="20"/>
        <v>#DIV/0!</v>
      </c>
    </row>
    <row r="32" spans="2:14" ht="25.5">
      <c r="B32" s="32" t="s">
        <v>153</v>
      </c>
      <c r="C32" s="33" t="e">
        <f t="shared" ref="C32:N32" si="21">C14/C11</f>
        <v>#DIV/0!</v>
      </c>
      <c r="D32" s="33">
        <f t="shared" si="21"/>
        <v>0.45561000733854901</v>
      </c>
      <c r="E32" s="33">
        <f t="shared" si="21"/>
        <v>0.44975048311910149</v>
      </c>
      <c r="F32" s="33">
        <f t="shared" si="21"/>
        <v>0.43728493931336332</v>
      </c>
      <c r="G32" s="33">
        <f t="shared" si="21"/>
        <v>0.54250123654020199</v>
      </c>
      <c r="H32" s="33">
        <f t="shared" si="21"/>
        <v>0.52709787962289656</v>
      </c>
      <c r="I32" s="33">
        <f t="shared" si="21"/>
        <v>0.49171294269919297</v>
      </c>
      <c r="J32" s="33">
        <f t="shared" si="21"/>
        <v>0.43062586147152532</v>
      </c>
      <c r="K32" s="33" t="e">
        <f t="shared" si="21"/>
        <v>#DIV/0!</v>
      </c>
      <c r="L32" s="33" t="e">
        <f t="shared" si="21"/>
        <v>#DIV/0!</v>
      </c>
      <c r="M32" s="33" t="e">
        <f t="shared" si="21"/>
        <v>#DIV/0!</v>
      </c>
      <c r="N32" s="33" t="e">
        <f t="shared" si="21"/>
        <v>#DIV/0!</v>
      </c>
    </row>
    <row r="35" spans="2:18" ht="25.5">
      <c r="B35" s="35" t="s">
        <v>293</v>
      </c>
      <c r="C35" s="36">
        <f>+C120</f>
        <v>0</v>
      </c>
      <c r="D35" s="36">
        <f t="shared" ref="D35:N35" si="22">+D120</f>
        <v>1481554138000</v>
      </c>
      <c r="E35" s="36">
        <f t="shared" si="22"/>
        <v>1494119513000</v>
      </c>
      <c r="F35" s="36">
        <f t="shared" si="22"/>
        <v>1457275629000</v>
      </c>
      <c r="G35" s="36">
        <f t="shared" si="22"/>
        <v>1882345128000</v>
      </c>
      <c r="H35" s="36">
        <f t="shared" si="22"/>
        <v>3250486303000</v>
      </c>
      <c r="I35" s="36">
        <f t="shared" si="22"/>
        <v>3091191803000</v>
      </c>
      <c r="J35" s="36">
        <f t="shared" si="22"/>
        <v>3012251954000</v>
      </c>
      <c r="K35" s="36">
        <f t="shared" si="22"/>
        <v>0</v>
      </c>
      <c r="L35" s="36">
        <f t="shared" si="22"/>
        <v>0</v>
      </c>
      <c r="M35" s="36">
        <f t="shared" si="22"/>
        <v>0</v>
      </c>
      <c r="N35" s="36">
        <f t="shared" si="22"/>
        <v>0</v>
      </c>
    </row>
    <row r="36" spans="2:18" ht="25.5">
      <c r="B36" s="39" t="s">
        <v>156</v>
      </c>
      <c r="C36" s="40">
        <f>+C130</f>
        <v>0</v>
      </c>
      <c r="D36" s="40">
        <f t="shared" ref="D36:N36" si="23">+D130</f>
        <v>464383396000</v>
      </c>
      <c r="E36" s="40">
        <f t="shared" si="23"/>
        <v>280918860000</v>
      </c>
      <c r="F36" s="40">
        <f>+F130</f>
        <v>-236607867000</v>
      </c>
      <c r="G36" s="40">
        <f t="shared" si="23"/>
        <v>158527503000</v>
      </c>
      <c r="H36" s="40">
        <f t="shared" si="23"/>
        <v>774032534000</v>
      </c>
      <c r="I36" s="40">
        <f t="shared" si="23"/>
        <v>615962079000</v>
      </c>
      <c r="J36" s="40">
        <f t="shared" si="23"/>
        <v>659468037000</v>
      </c>
      <c r="K36" s="40">
        <f t="shared" si="23"/>
        <v>0</v>
      </c>
      <c r="L36" s="40">
        <f t="shared" si="23"/>
        <v>0</v>
      </c>
      <c r="M36" s="40">
        <f t="shared" si="23"/>
        <v>0</v>
      </c>
      <c r="N36" s="40">
        <f t="shared" si="23"/>
        <v>0</v>
      </c>
    </row>
    <row r="37" spans="2:18" ht="25.5">
      <c r="B37" s="35" t="s">
        <v>381</v>
      </c>
      <c r="C37" s="41" t="e">
        <f>C36/C35</f>
        <v>#DIV/0!</v>
      </c>
      <c r="D37" s="41">
        <f t="shared" ref="D37:N37" si="24">D36/D35</f>
        <v>0.31344342004733411</v>
      </c>
      <c r="E37" s="41">
        <f t="shared" si="24"/>
        <v>0.1880163250367777</v>
      </c>
      <c r="F37" s="41">
        <f t="shared" si="24"/>
        <v>-0.16236315374488433</v>
      </c>
      <c r="G37" s="41">
        <f t="shared" si="24"/>
        <v>8.4218085536968537E-2</v>
      </c>
      <c r="H37" s="41">
        <f t="shared" si="24"/>
        <v>0.23812822508607875</v>
      </c>
      <c r="I37" s="41">
        <f t="shared" si="24"/>
        <v>0.19926362330613362</v>
      </c>
      <c r="J37" s="41">
        <f t="shared" si="24"/>
        <v>0.21892857804417246</v>
      </c>
      <c r="K37" s="41" t="e">
        <f t="shared" si="24"/>
        <v>#DIV/0!</v>
      </c>
      <c r="L37" s="41" t="e">
        <f t="shared" si="24"/>
        <v>#DIV/0!</v>
      </c>
      <c r="M37" s="41" t="e">
        <f t="shared" si="24"/>
        <v>#DIV/0!</v>
      </c>
      <c r="N37" s="41" t="e">
        <f t="shared" si="24"/>
        <v>#DIV/0!</v>
      </c>
    </row>
    <row r="38" spans="2:18" ht="25.5">
      <c r="B38" s="43" t="s">
        <v>295</v>
      </c>
      <c r="C38" s="44">
        <f>+C141</f>
        <v>0</v>
      </c>
      <c r="D38" s="44">
        <f t="shared" ref="D38:N38" si="25">+D141</f>
        <v>309029455000</v>
      </c>
      <c r="E38" s="44">
        <f t="shared" si="25"/>
        <v>196343162000</v>
      </c>
      <c r="F38" s="44">
        <f t="shared" si="25"/>
        <v>-155086482000</v>
      </c>
      <c r="G38" s="44">
        <f t="shared" si="25"/>
        <v>115941250000</v>
      </c>
      <c r="H38" s="44">
        <f t="shared" si="25"/>
        <v>597565024000</v>
      </c>
      <c r="I38" s="44">
        <f t="shared" si="25"/>
        <v>505750461000</v>
      </c>
      <c r="J38" s="44">
        <f t="shared" si="25"/>
        <v>490981975000</v>
      </c>
      <c r="K38" s="44">
        <f t="shared" si="25"/>
        <v>0</v>
      </c>
      <c r="L38" s="44">
        <f t="shared" si="25"/>
        <v>0</v>
      </c>
      <c r="M38" s="44">
        <f t="shared" si="25"/>
        <v>0</v>
      </c>
      <c r="N38" s="44">
        <f t="shared" si="25"/>
        <v>0</v>
      </c>
    </row>
    <row r="39" spans="2:18" ht="25.5">
      <c r="B39" s="30" t="s">
        <v>296</v>
      </c>
      <c r="C39" s="45" t="e">
        <f>C38/C35</f>
        <v>#DIV/0!</v>
      </c>
      <c r="D39" s="45">
        <f t="shared" ref="D39:N39" si="26">D38/D35</f>
        <v>0.20858465247660088</v>
      </c>
      <c r="E39" s="45">
        <f t="shared" si="26"/>
        <v>0.13141061360330417</v>
      </c>
      <c r="F39" s="45">
        <f t="shared" si="26"/>
        <v>-0.10642220243978293</v>
      </c>
      <c r="G39" s="45">
        <f t="shared" si="26"/>
        <v>6.1594044723981139E-2</v>
      </c>
      <c r="H39" s="45">
        <f t="shared" si="26"/>
        <v>0.18383865314198802</v>
      </c>
      <c r="I39" s="45">
        <f t="shared" si="26"/>
        <v>0.16361018443086237</v>
      </c>
      <c r="J39" s="45">
        <f t="shared" si="26"/>
        <v>0.16299498929630374</v>
      </c>
      <c r="K39" s="45" t="e">
        <f t="shared" si="26"/>
        <v>#DIV/0!</v>
      </c>
      <c r="L39" s="45" t="e">
        <f t="shared" si="26"/>
        <v>#DIV/0!</v>
      </c>
      <c r="M39" s="45" t="e">
        <f t="shared" si="26"/>
        <v>#DIV/0!</v>
      </c>
      <c r="N39" s="45" t="e">
        <f t="shared" si="26"/>
        <v>#DIV/0!</v>
      </c>
    </row>
    <row r="40" spans="2:18" ht="25.5">
      <c r="B40" s="46" t="s">
        <v>159</v>
      </c>
      <c r="C40" s="121">
        <f>+C142</f>
        <v>0</v>
      </c>
      <c r="D40" s="121">
        <f t="shared" ref="D40:N40" si="27">+D142</f>
        <v>37.68</v>
      </c>
      <c r="E40" s="121">
        <f t="shared" si="27"/>
        <v>23.94</v>
      </c>
      <c r="F40" s="121">
        <f t="shared" si="27"/>
        <v>-18.91</v>
      </c>
      <c r="G40" s="121">
        <f t="shared" si="27"/>
        <v>14.14</v>
      </c>
      <c r="H40" s="121">
        <f t="shared" si="27"/>
        <v>72.86</v>
      </c>
      <c r="I40" s="121">
        <f t="shared" si="27"/>
        <v>61.66</v>
      </c>
      <c r="J40" s="121">
        <f t="shared" si="27"/>
        <v>59.86</v>
      </c>
      <c r="K40" s="121">
        <f t="shared" si="27"/>
        <v>0</v>
      </c>
      <c r="L40" s="121">
        <f t="shared" si="27"/>
        <v>0</v>
      </c>
      <c r="M40" s="121">
        <f t="shared" si="27"/>
        <v>0</v>
      </c>
      <c r="N40" s="121">
        <f t="shared" si="27"/>
        <v>0</v>
      </c>
    </row>
    <row r="41" spans="2:18" ht="25.5">
      <c r="B41" s="48" t="s">
        <v>160</v>
      </c>
      <c r="C41" s="49" t="e">
        <f t="shared" ref="C41:N41" si="28">C38/C15</f>
        <v>#DIV/0!</v>
      </c>
      <c r="D41" s="49">
        <f t="shared" si="28"/>
        <v>0.15682630130961053</v>
      </c>
      <c r="E41" s="49">
        <f t="shared" si="28"/>
        <v>9.9982501459897205E-2</v>
      </c>
      <c r="F41" s="49">
        <f t="shared" si="28"/>
        <v>-8.9685923832913461E-2</v>
      </c>
      <c r="G41" s="49">
        <f t="shared" si="28"/>
        <v>7.7298631847901575E-2</v>
      </c>
      <c r="H41" s="49">
        <f t="shared" si="28"/>
        <v>0.28848575343000227</v>
      </c>
      <c r="I41" s="49">
        <f t="shared" si="28"/>
        <v>0.21578263240922779</v>
      </c>
      <c r="J41" s="49">
        <f t="shared" si="28"/>
        <v>0.18016814718983695</v>
      </c>
      <c r="K41" s="49" t="e">
        <f t="shared" si="28"/>
        <v>#DIV/0!</v>
      </c>
      <c r="L41" s="49" t="e">
        <f t="shared" si="28"/>
        <v>#DIV/0!</v>
      </c>
      <c r="M41" s="49" t="e">
        <f t="shared" si="28"/>
        <v>#DIV/0!</v>
      </c>
      <c r="N41" s="49" t="e">
        <f t="shared" si="28"/>
        <v>#DIV/0!</v>
      </c>
    </row>
    <row r="42" spans="2:18" ht="25.5">
      <c r="B42" s="48" t="s">
        <v>382</v>
      </c>
      <c r="C42" s="49">
        <f>AVERAGE(G41:I41)</f>
        <v>0.19385567256237723</v>
      </c>
      <c r="D42" s="49"/>
      <c r="E42" s="49"/>
      <c r="F42" s="49"/>
      <c r="G42" s="49"/>
      <c r="H42" s="49"/>
      <c r="I42" s="49"/>
      <c r="J42" s="49"/>
      <c r="K42" s="49"/>
      <c r="L42" s="49"/>
      <c r="M42" s="49"/>
      <c r="N42" s="49"/>
    </row>
    <row r="43" spans="2:18" ht="25.5">
      <c r="B43" s="48" t="s">
        <v>298</v>
      </c>
      <c r="C43" s="50">
        <f>+C154</f>
        <v>0</v>
      </c>
      <c r="D43" s="50">
        <f t="shared" ref="D43:N43" si="29">+D154</f>
        <v>195750907000</v>
      </c>
      <c r="E43" s="50">
        <f t="shared" si="29"/>
        <v>323239790000</v>
      </c>
      <c r="F43" s="50">
        <f t="shared" si="29"/>
        <v>163540947000</v>
      </c>
      <c r="G43" s="50">
        <f t="shared" si="29"/>
        <v>29587127000</v>
      </c>
      <c r="H43" s="50">
        <f t="shared" si="29"/>
        <v>185247783000</v>
      </c>
      <c r="I43" s="50">
        <f t="shared" si="29"/>
        <v>404867057000</v>
      </c>
      <c r="J43" s="50">
        <f t="shared" si="29"/>
        <v>948249406000</v>
      </c>
      <c r="K43" s="50">
        <f t="shared" si="29"/>
        <v>0</v>
      </c>
      <c r="L43" s="50">
        <f t="shared" si="29"/>
        <v>0</v>
      </c>
      <c r="M43" s="50">
        <f t="shared" si="29"/>
        <v>0</v>
      </c>
      <c r="N43" s="50">
        <f t="shared" si="29"/>
        <v>0</v>
      </c>
    </row>
    <row r="44" spans="2:18" ht="25.5">
      <c r="B44" s="51" t="s">
        <v>111</v>
      </c>
      <c r="C44" s="51">
        <f>SUM(C46:C49)</f>
        <v>28.808</v>
      </c>
      <c r="D44" s="51">
        <f t="shared" ref="D44:N44" si="30">SUM(D46:D49)</f>
        <v>28.06</v>
      </c>
      <c r="E44" s="51">
        <f t="shared" si="30"/>
        <v>22.608000000000001</v>
      </c>
      <c r="F44" s="51">
        <f t="shared" si="30"/>
        <v>29.042000000000002</v>
      </c>
      <c r="G44" s="51">
        <f>SUM(G46:G49)</f>
        <v>21.6</v>
      </c>
      <c r="H44" s="51">
        <f t="shared" si="30"/>
        <v>4.24</v>
      </c>
      <c r="I44" s="51">
        <f t="shared" si="30"/>
        <v>21.858000000000001</v>
      </c>
      <c r="J44" s="51">
        <f t="shared" si="30"/>
        <v>36.994999999999997</v>
      </c>
      <c r="K44" s="51">
        <f t="shared" si="30"/>
        <v>55.972999999999999</v>
      </c>
      <c r="L44" s="51">
        <f t="shared" si="30"/>
        <v>0</v>
      </c>
      <c r="M44" s="51">
        <f t="shared" si="30"/>
        <v>0</v>
      </c>
      <c r="N44" s="51">
        <f t="shared" si="30"/>
        <v>0</v>
      </c>
      <c r="O44" s="68"/>
      <c r="P44" s="68"/>
      <c r="Q44" s="382"/>
      <c r="R44" s="382"/>
    </row>
    <row r="45" spans="2:18" ht="25.5">
      <c r="B45" s="51" t="s">
        <v>112</v>
      </c>
      <c r="C45" s="51">
        <f>+C46+C47+C48</f>
        <v>28.808</v>
      </c>
      <c r="D45" s="51">
        <f t="shared" ref="D45:N45" si="31">+D46+D47+D48</f>
        <v>28.06</v>
      </c>
      <c r="E45" s="51">
        <f t="shared" si="31"/>
        <v>22.608000000000001</v>
      </c>
      <c r="F45" s="51">
        <f t="shared" si="31"/>
        <v>29.042000000000002</v>
      </c>
      <c r="G45" s="51">
        <f t="shared" si="31"/>
        <v>0</v>
      </c>
      <c r="H45" s="51">
        <f t="shared" si="31"/>
        <v>4.24</v>
      </c>
      <c r="I45" s="51">
        <f t="shared" si="31"/>
        <v>21.858000000000001</v>
      </c>
      <c r="J45" s="51">
        <f t="shared" si="31"/>
        <v>36.994999999999997</v>
      </c>
      <c r="K45" s="51">
        <f t="shared" si="31"/>
        <v>41.905000000000001</v>
      </c>
      <c r="L45" s="51">
        <f t="shared" si="31"/>
        <v>0</v>
      </c>
      <c r="M45" s="51">
        <f t="shared" si="31"/>
        <v>0</v>
      </c>
      <c r="N45" s="51">
        <f t="shared" si="31"/>
        <v>0</v>
      </c>
      <c r="O45" s="68"/>
      <c r="P45" s="68"/>
      <c r="Q45" s="382"/>
      <c r="R45" s="382"/>
    </row>
    <row r="46" spans="2:18" ht="18">
      <c r="B46" s="135" t="s">
        <v>114</v>
      </c>
      <c r="C46" s="94">
        <v>10.037000000000001</v>
      </c>
      <c r="D46" s="94">
        <v>23.125</v>
      </c>
      <c r="E46" s="94">
        <v>11.412000000000001</v>
      </c>
      <c r="F46" s="94">
        <v>12.005000000000001</v>
      </c>
      <c r="G46" s="94">
        <v>0</v>
      </c>
      <c r="H46" s="94">
        <v>3.0609999999999999</v>
      </c>
      <c r="I46" s="94">
        <v>18.952000000000002</v>
      </c>
      <c r="J46" s="94">
        <v>32.119999999999997</v>
      </c>
      <c r="K46" s="94">
        <v>33.878</v>
      </c>
      <c r="L46" s="94">
        <v>0</v>
      </c>
      <c r="M46" s="94"/>
      <c r="N46" s="94"/>
    </row>
    <row r="47" spans="2:18" ht="18">
      <c r="B47" s="135" t="s">
        <v>115</v>
      </c>
      <c r="C47" s="94">
        <v>7.2480000000000002</v>
      </c>
      <c r="D47" s="94">
        <v>4.9349999999999996</v>
      </c>
      <c r="E47" s="94">
        <v>11.196</v>
      </c>
      <c r="F47" s="94">
        <v>2.3580000000000001</v>
      </c>
      <c r="G47" s="94">
        <v>0</v>
      </c>
      <c r="H47" s="94">
        <v>1.179</v>
      </c>
      <c r="I47" s="94">
        <v>2.9060000000000001</v>
      </c>
      <c r="J47" s="94">
        <v>4.875</v>
      </c>
      <c r="K47" s="738">
        <v>8.0269999999999992</v>
      </c>
      <c r="L47" s="94">
        <v>0</v>
      </c>
      <c r="M47" s="94"/>
      <c r="N47" s="94"/>
    </row>
    <row r="48" spans="2:18" ht="18">
      <c r="B48" s="135" t="s">
        <v>116</v>
      </c>
      <c r="C48" s="94">
        <v>11.523</v>
      </c>
      <c r="D48" s="94">
        <v>0</v>
      </c>
      <c r="E48" s="94">
        <v>0</v>
      </c>
      <c r="F48" s="94">
        <v>14.679</v>
      </c>
      <c r="G48" s="94">
        <v>0</v>
      </c>
      <c r="H48" s="94">
        <v>0</v>
      </c>
      <c r="I48" s="94">
        <v>0</v>
      </c>
      <c r="J48" s="94">
        <v>0</v>
      </c>
      <c r="K48" s="94">
        <v>0</v>
      </c>
      <c r="L48" s="94">
        <v>0</v>
      </c>
      <c r="M48" s="94"/>
      <c r="N48" s="94"/>
    </row>
    <row r="49" spans="2:16" ht="18">
      <c r="B49" s="135" t="s">
        <v>117</v>
      </c>
      <c r="C49" s="94"/>
      <c r="D49" s="94"/>
      <c r="E49" s="94"/>
      <c r="F49" s="94">
        <v>0</v>
      </c>
      <c r="G49" s="94">
        <v>21.6</v>
      </c>
      <c r="H49" s="94">
        <v>0</v>
      </c>
      <c r="I49" s="94">
        <v>0</v>
      </c>
      <c r="J49" s="443">
        <v>0</v>
      </c>
      <c r="K49" s="407">
        <v>14.068</v>
      </c>
      <c r="L49" s="94"/>
      <c r="M49" s="94"/>
      <c r="N49" s="94"/>
    </row>
    <row r="50" spans="2:16" ht="25.5">
      <c r="B50" s="51" t="s">
        <v>119</v>
      </c>
      <c r="C50" s="51">
        <f>SUM(C52:C55)</f>
        <v>28.061</v>
      </c>
      <c r="D50" s="51">
        <f t="shared" ref="D50:N50" si="32">SUM(D52:D55)</f>
        <v>22.608000000000001</v>
      </c>
      <c r="E50" s="51">
        <f t="shared" si="32"/>
        <v>29.042000000000002</v>
      </c>
      <c r="F50" s="51">
        <f t="shared" si="32"/>
        <v>21.6</v>
      </c>
      <c r="G50" s="51">
        <f t="shared" si="32"/>
        <v>25.841999999999999</v>
      </c>
      <c r="H50" s="51">
        <f t="shared" si="32"/>
        <v>21.858000000000001</v>
      </c>
      <c r="I50" s="51">
        <f t="shared" si="32"/>
        <v>36.9983</v>
      </c>
      <c r="J50" s="51">
        <f t="shared" si="32"/>
        <v>55.972999999999999</v>
      </c>
      <c r="K50" s="51">
        <f t="shared" si="32"/>
        <v>0</v>
      </c>
      <c r="L50" s="51">
        <f t="shared" si="32"/>
        <v>0</v>
      </c>
      <c r="M50" s="51">
        <f t="shared" si="32"/>
        <v>0</v>
      </c>
      <c r="N50" s="51">
        <f t="shared" si="32"/>
        <v>0</v>
      </c>
    </row>
    <row r="51" spans="2:16" ht="25.5">
      <c r="B51" s="51" t="s">
        <v>120</v>
      </c>
      <c r="C51" s="51">
        <f>+C52+C53+C54</f>
        <v>28.061</v>
      </c>
      <c r="D51" s="51">
        <f t="shared" ref="D51:N51" si="33">+D52+D53+D54</f>
        <v>22.608000000000001</v>
      </c>
      <c r="E51" s="51">
        <f t="shared" si="33"/>
        <v>29.042000000000002</v>
      </c>
      <c r="F51" s="51">
        <f t="shared" si="33"/>
        <v>0</v>
      </c>
      <c r="G51" s="51">
        <f t="shared" si="33"/>
        <v>4.24</v>
      </c>
      <c r="H51" s="51">
        <f t="shared" si="33"/>
        <v>21.858000000000001</v>
      </c>
      <c r="I51" s="51">
        <f t="shared" si="33"/>
        <v>36.9983</v>
      </c>
      <c r="J51" s="51">
        <f t="shared" si="33"/>
        <v>55.972999999999999</v>
      </c>
      <c r="K51" s="51">
        <f t="shared" si="33"/>
        <v>0</v>
      </c>
      <c r="L51" s="51">
        <f t="shared" si="33"/>
        <v>0</v>
      </c>
      <c r="M51" s="51">
        <f t="shared" si="33"/>
        <v>0</v>
      </c>
      <c r="N51" s="51">
        <f t="shared" si="33"/>
        <v>0</v>
      </c>
    </row>
    <row r="52" spans="2:16" ht="18">
      <c r="B52" s="135" t="s">
        <v>121</v>
      </c>
      <c r="C52" s="94">
        <f>10.37+12.755</f>
        <v>23.125</v>
      </c>
      <c r="D52" s="94">
        <v>11.412000000000001</v>
      </c>
      <c r="E52" s="94">
        <v>12.005000000000001</v>
      </c>
      <c r="F52" s="94"/>
      <c r="G52" s="94">
        <v>3.0609999999999999</v>
      </c>
      <c r="H52" s="155">
        <v>18.952000000000002</v>
      </c>
      <c r="I52" s="155">
        <v>32.122999999999998</v>
      </c>
      <c r="J52" s="155">
        <v>33.878</v>
      </c>
      <c r="K52" s="155"/>
      <c r="L52" s="155"/>
      <c r="M52" s="155"/>
      <c r="N52" s="155"/>
    </row>
    <row r="53" spans="2:16" ht="18">
      <c r="B53" s="135" t="s">
        <v>122</v>
      </c>
      <c r="C53" s="94">
        <v>4.9359999999999999</v>
      </c>
      <c r="D53" s="94">
        <v>11.196</v>
      </c>
      <c r="E53" s="94">
        <v>2.3580000000000001</v>
      </c>
      <c r="F53" s="94"/>
      <c r="G53" s="94">
        <v>1.179</v>
      </c>
      <c r="H53" s="155">
        <v>2.9060000000000001</v>
      </c>
      <c r="I53" s="155">
        <v>4.8753000000000002</v>
      </c>
      <c r="J53" s="155">
        <v>8.0269999999999992</v>
      </c>
      <c r="K53" s="155"/>
      <c r="L53" s="155"/>
      <c r="M53" s="155"/>
      <c r="N53" s="155"/>
    </row>
    <row r="54" spans="2:16" ht="18">
      <c r="B54" s="135" t="s">
        <v>123</v>
      </c>
      <c r="C54" s="94"/>
      <c r="D54" s="94"/>
      <c r="E54" s="94">
        <v>14.679</v>
      </c>
      <c r="F54" s="94"/>
      <c r="G54" s="94"/>
      <c r="H54" s="94"/>
      <c r="I54" s="155"/>
      <c r="J54" s="155">
        <v>14.068</v>
      </c>
      <c r="K54" s="155"/>
      <c r="L54" s="155"/>
      <c r="M54" s="155"/>
      <c r="N54" s="155"/>
    </row>
    <row r="55" spans="2:16" ht="18">
      <c r="B55" s="135" t="s">
        <v>124</v>
      </c>
      <c r="C55" s="94"/>
      <c r="D55" s="94"/>
      <c r="E55" s="94"/>
      <c r="F55" s="94">
        <v>21.6</v>
      </c>
      <c r="G55" s="94">
        <v>21.602</v>
      </c>
      <c r="H55" s="94"/>
      <c r="I55" s="94"/>
      <c r="J55" s="94"/>
      <c r="K55" s="94"/>
      <c r="L55" s="94"/>
      <c r="M55" s="94"/>
      <c r="N55" s="94"/>
    </row>
    <row r="56" spans="2:16" ht="25.5">
      <c r="B56" s="541" t="s">
        <v>167</v>
      </c>
      <c r="C56" s="99" t="e">
        <f>(C53+C54+C52)/C40</f>
        <v>#DIV/0!</v>
      </c>
      <c r="D56" s="99" t="e" cm="1">
        <f t="array" aca="1" ref="D56" ca="1">(D53+D54+C19:J19D52)/D40</f>
        <v>#NAME?</v>
      </c>
      <c r="E56" s="99">
        <f t="shared" ref="E56:N56" si="34">(E53+E54+E52)/E40</f>
        <v>1.2131161236424395</v>
      </c>
      <c r="F56" s="99">
        <f t="shared" si="34"/>
        <v>0</v>
      </c>
      <c r="G56" s="99">
        <f t="shared" si="34"/>
        <v>0.29985855728429989</v>
      </c>
      <c r="H56" s="99">
        <f t="shared" si="34"/>
        <v>0.3</v>
      </c>
      <c r="I56" s="99">
        <f t="shared" si="34"/>
        <v>0.60003730132987354</v>
      </c>
      <c r="J56" s="99">
        <f>(J53+J54+J52)/J40</f>
        <v>0.93506515202138318</v>
      </c>
      <c r="K56" s="99" t="e">
        <f t="shared" si="34"/>
        <v>#DIV/0!</v>
      </c>
      <c r="L56" s="99" t="e">
        <f t="shared" si="34"/>
        <v>#DIV/0!</v>
      </c>
      <c r="M56" s="99" t="e">
        <f t="shared" si="34"/>
        <v>#DIV/0!</v>
      </c>
      <c r="N56" s="99" t="e">
        <f t="shared" si="34"/>
        <v>#DIV/0!</v>
      </c>
    </row>
    <row r="57" spans="2:16" ht="28.5">
      <c r="B57" s="540" t="s">
        <v>303</v>
      </c>
      <c r="C57" s="54">
        <f>AVERAGE(G56:I56)</f>
        <v>0.39996528620472444</v>
      </c>
      <c r="D57" s="54"/>
      <c r="E57" s="54"/>
      <c r="F57" s="54"/>
      <c r="G57" s="54"/>
      <c r="H57" s="54"/>
      <c r="I57" s="54"/>
      <c r="J57" s="54"/>
      <c r="K57" s="54"/>
      <c r="L57" s="54"/>
      <c r="M57" s="54"/>
      <c r="N57" s="54"/>
    </row>
    <row r="58" spans="2:16" ht="25.5">
      <c r="B58" s="541" t="s">
        <v>299</v>
      </c>
      <c r="C58" s="99">
        <f>+D45/C19</f>
        <v>5.0377019748653495E-2</v>
      </c>
      <c r="D58" s="99">
        <f>+E45/D19</f>
        <v>5.4053795576808131E-2</v>
      </c>
      <c r="E58" s="99">
        <f>+F45/E19</f>
        <v>7.7756358768406961E-2</v>
      </c>
      <c r="F58" s="99">
        <f>+G45/F19</f>
        <v>0</v>
      </c>
      <c r="G58" s="99">
        <f t="shared" ref="G58:N58" si="35">+H45/G19</f>
        <v>2.8648648648648651E-2</v>
      </c>
      <c r="H58" s="99">
        <f t="shared" si="35"/>
        <v>0.11602526673390308</v>
      </c>
      <c r="I58" s="99">
        <f t="shared" si="35"/>
        <v>0.11633647798742137</v>
      </c>
      <c r="J58" s="99">
        <f t="shared" si="35"/>
        <v>0.1096645032973935</v>
      </c>
      <c r="K58" s="99" t="e">
        <f t="shared" si="35"/>
        <v>#DIV/0!</v>
      </c>
      <c r="L58" s="99" t="e">
        <f t="shared" si="35"/>
        <v>#DIV/0!</v>
      </c>
      <c r="M58" s="99" t="e">
        <f t="shared" si="35"/>
        <v>#DIV/0!</v>
      </c>
      <c r="N58" s="99" t="e">
        <f t="shared" si="35"/>
        <v>#DIV/0!</v>
      </c>
    </row>
    <row r="59" spans="2:16" ht="25.5">
      <c r="B59" s="542" t="s">
        <v>384</v>
      </c>
      <c r="C59" s="534">
        <f>AVERAGE(G58:I58)</f>
        <v>8.70034644566577E-2</v>
      </c>
      <c r="D59" s="534"/>
      <c r="E59" s="534"/>
      <c r="F59" s="534"/>
      <c r="G59" s="534"/>
      <c r="H59" s="534"/>
      <c r="I59" s="534"/>
      <c r="J59" s="534"/>
      <c r="K59" s="534"/>
      <c r="L59" s="534"/>
      <c r="M59" s="534"/>
      <c r="N59" s="534"/>
      <c r="O59" s="534"/>
      <c r="P59" s="534"/>
    </row>
    <row r="60" spans="2:16" ht="25.5">
      <c r="B60" s="543" t="s">
        <v>176</v>
      </c>
      <c r="C60" s="355" t="e">
        <f>+C41*(100%-C56)</f>
        <v>#DIV/0!</v>
      </c>
      <c r="D60" s="355" t="e">
        <f t="shared" ref="D60:I60" ca="1" si="36">+D41*(100%-D56)</f>
        <v>#NAME?</v>
      </c>
      <c r="E60" s="355">
        <f t="shared" si="36"/>
        <v>-2.1307883143207838E-2</v>
      </c>
      <c r="F60" s="549">
        <f t="shared" si="36"/>
        <v>-8.9685923832913461E-2</v>
      </c>
      <c r="G60" s="355">
        <f t="shared" si="36"/>
        <v>5.411997562193957E-2</v>
      </c>
      <c r="H60" s="355">
        <f t="shared" si="36"/>
        <v>0.20194002740100159</v>
      </c>
      <c r="I60" s="355">
        <f t="shared" si="36"/>
        <v>8.6305003984538636E-2</v>
      </c>
      <c r="J60" s="355">
        <f t="shared" ref="J60:N60" si="37">+J41*(100%-J56)</f>
        <v>1.1699191248361121E-2</v>
      </c>
      <c r="K60" s="355" t="e">
        <f t="shared" si="37"/>
        <v>#DIV/0!</v>
      </c>
      <c r="L60" s="355" t="e">
        <f t="shared" si="37"/>
        <v>#DIV/0!</v>
      </c>
      <c r="M60" s="355" t="e">
        <f t="shared" si="37"/>
        <v>#DIV/0!</v>
      </c>
      <c r="N60" s="355" t="e">
        <f t="shared" si="37"/>
        <v>#DIV/0!</v>
      </c>
    </row>
    <row r="61" spans="2:16" ht="25.5">
      <c r="B61" s="542" t="s">
        <v>306</v>
      </c>
      <c r="C61" s="534">
        <f>AVERAGE(G60:I60)</f>
        <v>0.11412166900249328</v>
      </c>
      <c r="D61" s="534"/>
      <c r="E61" s="534"/>
      <c r="F61" s="534"/>
      <c r="G61" s="534"/>
      <c r="H61" s="534"/>
      <c r="I61" s="534"/>
      <c r="J61" s="534"/>
      <c r="K61" s="534"/>
      <c r="L61" s="534"/>
      <c r="M61" s="534"/>
      <c r="N61" s="534"/>
      <c r="O61" s="534"/>
    </row>
    <row r="62" spans="2:16" ht="25.5">
      <c r="B62" s="543" t="s">
        <v>300</v>
      </c>
      <c r="C62" s="725">
        <f ca="1">B3</f>
        <v>519</v>
      </c>
      <c r="D62" s="534"/>
      <c r="E62" s="534"/>
      <c r="F62" s="534"/>
      <c r="G62" s="534"/>
      <c r="H62" s="534"/>
      <c r="I62" s="534"/>
      <c r="J62" s="534"/>
      <c r="K62" s="534"/>
      <c r="L62" s="534"/>
      <c r="M62" s="534"/>
      <c r="N62" s="534"/>
      <c r="O62" s="534"/>
    </row>
    <row r="64" spans="2:16">
      <c r="B64" s="75" t="s">
        <v>307</v>
      </c>
    </row>
    <row r="65" spans="2:14" ht="14.65" thickBot="1"/>
    <row r="66" spans="2:14">
      <c r="B66" s="57" t="s">
        <v>385</v>
      </c>
      <c r="C66" s="158">
        <v>2017</v>
      </c>
      <c r="D66" s="158">
        <v>2018</v>
      </c>
      <c r="E66" s="158">
        <v>2019</v>
      </c>
      <c r="F66" s="158">
        <v>2020</v>
      </c>
      <c r="G66" s="158">
        <v>2021</v>
      </c>
      <c r="H66" s="158">
        <v>2022</v>
      </c>
      <c r="I66" s="158">
        <v>2023</v>
      </c>
      <c r="J66" s="158">
        <v>2024</v>
      </c>
      <c r="K66" s="158">
        <v>2025</v>
      </c>
      <c r="L66" s="158">
        <v>2026</v>
      </c>
      <c r="M66" s="158">
        <v>2027</v>
      </c>
      <c r="N66" s="158">
        <v>2028</v>
      </c>
    </row>
    <row r="67" spans="2:14">
      <c r="B67" s="157" t="s">
        <v>309</v>
      </c>
      <c r="C67" s="66"/>
      <c r="D67" s="66"/>
      <c r="E67" s="66"/>
      <c r="F67" s="66"/>
      <c r="G67" s="66"/>
      <c r="H67" s="66"/>
      <c r="I67" s="66"/>
      <c r="J67" s="66"/>
      <c r="K67" s="66"/>
      <c r="L67" s="66"/>
      <c r="M67" s="66"/>
      <c r="N67" s="66"/>
    </row>
    <row r="68" spans="2:14">
      <c r="B68" s="58" t="s">
        <v>310</v>
      </c>
      <c r="C68" s="64"/>
      <c r="D68" s="64">
        <v>672467353000</v>
      </c>
      <c r="E68" s="64">
        <v>591085044000</v>
      </c>
      <c r="F68" s="159">
        <v>465808355000</v>
      </c>
      <c r="G68" s="64">
        <v>546172832000</v>
      </c>
      <c r="H68" s="141">
        <v>1700122636000</v>
      </c>
      <c r="I68" s="64">
        <v>1683683256000</v>
      </c>
      <c r="J68" s="64">
        <v>1805201223000</v>
      </c>
      <c r="K68" s="64"/>
      <c r="L68" s="64"/>
      <c r="M68" s="64"/>
      <c r="N68" s="64"/>
    </row>
    <row r="69" spans="2:14">
      <c r="B69" s="59" t="s">
        <v>386</v>
      </c>
      <c r="C69" s="66"/>
      <c r="D69" s="66"/>
      <c r="E69" s="66"/>
      <c r="F69" s="66"/>
      <c r="G69" s="66"/>
      <c r="H69" s="160"/>
      <c r="I69" s="66"/>
      <c r="J69" s="66"/>
      <c r="K69" s="66"/>
      <c r="L69" s="66"/>
      <c r="M69" s="66"/>
      <c r="N69" s="66"/>
    </row>
    <row r="70" spans="2:14">
      <c r="B70" s="59" t="s">
        <v>387</v>
      </c>
      <c r="C70" s="66"/>
      <c r="D70" s="66"/>
      <c r="E70" s="66"/>
      <c r="F70" s="66"/>
      <c r="G70" s="66"/>
      <c r="H70" s="160"/>
      <c r="I70" s="66"/>
      <c r="J70" s="66"/>
      <c r="K70" s="66"/>
      <c r="L70" s="66"/>
      <c r="M70" s="66"/>
      <c r="N70" s="66"/>
    </row>
    <row r="71" spans="2:14">
      <c r="B71" s="59" t="s">
        <v>388</v>
      </c>
      <c r="C71" s="66"/>
      <c r="D71" s="66"/>
      <c r="E71" s="66"/>
      <c r="F71" s="66"/>
      <c r="G71" s="66"/>
      <c r="H71" s="160"/>
      <c r="I71" s="66"/>
      <c r="J71" s="66"/>
      <c r="K71" s="66"/>
      <c r="L71" s="66"/>
      <c r="M71" s="66"/>
      <c r="N71" s="66"/>
    </row>
    <row r="72" spans="2:14">
      <c r="B72" s="59" t="s">
        <v>389</v>
      </c>
      <c r="C72" s="66"/>
      <c r="D72" s="66">
        <v>239425507000</v>
      </c>
      <c r="E72" s="66">
        <v>209178012000</v>
      </c>
      <c r="F72" s="66">
        <v>258985038000</v>
      </c>
      <c r="G72" s="66">
        <v>286661860000</v>
      </c>
      <c r="H72" s="160">
        <v>876265453000</v>
      </c>
      <c r="I72" s="66">
        <v>867836232000</v>
      </c>
      <c r="J72" s="66">
        <v>766452684000</v>
      </c>
      <c r="K72" s="66"/>
      <c r="L72" s="66"/>
      <c r="M72" s="66"/>
      <c r="N72" s="66"/>
    </row>
    <row r="73" spans="2:14">
      <c r="B73" s="59" t="s">
        <v>390</v>
      </c>
      <c r="C73" s="66"/>
      <c r="D73" s="66"/>
      <c r="E73" s="66"/>
      <c r="F73" s="66"/>
      <c r="G73" s="66"/>
      <c r="H73" s="160"/>
      <c r="I73" s="66"/>
      <c r="J73" s="66"/>
      <c r="K73" s="66"/>
      <c r="L73" s="66"/>
      <c r="M73" s="66"/>
      <c r="N73" s="66"/>
    </row>
    <row r="74" spans="2:14">
      <c r="B74" s="59" t="s">
        <v>391</v>
      </c>
      <c r="C74" s="161"/>
      <c r="D74" s="66">
        <v>43770781000</v>
      </c>
      <c r="E74" s="66">
        <v>29674090000</v>
      </c>
      <c r="F74" s="66">
        <v>11704254000</v>
      </c>
      <c r="G74" s="66">
        <v>13631041000</v>
      </c>
      <c r="H74" s="160">
        <v>34450129000</v>
      </c>
      <c r="I74" s="66">
        <v>31903884000</v>
      </c>
      <c r="J74" s="66">
        <v>30911542000</v>
      </c>
      <c r="K74" s="66"/>
      <c r="L74" s="66"/>
      <c r="M74" s="66"/>
      <c r="N74" s="66"/>
    </row>
    <row r="75" spans="2:14">
      <c r="B75" s="59" t="s">
        <v>392</v>
      </c>
      <c r="C75" s="66"/>
      <c r="D75" s="66"/>
      <c r="E75" s="66"/>
      <c r="F75" s="66"/>
      <c r="G75" s="66"/>
      <c r="H75" s="160"/>
      <c r="I75" s="66"/>
      <c r="J75" s="66"/>
      <c r="K75" s="66"/>
      <c r="L75" s="66"/>
      <c r="M75" s="66"/>
      <c r="N75" s="66"/>
    </row>
    <row r="76" spans="2:14">
      <c r="B76" s="59" t="s">
        <v>318</v>
      </c>
      <c r="C76" s="66">
        <f t="shared" ref="C76:N76" si="38">+C68-C69-C74-C75-C73-C72-C71-C70</f>
        <v>0</v>
      </c>
      <c r="D76" s="66">
        <f t="shared" si="38"/>
        <v>389271065000</v>
      </c>
      <c r="E76" s="66">
        <f t="shared" si="38"/>
        <v>352232942000</v>
      </c>
      <c r="F76" s="66">
        <f t="shared" si="38"/>
        <v>195119063000</v>
      </c>
      <c r="G76" s="66">
        <f t="shared" si="38"/>
        <v>245879931000</v>
      </c>
      <c r="H76" s="66">
        <f t="shared" si="38"/>
        <v>789407054000</v>
      </c>
      <c r="I76" s="66">
        <f>+I68-I69-I74-I75-I73-I72-I71-I70</f>
        <v>783943140000</v>
      </c>
      <c r="J76" s="66">
        <f>+J68-J69-J74-J75-J73-J72-J71-J70</f>
        <v>1007836997000</v>
      </c>
      <c r="K76" s="66">
        <f t="shared" si="38"/>
        <v>0</v>
      </c>
      <c r="L76" s="66">
        <f t="shared" si="38"/>
        <v>0</v>
      </c>
      <c r="M76" s="66">
        <f t="shared" si="38"/>
        <v>0</v>
      </c>
      <c r="N76" s="66">
        <f t="shared" si="38"/>
        <v>0</v>
      </c>
    </row>
    <row r="77" spans="2:14">
      <c r="B77" s="58" t="s">
        <v>319</v>
      </c>
      <c r="C77" s="64"/>
      <c r="D77" s="64">
        <v>2996760726000</v>
      </c>
      <c r="E77" s="64">
        <v>2996113733000</v>
      </c>
      <c r="F77" s="159">
        <v>2625152610000</v>
      </c>
      <c r="G77" s="64">
        <v>2755711323000</v>
      </c>
      <c r="H77" s="141">
        <v>2707181982000</v>
      </c>
      <c r="I77" s="64">
        <v>2950604840000</v>
      </c>
      <c r="J77" s="64">
        <v>3002358288000</v>
      </c>
      <c r="K77" s="64"/>
      <c r="L77" s="64"/>
      <c r="M77" s="64"/>
      <c r="N77" s="64"/>
    </row>
    <row r="78" spans="2:14">
      <c r="B78" s="59" t="s">
        <v>393</v>
      </c>
      <c r="C78" s="66"/>
      <c r="D78" s="66"/>
      <c r="E78" s="66"/>
      <c r="F78" s="66"/>
      <c r="G78" s="66"/>
      <c r="H78" s="160"/>
      <c r="I78" s="66"/>
      <c r="J78" s="66"/>
      <c r="K78" s="66"/>
      <c r="L78" s="66"/>
      <c r="M78" s="66"/>
      <c r="N78" s="66"/>
    </row>
    <row r="79" spans="2:14">
      <c r="B79" s="59" t="s">
        <v>394</v>
      </c>
      <c r="C79" s="66"/>
      <c r="D79" s="66"/>
      <c r="E79" s="66"/>
      <c r="F79" s="66"/>
      <c r="G79" s="66"/>
      <c r="H79" s="160"/>
      <c r="I79" s="66"/>
      <c r="J79" s="66"/>
      <c r="K79" s="66"/>
      <c r="L79" s="66"/>
      <c r="M79" s="66"/>
      <c r="N79" s="66"/>
    </row>
    <row r="80" spans="2:14">
      <c r="B80" s="59" t="s">
        <v>590</v>
      </c>
      <c r="C80" s="66"/>
      <c r="D80" s="66"/>
      <c r="E80" s="66"/>
      <c r="F80" s="66"/>
      <c r="G80" s="66"/>
      <c r="H80" s="160"/>
      <c r="I80" s="66"/>
      <c r="J80" s="66"/>
      <c r="K80" s="66"/>
      <c r="L80" s="66"/>
      <c r="M80" s="66"/>
      <c r="N80" s="66"/>
    </row>
    <row r="81" spans="2:14">
      <c r="B81" s="59" t="s">
        <v>396</v>
      </c>
      <c r="C81" s="66"/>
      <c r="D81" s="66"/>
      <c r="E81" s="66"/>
      <c r="F81" s="66"/>
      <c r="G81" s="66"/>
      <c r="H81" s="160"/>
      <c r="I81" s="66"/>
      <c r="J81" s="66"/>
      <c r="K81" s="66"/>
      <c r="L81" s="66"/>
      <c r="M81" s="66"/>
      <c r="N81" s="66"/>
    </row>
    <row r="82" spans="2:14">
      <c r="B82" s="59" t="s">
        <v>397</v>
      </c>
      <c r="C82" s="66"/>
      <c r="D82" s="66"/>
      <c r="E82" s="66"/>
      <c r="F82" s="66"/>
      <c r="G82" s="66"/>
      <c r="H82" s="160"/>
      <c r="I82" s="66"/>
      <c r="J82" s="66"/>
      <c r="K82" s="66"/>
      <c r="L82" s="66"/>
      <c r="M82" s="66"/>
      <c r="N82" s="66"/>
    </row>
    <row r="83" spans="2:14">
      <c r="B83" s="59" t="s">
        <v>398</v>
      </c>
      <c r="C83" s="66"/>
      <c r="D83" s="66">
        <v>2919097994000</v>
      </c>
      <c r="E83" s="66">
        <v>2747643715000</v>
      </c>
      <c r="F83" s="66">
        <v>2119688442000</v>
      </c>
      <c r="G83" s="66">
        <v>2237413959000</v>
      </c>
      <c r="H83" s="160">
        <v>2354151947000</v>
      </c>
      <c r="I83" s="66">
        <v>2507226479000</v>
      </c>
      <c r="J83" s="66">
        <v>2703707215000</v>
      </c>
      <c r="K83" s="66"/>
      <c r="L83" s="66"/>
      <c r="M83" s="66"/>
      <c r="N83" s="66"/>
    </row>
    <row r="84" spans="2:14">
      <c r="B84" s="59" t="s">
        <v>399</v>
      </c>
      <c r="C84" s="66"/>
      <c r="D84" s="66"/>
      <c r="E84" s="66"/>
      <c r="F84" s="66"/>
      <c r="G84" s="66"/>
      <c r="H84" s="160"/>
      <c r="I84" s="66"/>
      <c r="J84" s="66"/>
      <c r="K84" s="66"/>
      <c r="L84" s="66"/>
      <c r="M84" s="66"/>
      <c r="N84" s="66"/>
    </row>
    <row r="85" spans="2:14">
      <c r="B85" s="59" t="s">
        <v>400</v>
      </c>
      <c r="C85" s="66"/>
      <c r="D85" s="66"/>
      <c r="E85" s="66"/>
      <c r="F85" s="161"/>
      <c r="G85" s="66"/>
      <c r="H85" s="160"/>
      <c r="I85" s="66"/>
      <c r="J85" s="66"/>
      <c r="K85" s="66"/>
      <c r="L85" s="66"/>
      <c r="M85" s="66"/>
      <c r="N85" s="66"/>
    </row>
    <row r="86" spans="2:14">
      <c r="B86" s="59" t="s">
        <v>401</v>
      </c>
      <c r="C86" s="66"/>
      <c r="D86" s="66"/>
      <c r="E86" s="66"/>
      <c r="F86" s="66"/>
      <c r="G86" s="66"/>
      <c r="H86" s="160"/>
      <c r="I86" s="66"/>
      <c r="J86" s="66"/>
      <c r="K86" s="66"/>
      <c r="L86" s="66"/>
      <c r="M86" s="66"/>
      <c r="N86" s="66"/>
    </row>
    <row r="87" spans="2:14">
      <c r="B87" s="59" t="s">
        <v>328</v>
      </c>
      <c r="C87" s="66">
        <f t="shared" ref="C87:H87" si="39">+C77-C84-C85-C83-C78-C86-C82-C81-C80-C79</f>
        <v>0</v>
      </c>
      <c r="D87" s="66">
        <f t="shared" si="39"/>
        <v>77662732000</v>
      </c>
      <c r="E87" s="66">
        <f t="shared" si="39"/>
        <v>248470018000</v>
      </c>
      <c r="F87" s="66">
        <f t="shared" si="39"/>
        <v>505464168000</v>
      </c>
      <c r="G87" s="66">
        <f t="shared" si="39"/>
        <v>518297364000</v>
      </c>
      <c r="H87" s="66">
        <f t="shared" si="39"/>
        <v>353030035000</v>
      </c>
      <c r="I87" s="66">
        <f>+I77-I84-I85-I83-I78-I86-I82-I81-I80-I79</f>
        <v>443378361000</v>
      </c>
      <c r="J87" s="66">
        <f>+J77-J84-J85-J83-J78-J86-J82-J81-J80-J79</f>
        <v>298651073000</v>
      </c>
      <c r="K87" s="66">
        <f t="shared" ref="K87:N87" si="40">+K77-K84-K85-K83-K78-K86-K82-K81-K80-K79</f>
        <v>0</v>
      </c>
      <c r="L87" s="66">
        <f t="shared" si="40"/>
        <v>0</v>
      </c>
      <c r="M87" s="66">
        <f t="shared" si="40"/>
        <v>0</v>
      </c>
      <c r="N87" s="66">
        <f t="shared" si="40"/>
        <v>0</v>
      </c>
    </row>
    <row r="88" spans="2:14" ht="14.65" thickBot="1">
      <c r="B88" s="60" t="s">
        <v>329</v>
      </c>
      <c r="C88" s="70">
        <f t="shared" ref="C88:H88" si="41">+C77+C68</f>
        <v>0</v>
      </c>
      <c r="D88" s="70">
        <f t="shared" si="41"/>
        <v>3669228079000</v>
      </c>
      <c r="E88" s="70">
        <f t="shared" si="41"/>
        <v>3587198777000</v>
      </c>
      <c r="F88" s="70">
        <f t="shared" si="41"/>
        <v>3090960965000</v>
      </c>
      <c r="G88" s="70">
        <f t="shared" si="41"/>
        <v>3301884155000</v>
      </c>
      <c r="H88" s="162">
        <f t="shared" si="41"/>
        <v>4407304618000</v>
      </c>
      <c r="I88" s="162">
        <f t="shared" ref="I88:N88" si="42">+I77+I68</f>
        <v>4634288096000</v>
      </c>
      <c r="J88" s="162">
        <f t="shared" si="42"/>
        <v>4807559511000</v>
      </c>
      <c r="K88" s="162">
        <f t="shared" si="42"/>
        <v>0</v>
      </c>
      <c r="L88" s="162">
        <f t="shared" si="42"/>
        <v>0</v>
      </c>
      <c r="M88" s="162">
        <f t="shared" si="42"/>
        <v>0</v>
      </c>
      <c r="N88" s="162">
        <f t="shared" si="42"/>
        <v>0</v>
      </c>
    </row>
    <row r="89" spans="2:14" ht="14.65" thickBot="1">
      <c r="B89" s="61"/>
      <c r="C89" s="72"/>
      <c r="D89" s="72"/>
      <c r="E89" s="72"/>
      <c r="F89" s="72"/>
      <c r="G89" s="72"/>
      <c r="H89" s="163"/>
      <c r="I89" s="72"/>
      <c r="J89" s="72"/>
      <c r="K89" s="72"/>
      <c r="L89" s="72"/>
      <c r="M89" s="72"/>
      <c r="N89" s="72"/>
    </row>
    <row r="90" spans="2:14">
      <c r="B90" s="57" t="s">
        <v>330</v>
      </c>
      <c r="C90" s="62"/>
      <c r="D90" s="62"/>
      <c r="E90" s="62"/>
      <c r="F90" s="62"/>
      <c r="G90" s="62"/>
      <c r="H90" s="164"/>
      <c r="I90" s="62"/>
      <c r="J90" s="62"/>
      <c r="K90" s="62"/>
      <c r="L90" s="62"/>
      <c r="M90" s="62"/>
      <c r="N90" s="62"/>
    </row>
    <row r="91" spans="2:14">
      <c r="B91" s="58" t="s">
        <v>310</v>
      </c>
      <c r="C91" s="64"/>
      <c r="D91" s="64">
        <v>593881208000</v>
      </c>
      <c r="E91" s="64">
        <v>488183716000</v>
      </c>
      <c r="F91" s="64">
        <v>347895331000</v>
      </c>
      <c r="G91" s="64">
        <v>508122463000</v>
      </c>
      <c r="H91" s="141">
        <v>1082602387000</v>
      </c>
      <c r="I91" s="64">
        <v>1368122040000</v>
      </c>
      <c r="J91" s="64">
        <v>1182232737000</v>
      </c>
      <c r="K91" s="64"/>
      <c r="L91" s="64"/>
      <c r="M91" s="64"/>
      <c r="N91" s="64"/>
    </row>
    <row r="92" spans="2:14">
      <c r="B92" s="59" t="s">
        <v>402</v>
      </c>
      <c r="C92" s="66"/>
      <c r="D92" s="66"/>
      <c r="E92" s="66"/>
      <c r="F92" s="66"/>
      <c r="G92" s="66"/>
      <c r="H92" s="160"/>
      <c r="I92" s="66"/>
      <c r="J92" s="66"/>
      <c r="K92" s="66"/>
      <c r="L92" s="66"/>
      <c r="M92" s="66"/>
      <c r="N92" s="66"/>
    </row>
    <row r="93" spans="2:14">
      <c r="B93" s="59" t="s">
        <v>403</v>
      </c>
      <c r="C93" s="66"/>
      <c r="D93" s="66"/>
      <c r="E93" s="66"/>
      <c r="F93" s="66"/>
      <c r="G93" s="66"/>
      <c r="H93" s="160"/>
      <c r="I93" s="66"/>
      <c r="J93" s="66"/>
      <c r="K93" s="66"/>
      <c r="L93" s="66"/>
      <c r="M93" s="66"/>
      <c r="N93" s="66"/>
    </row>
    <row r="94" spans="2:14">
      <c r="B94" s="59" t="s">
        <v>404</v>
      </c>
      <c r="C94" s="66"/>
      <c r="D94" s="66"/>
      <c r="E94" s="66"/>
      <c r="F94" s="66"/>
      <c r="G94" s="66"/>
      <c r="H94" s="160"/>
      <c r="I94" s="66"/>
      <c r="J94" s="66"/>
      <c r="K94" s="66"/>
      <c r="L94" s="66"/>
      <c r="M94" s="66"/>
      <c r="N94" s="66"/>
    </row>
    <row r="95" spans="2:14">
      <c r="B95" s="59" t="s">
        <v>405</v>
      </c>
      <c r="C95" s="66"/>
      <c r="D95" s="66">
        <v>275331618000</v>
      </c>
      <c r="E95" s="66">
        <v>227887342000</v>
      </c>
      <c r="F95" s="66">
        <v>153625332000</v>
      </c>
      <c r="G95" s="66">
        <v>270141435000</v>
      </c>
      <c r="H95" s="160">
        <v>622284356000</v>
      </c>
      <c r="I95" s="66">
        <v>554902610000</v>
      </c>
      <c r="J95" s="66">
        <v>711951502000</v>
      </c>
      <c r="K95" s="66"/>
      <c r="L95" s="66"/>
      <c r="M95" s="66"/>
      <c r="N95" s="66"/>
    </row>
    <row r="96" spans="2:14">
      <c r="B96" s="59" t="s">
        <v>406</v>
      </c>
      <c r="C96" s="66"/>
      <c r="D96" s="66"/>
      <c r="E96" s="66"/>
      <c r="F96" s="66"/>
      <c r="G96" s="66"/>
      <c r="H96" s="160"/>
      <c r="I96" s="66"/>
      <c r="J96" s="66"/>
      <c r="K96" s="66"/>
      <c r="L96" s="66"/>
      <c r="M96" s="66"/>
      <c r="N96" s="66"/>
    </row>
    <row r="97" spans="2:14">
      <c r="B97" s="59" t="s">
        <v>407</v>
      </c>
      <c r="C97" s="66"/>
      <c r="D97" s="66"/>
      <c r="E97" s="66"/>
      <c r="F97" s="66"/>
      <c r="G97" s="66"/>
      <c r="H97" s="160"/>
      <c r="I97" s="66"/>
      <c r="J97" s="66"/>
      <c r="K97" s="66"/>
      <c r="L97" s="66"/>
      <c r="M97" s="66"/>
      <c r="N97" s="66"/>
    </row>
    <row r="98" spans="2:14">
      <c r="B98" s="59" t="s">
        <v>408</v>
      </c>
      <c r="C98" s="66"/>
      <c r="D98" s="66"/>
      <c r="E98" s="66"/>
      <c r="F98" s="66"/>
      <c r="G98" s="66"/>
      <c r="H98" s="160"/>
      <c r="I98" s="66"/>
      <c r="J98" s="66"/>
      <c r="K98" s="66"/>
      <c r="L98" s="66"/>
      <c r="M98" s="66"/>
      <c r="N98" s="66"/>
    </row>
    <row r="99" spans="2:14">
      <c r="B99" s="59" t="s">
        <v>409</v>
      </c>
      <c r="C99" s="66"/>
      <c r="D99" s="66"/>
      <c r="E99" s="66"/>
      <c r="F99" s="66"/>
      <c r="G99" s="66"/>
      <c r="H99" s="160"/>
      <c r="I99" s="66"/>
      <c r="J99" s="66"/>
      <c r="K99" s="66"/>
      <c r="L99" s="66"/>
      <c r="M99" s="66"/>
      <c r="N99" s="66"/>
    </row>
    <row r="100" spans="2:14">
      <c r="B100" s="59" t="s">
        <v>410</v>
      </c>
      <c r="C100" s="66">
        <f t="shared" ref="C100:N100" si="43">+C91-C92-C98-C99-C97-C96-C95-C94-C93</f>
        <v>0</v>
      </c>
      <c r="D100" s="66">
        <f t="shared" si="43"/>
        <v>318549590000</v>
      </c>
      <c r="E100" s="66">
        <f t="shared" si="43"/>
        <v>260296374000</v>
      </c>
      <c r="F100" s="66">
        <f t="shared" si="43"/>
        <v>194269999000</v>
      </c>
      <c r="G100" s="66">
        <f t="shared" si="43"/>
        <v>237981028000</v>
      </c>
      <c r="H100" s="66">
        <f t="shared" si="43"/>
        <v>460318031000</v>
      </c>
      <c r="I100" s="66">
        <f>+I91-I92-I98-I99-I97-I96-I95-I94-I93</f>
        <v>813219430000</v>
      </c>
      <c r="J100" s="66">
        <f>+J91-J92-J98-J99-J97-J96-J95-J94-J93</f>
        <v>470281235000</v>
      </c>
      <c r="K100" s="66">
        <f t="shared" si="43"/>
        <v>0</v>
      </c>
      <c r="L100" s="66">
        <f t="shared" si="43"/>
        <v>0</v>
      </c>
      <c r="M100" s="66">
        <f t="shared" si="43"/>
        <v>0</v>
      </c>
      <c r="N100" s="66">
        <f t="shared" si="43"/>
        <v>0</v>
      </c>
    </row>
    <row r="101" spans="2:14">
      <c r="B101" s="58" t="s">
        <v>319</v>
      </c>
      <c r="C101" s="64"/>
      <c r="D101" s="64">
        <v>1077855824000</v>
      </c>
      <c r="E101" s="64">
        <v>1125160667000</v>
      </c>
      <c r="F101" s="64">
        <v>1003735347000</v>
      </c>
      <c r="G101" s="64">
        <v>1283153774000</v>
      </c>
      <c r="H101" s="141">
        <v>1240478532000</v>
      </c>
      <c r="I101" s="64">
        <v>910617397000</v>
      </c>
      <c r="J101" s="64">
        <v>888026719000</v>
      </c>
      <c r="K101" s="64"/>
      <c r="L101" s="64"/>
      <c r="M101" s="64"/>
      <c r="N101" s="64"/>
    </row>
    <row r="102" spans="2:14">
      <c r="B102" s="59" t="s">
        <v>411</v>
      </c>
      <c r="C102" s="66"/>
      <c r="D102" s="66"/>
      <c r="E102" s="66"/>
      <c r="F102" s="66"/>
      <c r="G102" s="66"/>
      <c r="H102" s="160"/>
      <c r="I102" s="66"/>
      <c r="J102" s="66"/>
      <c r="K102" s="66"/>
      <c r="L102" s="66"/>
      <c r="M102" s="66"/>
      <c r="N102" s="66"/>
    </row>
    <row r="103" spans="2:14">
      <c r="B103" s="59" t="s">
        <v>412</v>
      </c>
      <c r="C103" s="66"/>
      <c r="D103" s="66"/>
      <c r="E103" s="66"/>
      <c r="F103" s="66"/>
      <c r="G103" s="66"/>
      <c r="H103" s="160"/>
      <c r="I103" s="66"/>
      <c r="J103" s="66"/>
      <c r="K103" s="66"/>
      <c r="L103" s="66"/>
      <c r="M103" s="66"/>
      <c r="N103" s="66"/>
    </row>
    <row r="104" spans="2:14">
      <c r="B104" s="59" t="s">
        <v>413</v>
      </c>
      <c r="C104" s="66"/>
      <c r="D104" s="66"/>
      <c r="E104" s="66"/>
      <c r="F104" s="66"/>
      <c r="G104" s="66"/>
      <c r="H104" s="160"/>
      <c r="I104" s="66"/>
      <c r="J104" s="66"/>
      <c r="K104" s="66"/>
      <c r="L104" s="66"/>
      <c r="M104" s="66"/>
      <c r="N104" s="66"/>
    </row>
    <row r="105" spans="2:14">
      <c r="B105" s="59" t="s">
        <v>414</v>
      </c>
      <c r="C105" s="66"/>
      <c r="D105" s="66"/>
      <c r="E105" s="66"/>
      <c r="F105" s="66"/>
      <c r="G105" s="66"/>
      <c r="H105" s="160"/>
      <c r="I105" s="66"/>
      <c r="J105" s="66"/>
      <c r="K105" s="66"/>
      <c r="L105" s="66"/>
      <c r="M105" s="66"/>
      <c r="N105" s="66"/>
    </row>
    <row r="106" spans="2:14">
      <c r="B106" s="59" t="s">
        <v>341</v>
      </c>
      <c r="C106" s="66">
        <f t="shared" ref="C106:H106" si="44">+C101-C102-C104-C105-C103</f>
        <v>0</v>
      </c>
      <c r="D106" s="66">
        <f t="shared" si="44"/>
        <v>1077855824000</v>
      </c>
      <c r="E106" s="66">
        <f t="shared" si="44"/>
        <v>1125160667000</v>
      </c>
      <c r="F106" s="66">
        <f t="shared" si="44"/>
        <v>1003735347000</v>
      </c>
      <c r="G106" s="66">
        <f t="shared" si="44"/>
        <v>1283153774000</v>
      </c>
      <c r="H106" s="66">
        <f t="shared" si="44"/>
        <v>1240478532000</v>
      </c>
      <c r="I106" s="66">
        <f t="shared" ref="I106:N106" si="45">+I101-I102-I104-I105-I103</f>
        <v>910617397000</v>
      </c>
      <c r="J106" s="66">
        <f t="shared" si="45"/>
        <v>888026719000</v>
      </c>
      <c r="K106" s="66">
        <f t="shared" si="45"/>
        <v>0</v>
      </c>
      <c r="L106" s="66">
        <f t="shared" si="45"/>
        <v>0</v>
      </c>
      <c r="M106" s="66">
        <f t="shared" si="45"/>
        <v>0</v>
      </c>
      <c r="N106" s="66">
        <f t="shared" si="45"/>
        <v>0</v>
      </c>
    </row>
    <row r="107" spans="2:14" ht="14.65" thickBot="1">
      <c r="B107" s="60" t="s">
        <v>342</v>
      </c>
      <c r="C107" s="70">
        <f t="shared" ref="C107:H107" si="46">+C101+C91</f>
        <v>0</v>
      </c>
      <c r="D107" s="70">
        <f t="shared" si="46"/>
        <v>1671737032000</v>
      </c>
      <c r="E107" s="70">
        <f t="shared" si="46"/>
        <v>1613344383000</v>
      </c>
      <c r="F107" s="70">
        <f t="shared" si="46"/>
        <v>1351630678000</v>
      </c>
      <c r="G107" s="70">
        <f t="shared" si="46"/>
        <v>1791276237000</v>
      </c>
      <c r="H107" s="162">
        <f t="shared" si="46"/>
        <v>2323080919000</v>
      </c>
      <c r="I107" s="162">
        <f t="shared" ref="I107:N107" si="47">+I101+I91</f>
        <v>2278739437000</v>
      </c>
      <c r="J107" s="162">
        <f t="shared" si="47"/>
        <v>2070259456000</v>
      </c>
      <c r="K107" s="162">
        <f t="shared" si="47"/>
        <v>0</v>
      </c>
      <c r="L107" s="162">
        <f t="shared" si="47"/>
        <v>0</v>
      </c>
      <c r="M107" s="162">
        <f t="shared" si="47"/>
        <v>0</v>
      </c>
      <c r="N107" s="162">
        <f t="shared" si="47"/>
        <v>0</v>
      </c>
    </row>
    <row r="108" spans="2:14" ht="14.65" thickBot="1">
      <c r="B108" s="61"/>
      <c r="C108" s="61"/>
      <c r="D108" s="61"/>
      <c r="E108" s="61"/>
      <c r="F108" s="61"/>
      <c r="G108" s="61"/>
      <c r="H108" s="61"/>
      <c r="I108" s="61"/>
      <c r="J108" s="61"/>
      <c r="K108" s="61"/>
      <c r="L108" s="61"/>
      <c r="M108" s="61"/>
      <c r="N108" s="61"/>
    </row>
    <row r="109" spans="2:14">
      <c r="B109" s="57" t="s">
        <v>343</v>
      </c>
      <c r="C109" s="62"/>
      <c r="D109" s="62"/>
      <c r="E109" s="62"/>
      <c r="F109" s="62"/>
      <c r="G109" s="62"/>
      <c r="H109" s="164"/>
      <c r="I109" s="62"/>
      <c r="J109" s="62"/>
      <c r="K109" s="62"/>
      <c r="L109" s="62"/>
      <c r="M109" s="62"/>
      <c r="N109" s="62"/>
    </row>
    <row r="110" spans="2:14">
      <c r="B110" s="59" t="s">
        <v>415</v>
      </c>
      <c r="C110" s="160"/>
      <c r="D110" s="160">
        <v>552777321000</v>
      </c>
      <c r="E110" s="160">
        <v>552777321000</v>
      </c>
      <c r="F110" s="160">
        <v>552777321000</v>
      </c>
      <c r="G110" s="160">
        <v>552777321000</v>
      </c>
      <c r="H110" s="160">
        <v>552777321000</v>
      </c>
      <c r="I110" s="160">
        <v>552777321000</v>
      </c>
      <c r="J110" s="827">
        <v>552777321000</v>
      </c>
      <c r="K110" s="160"/>
      <c r="L110" s="160"/>
      <c r="M110" s="160"/>
      <c r="N110" s="160"/>
    </row>
    <row r="111" spans="2:14">
      <c r="B111" s="59" t="s">
        <v>416</v>
      </c>
      <c r="C111" s="66"/>
      <c r="D111" s="66">
        <v>1509995045000</v>
      </c>
      <c r="E111" s="66">
        <v>1552064328000</v>
      </c>
      <c r="F111" s="66">
        <v>1215503854000</v>
      </c>
      <c r="G111" s="66">
        <v>1121460788000</v>
      </c>
      <c r="H111" s="160">
        <v>1538165061000</v>
      </c>
      <c r="I111" s="66">
        <v>1891844542000</v>
      </c>
      <c r="J111" s="826">
        <v>2084100151000</v>
      </c>
      <c r="K111" s="66"/>
      <c r="L111" s="66"/>
      <c r="M111" s="66"/>
      <c r="N111" s="66"/>
    </row>
    <row r="112" spans="2:14">
      <c r="B112" s="59" t="s">
        <v>417</v>
      </c>
      <c r="C112" s="66"/>
      <c r="D112" s="66">
        <v>85511492000</v>
      </c>
      <c r="E112" s="66">
        <v>85511492000</v>
      </c>
      <c r="F112" s="66">
        <v>85511492000</v>
      </c>
      <c r="G112" s="66">
        <v>85511492000</v>
      </c>
      <c r="H112" s="66">
        <v>85511492000</v>
      </c>
      <c r="I112" s="66">
        <v>85511492000</v>
      </c>
      <c r="J112" s="826">
        <v>85511492000</v>
      </c>
      <c r="K112" s="66"/>
      <c r="L112" s="66"/>
      <c r="M112" s="66"/>
      <c r="N112" s="66"/>
    </row>
    <row r="113" spans="2:14">
      <c r="B113" s="59" t="s">
        <v>345</v>
      </c>
      <c r="C113" s="66"/>
      <c r="D113" s="66">
        <v>-177763273000</v>
      </c>
      <c r="E113" s="66">
        <v>-226577889000</v>
      </c>
      <c r="F113" s="66">
        <v>-124575022000</v>
      </c>
      <c r="G113" s="66">
        <v>-259836249000</v>
      </c>
      <c r="H113" s="160">
        <v>-105069007000</v>
      </c>
      <c r="I113" s="66">
        <v>-186337400000</v>
      </c>
      <c r="J113" s="826">
        <v>2742990000</v>
      </c>
      <c r="K113" s="66"/>
      <c r="L113" s="66"/>
      <c r="M113" s="66"/>
      <c r="N113" s="66"/>
    </row>
    <row r="114" spans="2:14">
      <c r="B114" s="59" t="s">
        <v>419</v>
      </c>
      <c r="C114" s="66"/>
      <c r="D114" s="66">
        <v>26970462000</v>
      </c>
      <c r="E114" s="66">
        <v>10079142000</v>
      </c>
      <c r="F114" s="66">
        <v>10112642000</v>
      </c>
      <c r="G114" s="66">
        <v>10694566000</v>
      </c>
      <c r="H114" s="160">
        <v>12838832000</v>
      </c>
      <c r="I114" s="66">
        <v>11752704000</v>
      </c>
      <c r="J114" s="826">
        <v>12168101000</v>
      </c>
      <c r="K114" s="66"/>
      <c r="L114" s="66"/>
      <c r="M114" s="66"/>
      <c r="N114" s="66"/>
    </row>
    <row r="115" spans="2:14" ht="14.65" thickBot="1">
      <c r="B115" s="60" t="s">
        <v>420</v>
      </c>
      <c r="C115" s="70">
        <f t="shared" ref="C115" si="48">+C110+C113+C111</f>
        <v>0</v>
      </c>
      <c r="D115" s="70">
        <f>+D110+D113+D111+D112</f>
        <v>1970520585000</v>
      </c>
      <c r="E115" s="70">
        <f t="shared" ref="E115:G115" si="49">+E110+E113+E111+E112</f>
        <v>1963775252000</v>
      </c>
      <c r="F115" s="70">
        <f t="shared" si="49"/>
        <v>1729217645000</v>
      </c>
      <c r="G115" s="70">
        <f t="shared" si="49"/>
        <v>1499913352000</v>
      </c>
      <c r="H115" s="70">
        <f>+H110+H113+H111+H112</f>
        <v>2071384867000</v>
      </c>
      <c r="I115" s="70">
        <f t="shared" ref="I115:N115" si="50">+I110+I113+I111+I112</f>
        <v>2343795955000</v>
      </c>
      <c r="J115" s="828">
        <f t="shared" si="50"/>
        <v>2725131954000</v>
      </c>
      <c r="K115" s="70">
        <f t="shared" si="50"/>
        <v>0</v>
      </c>
      <c r="L115" s="70">
        <f t="shared" si="50"/>
        <v>0</v>
      </c>
      <c r="M115" s="70">
        <f t="shared" si="50"/>
        <v>0</v>
      </c>
      <c r="N115" s="70">
        <f t="shared" si="50"/>
        <v>0</v>
      </c>
    </row>
    <row r="116" spans="2:14" ht="14.65" thickBot="1">
      <c r="B116" s="60" t="s">
        <v>347</v>
      </c>
      <c r="C116" s="70">
        <f>+C115+C114</f>
        <v>0</v>
      </c>
      <c r="D116" s="70">
        <f t="shared" ref="D116:N116" si="51">+D115+D114</f>
        <v>1997491047000</v>
      </c>
      <c r="E116" s="70">
        <f t="shared" si="51"/>
        <v>1973854394000</v>
      </c>
      <c r="F116" s="70">
        <f t="shared" si="51"/>
        <v>1739330287000</v>
      </c>
      <c r="G116" s="70">
        <f t="shared" si="51"/>
        <v>1510607918000</v>
      </c>
      <c r="H116" s="70">
        <f t="shared" si="51"/>
        <v>2084223699000</v>
      </c>
      <c r="I116" s="70">
        <f>+I115+I114</f>
        <v>2355548659000</v>
      </c>
      <c r="J116" s="70">
        <f>+J115+J114</f>
        <v>2737300055000</v>
      </c>
      <c r="K116" s="70">
        <f t="shared" si="51"/>
        <v>0</v>
      </c>
      <c r="L116" s="70">
        <f t="shared" si="51"/>
        <v>0</v>
      </c>
      <c r="M116" s="70">
        <f t="shared" si="51"/>
        <v>0</v>
      </c>
      <c r="N116" s="70">
        <f t="shared" si="51"/>
        <v>0</v>
      </c>
    </row>
    <row r="118" spans="2:14" ht="14.65" thickBot="1">
      <c r="B118" s="75" t="s">
        <v>348</v>
      </c>
    </row>
    <row r="119" spans="2:14" ht="14.65" thickBot="1">
      <c r="B119" s="82" t="s">
        <v>308</v>
      </c>
      <c r="C119" s="88">
        <v>2017</v>
      </c>
      <c r="D119" s="88">
        <v>2018</v>
      </c>
      <c r="E119" s="88">
        <v>2019</v>
      </c>
      <c r="F119" s="88">
        <v>2020</v>
      </c>
      <c r="G119" s="88">
        <v>2021</v>
      </c>
      <c r="H119" s="88">
        <v>2022</v>
      </c>
      <c r="I119" s="88"/>
      <c r="J119" s="88">
        <v>2024</v>
      </c>
      <c r="K119" s="88">
        <v>2025</v>
      </c>
      <c r="L119" s="88">
        <v>2026</v>
      </c>
      <c r="M119" s="88">
        <v>2027</v>
      </c>
      <c r="N119" s="88">
        <v>2028</v>
      </c>
    </row>
    <row r="120" spans="2:14">
      <c r="B120" s="83" t="s">
        <v>349</v>
      </c>
      <c r="C120" s="90"/>
      <c r="D120" s="90">
        <v>1481554138000</v>
      </c>
      <c r="E120" s="90">
        <v>1494119513000</v>
      </c>
      <c r="F120" s="90">
        <v>1457275629000</v>
      </c>
      <c r="G120" s="90">
        <v>1882345128000</v>
      </c>
      <c r="H120" s="90">
        <v>3250486303000</v>
      </c>
      <c r="I120" s="90">
        <v>3091191803000</v>
      </c>
      <c r="J120" s="90">
        <v>3012251954000</v>
      </c>
      <c r="K120" s="90"/>
      <c r="L120" s="90"/>
      <c r="M120" s="90"/>
      <c r="N120" s="90"/>
    </row>
    <row r="121" spans="2:14">
      <c r="B121" s="83" t="s">
        <v>739</v>
      </c>
      <c r="C121" s="90"/>
      <c r="D121" s="90">
        <v>39500045000</v>
      </c>
      <c r="E121" s="90">
        <v>144254921000</v>
      </c>
      <c r="F121" s="90">
        <v>32826640000</v>
      </c>
      <c r="G121" s="90">
        <v>17429260000</v>
      </c>
      <c r="H121" s="90">
        <v>568420395000</v>
      </c>
      <c r="I121" s="90">
        <v>107073366000</v>
      </c>
      <c r="J121" s="90">
        <v>67520923000</v>
      </c>
      <c r="K121" s="90"/>
      <c r="L121" s="90"/>
      <c r="M121" s="90"/>
      <c r="N121" s="90"/>
    </row>
    <row r="122" spans="2:14">
      <c r="B122" s="85" t="s">
        <v>534</v>
      </c>
      <c r="C122" s="66"/>
      <c r="D122" s="66">
        <v>-809974152000</v>
      </c>
      <c r="E122" s="66">
        <v>-834936802000</v>
      </c>
      <c r="F122" s="66">
        <v>-811503735000</v>
      </c>
      <c r="G122" s="66">
        <v>-1505110838000</v>
      </c>
      <c r="H122" s="66">
        <v>-2818054885000</v>
      </c>
      <c r="I122" s="66">
        <v>-2390034659000</v>
      </c>
      <c r="J122" s="66">
        <v>-2227757665000</v>
      </c>
      <c r="K122" s="66"/>
      <c r="L122" s="66"/>
      <c r="M122" s="66"/>
      <c r="N122" s="66"/>
    </row>
    <row r="123" spans="2:14">
      <c r="B123" s="86" t="s">
        <v>422</v>
      </c>
      <c r="C123" s="64">
        <f t="shared" ref="C123:G123" si="52">+C120+C122+C121</f>
        <v>0</v>
      </c>
      <c r="D123" s="64">
        <f t="shared" si="52"/>
        <v>711080031000</v>
      </c>
      <c r="E123" s="64">
        <f t="shared" si="52"/>
        <v>803437632000</v>
      </c>
      <c r="F123" s="64">
        <f t="shared" si="52"/>
        <v>678598534000</v>
      </c>
      <c r="G123" s="64">
        <f t="shared" si="52"/>
        <v>394663550000</v>
      </c>
      <c r="H123" s="64">
        <f>+H120+H122+H121</f>
        <v>1000851813000</v>
      </c>
      <c r="I123" s="64">
        <f t="shared" ref="I123:N123" si="53">+I120+I122+I121</f>
        <v>808230510000</v>
      </c>
      <c r="J123" s="64">
        <f t="shared" si="53"/>
        <v>852015212000</v>
      </c>
      <c r="K123" s="64">
        <f t="shared" si="53"/>
        <v>0</v>
      </c>
      <c r="L123" s="64">
        <f t="shared" si="53"/>
        <v>0</v>
      </c>
      <c r="M123" s="64">
        <f t="shared" si="53"/>
        <v>0</v>
      </c>
      <c r="N123" s="64">
        <f t="shared" si="53"/>
        <v>0</v>
      </c>
    </row>
    <row r="124" spans="2:14">
      <c r="B124" s="85" t="s">
        <v>731</v>
      </c>
      <c r="C124" s="64"/>
      <c r="D124" s="64">
        <v>7449013000</v>
      </c>
      <c r="E124" s="64">
        <v>4673011000</v>
      </c>
      <c r="F124" s="117">
        <v>4659355000</v>
      </c>
      <c r="G124" s="117">
        <v>3183119000</v>
      </c>
      <c r="H124" s="117">
        <v>5733646000</v>
      </c>
      <c r="I124" s="117">
        <v>6437159000</v>
      </c>
      <c r="J124" s="117">
        <v>6908750000</v>
      </c>
      <c r="K124" s="117"/>
      <c r="L124" s="117"/>
      <c r="M124" s="117"/>
      <c r="N124" s="117"/>
    </row>
    <row r="125" spans="2:14">
      <c r="B125" s="85" t="s">
        <v>740</v>
      </c>
      <c r="C125" s="64"/>
      <c r="D125" s="117">
        <v>-53800538000</v>
      </c>
      <c r="E125" s="117">
        <v>-49731269000</v>
      </c>
      <c r="F125" s="117">
        <v>-48830243000</v>
      </c>
      <c r="G125" s="117">
        <v>-52345267000</v>
      </c>
      <c r="H125" s="117">
        <v>-48777486000</v>
      </c>
      <c r="I125" s="117">
        <v>-55648182000</v>
      </c>
      <c r="J125" s="117">
        <v>-49589320000</v>
      </c>
      <c r="K125" s="117"/>
      <c r="L125" s="117"/>
      <c r="M125" s="117"/>
      <c r="N125" s="117"/>
    </row>
    <row r="126" spans="2:14">
      <c r="B126" s="85" t="s">
        <v>741</v>
      </c>
      <c r="C126" s="64"/>
      <c r="D126" s="117">
        <v>-117765263000</v>
      </c>
      <c r="E126" s="117">
        <v>-107456139000</v>
      </c>
      <c r="F126" s="117">
        <v>-85968035000</v>
      </c>
      <c r="G126" s="117">
        <v>-72007238000</v>
      </c>
      <c r="H126" s="117">
        <v>-71519569000</v>
      </c>
      <c r="I126" s="117">
        <v>-58264312000</v>
      </c>
      <c r="J126" s="117">
        <v>-63652756000</v>
      </c>
      <c r="K126" s="117"/>
      <c r="L126" s="117"/>
      <c r="M126" s="117"/>
      <c r="N126" s="117"/>
    </row>
    <row r="127" spans="2:14">
      <c r="B127" s="85" t="s">
        <v>742</v>
      </c>
      <c r="C127" s="64"/>
      <c r="D127" s="117">
        <v>0</v>
      </c>
      <c r="E127" s="117">
        <v>-280020263000</v>
      </c>
      <c r="F127" s="117">
        <v>-697856387000</v>
      </c>
      <c r="G127" s="117">
        <v>-28773083000</v>
      </c>
      <c r="H127" s="117">
        <v>-2286438000</v>
      </c>
      <c r="I127" s="117">
        <v>-7023888000</v>
      </c>
      <c r="J127" s="117">
        <v>0</v>
      </c>
      <c r="K127" s="117"/>
      <c r="L127" s="117"/>
      <c r="M127" s="117"/>
      <c r="N127" s="117"/>
    </row>
    <row r="128" spans="2:14">
      <c r="B128" s="85" t="s">
        <v>743</v>
      </c>
      <c r="C128" s="64"/>
      <c r="D128" s="117">
        <v>-100900000</v>
      </c>
      <c r="E128" s="117">
        <v>-1347346000</v>
      </c>
      <c r="F128" s="117">
        <v>-226182000</v>
      </c>
      <c r="G128" s="117">
        <v>-697402000</v>
      </c>
      <c r="H128" s="117">
        <v>-1931631000</v>
      </c>
      <c r="I128" s="117">
        <v>89938000</v>
      </c>
      <c r="J128" s="117">
        <v>-186476000</v>
      </c>
      <c r="K128" s="117"/>
      <c r="L128" s="117"/>
      <c r="M128" s="117"/>
      <c r="N128" s="117"/>
    </row>
    <row r="129" spans="2:14">
      <c r="B129" s="85" t="s">
        <v>734</v>
      </c>
      <c r="C129" s="66"/>
      <c r="D129" s="66">
        <v>-82478947000</v>
      </c>
      <c r="E129" s="66">
        <v>-88636766000</v>
      </c>
      <c r="F129" s="117">
        <v>-86984909000</v>
      </c>
      <c r="G129" s="117">
        <v>-85496176000</v>
      </c>
      <c r="H129" s="117">
        <v>-108037801000</v>
      </c>
      <c r="I129" s="117">
        <v>-77859146000</v>
      </c>
      <c r="J129" s="117">
        <v>-86027373000</v>
      </c>
      <c r="K129" s="117"/>
      <c r="L129" s="117"/>
      <c r="M129" s="117"/>
      <c r="N129" s="117"/>
    </row>
    <row r="130" spans="2:14">
      <c r="B130" s="86" t="s">
        <v>428</v>
      </c>
      <c r="C130" s="64">
        <f t="shared" ref="C130:H130" si="54">+C123+C129+C124+C127+C128+C125+C126</f>
        <v>0</v>
      </c>
      <c r="D130" s="64">
        <f t="shared" si="54"/>
        <v>464383396000</v>
      </c>
      <c r="E130" s="64">
        <f t="shared" si="54"/>
        <v>280918860000</v>
      </c>
      <c r="F130" s="64">
        <f t="shared" si="54"/>
        <v>-236607867000</v>
      </c>
      <c r="G130" s="64">
        <f t="shared" si="54"/>
        <v>158527503000</v>
      </c>
      <c r="H130" s="64">
        <f t="shared" si="54"/>
        <v>774032534000</v>
      </c>
      <c r="I130" s="64">
        <f>+I123+I129+I124+I127+I128+I125+I126</f>
        <v>615962079000</v>
      </c>
      <c r="J130" s="64">
        <f>+J123+J129+J124+J127+J128+J125+J126</f>
        <v>659468037000</v>
      </c>
      <c r="K130" s="64">
        <f t="shared" ref="K130:N130" si="55">+K123+K129+K124+K127+K128+K125+K126</f>
        <v>0</v>
      </c>
      <c r="L130" s="64">
        <f t="shared" si="55"/>
        <v>0</v>
      </c>
      <c r="M130" s="64">
        <f t="shared" si="55"/>
        <v>0</v>
      </c>
      <c r="N130" s="64">
        <f t="shared" si="55"/>
        <v>0</v>
      </c>
    </row>
    <row r="131" spans="2:14">
      <c r="B131" s="85" t="s">
        <v>735</v>
      </c>
      <c r="C131" s="117"/>
      <c r="D131" s="117">
        <v>3434503000</v>
      </c>
      <c r="E131" s="117">
        <v>1681178000</v>
      </c>
      <c r="F131" s="117">
        <v>9478529000</v>
      </c>
      <c r="G131" s="356">
        <v>10167424000</v>
      </c>
      <c r="H131" s="356">
        <v>935428000</v>
      </c>
      <c r="I131" s="356">
        <v>8285111000</v>
      </c>
      <c r="J131" s="356">
        <v>233792000</v>
      </c>
      <c r="K131" s="356"/>
      <c r="L131" s="356"/>
      <c r="M131" s="356"/>
      <c r="N131" s="356"/>
    </row>
    <row r="132" spans="2:14">
      <c r="B132" s="85" t="s">
        <v>429</v>
      </c>
      <c r="C132" s="66"/>
      <c r="D132" s="66">
        <v>5778242000</v>
      </c>
      <c r="E132" s="66">
        <v>9420340000</v>
      </c>
      <c r="F132" s="66">
        <v>12075592000</v>
      </c>
      <c r="G132" s="131">
        <v>7632326000</v>
      </c>
      <c r="H132" s="131">
        <v>10012149000</v>
      </c>
      <c r="I132" s="131">
        <v>81401384000</v>
      </c>
      <c r="J132" s="131">
        <v>37203121000</v>
      </c>
      <c r="K132" s="131"/>
      <c r="L132" s="131"/>
      <c r="M132" s="131"/>
      <c r="N132" s="131"/>
    </row>
    <row r="133" spans="2:14">
      <c r="B133" s="85" t="s">
        <v>430</v>
      </c>
      <c r="C133" s="66"/>
      <c r="D133" s="66">
        <v>-48189495000</v>
      </c>
      <c r="E133" s="66">
        <v>-65711082000</v>
      </c>
      <c r="F133" s="66">
        <v>-28328656000</v>
      </c>
      <c r="G133" s="131">
        <v>-68652677000</v>
      </c>
      <c r="H133" s="131">
        <v>-70396983000</v>
      </c>
      <c r="I133" s="131">
        <v>-59356347000</v>
      </c>
      <c r="J133" s="131">
        <v>-39257757000</v>
      </c>
      <c r="K133" s="131"/>
      <c r="L133" s="131"/>
      <c r="M133" s="131"/>
      <c r="N133" s="131"/>
    </row>
    <row r="134" spans="2:14">
      <c r="B134" s="85" t="s">
        <v>431</v>
      </c>
      <c r="C134" s="66"/>
      <c r="D134" s="66">
        <v>3281453000</v>
      </c>
      <c r="E134" s="66">
        <v>545640000</v>
      </c>
      <c r="F134" s="66">
        <v>2494610000</v>
      </c>
      <c r="G134" s="131">
        <v>3220156000</v>
      </c>
      <c r="H134" s="131">
        <v>6824191000</v>
      </c>
      <c r="I134" s="131">
        <v>6748398000</v>
      </c>
      <c r="J134" s="131">
        <v>9135783000</v>
      </c>
      <c r="K134" s="131"/>
      <c r="L134" s="131"/>
      <c r="M134" s="131"/>
      <c r="N134" s="131"/>
    </row>
    <row r="135" spans="2:14">
      <c r="B135" s="85" t="s">
        <v>432</v>
      </c>
      <c r="C135" s="66"/>
      <c r="D135" s="66">
        <v>-3055807000</v>
      </c>
      <c r="E135" s="66">
        <v>3085739000</v>
      </c>
      <c r="F135" s="66">
        <v>-29525399000</v>
      </c>
      <c r="G135" s="131">
        <v>15190050000</v>
      </c>
      <c r="H135" s="131">
        <v>32944102000</v>
      </c>
      <c r="I135" s="131">
        <v>9130116000</v>
      </c>
      <c r="J135" s="131">
        <v>-37980217000</v>
      </c>
      <c r="K135" s="131"/>
      <c r="L135" s="131"/>
      <c r="M135" s="131"/>
      <c r="N135" s="131"/>
    </row>
    <row r="136" spans="2:14">
      <c r="B136" s="85" t="s">
        <v>433</v>
      </c>
      <c r="C136" s="66"/>
      <c r="D136" s="66">
        <v>-2480291000</v>
      </c>
      <c r="E136" s="66">
        <v>-5157076000</v>
      </c>
      <c r="F136" s="66">
        <v>-703130000</v>
      </c>
      <c r="G136" s="131">
        <v>3385938000</v>
      </c>
      <c r="H136" s="131">
        <v>-3331410000</v>
      </c>
      <c r="I136" s="131">
        <v>19385143000</v>
      </c>
      <c r="J136" s="131">
        <v>15912105000</v>
      </c>
      <c r="K136" s="131"/>
      <c r="L136" s="131"/>
      <c r="M136" s="131"/>
      <c r="N136" s="131"/>
    </row>
    <row r="137" spans="2:14">
      <c r="B137" s="86" t="s">
        <v>362</v>
      </c>
      <c r="C137" s="64">
        <f t="shared" ref="C137:H137" si="56">+C130+C132+C133+C134+C135+C136+C131</f>
        <v>0</v>
      </c>
      <c r="D137" s="64">
        <f t="shared" si="56"/>
        <v>423152001000</v>
      </c>
      <c r="E137" s="64">
        <f t="shared" si="56"/>
        <v>224783599000</v>
      </c>
      <c r="F137" s="64">
        <f t="shared" si="56"/>
        <v>-271116321000</v>
      </c>
      <c r="G137" s="64">
        <f t="shared" si="56"/>
        <v>129470720000</v>
      </c>
      <c r="H137" s="64">
        <f t="shared" si="56"/>
        <v>751020011000</v>
      </c>
      <c r="I137" s="64">
        <f>+I130+I132+I133+I134+I135+I136+I131</f>
        <v>681555884000</v>
      </c>
      <c r="J137" s="64">
        <f t="shared" ref="J137:N137" si="57">+J130+J132+J133+J134+J135+J136+J131</f>
        <v>644714864000</v>
      </c>
      <c r="K137" s="64">
        <f t="shared" si="57"/>
        <v>0</v>
      </c>
      <c r="L137" s="64">
        <f t="shared" si="57"/>
        <v>0</v>
      </c>
      <c r="M137" s="64">
        <f t="shared" si="57"/>
        <v>0</v>
      </c>
      <c r="N137" s="64">
        <f t="shared" si="57"/>
        <v>0</v>
      </c>
    </row>
    <row r="138" spans="2:14">
      <c r="B138" s="85" t="s">
        <v>363</v>
      </c>
      <c r="C138" s="66"/>
      <c r="D138" s="66">
        <v>-104946765000</v>
      </c>
      <c r="E138" s="66">
        <v>-23457536000</v>
      </c>
      <c r="F138" s="66">
        <v>122433670000</v>
      </c>
      <c r="G138" s="91">
        <v>-5812252000</v>
      </c>
      <c r="H138" s="91">
        <v>-139713233000</v>
      </c>
      <c r="I138" s="91">
        <v>-164949629000</v>
      </c>
      <c r="J138" s="91">
        <v>-141836531000</v>
      </c>
      <c r="K138" s="91"/>
      <c r="L138" s="91"/>
      <c r="M138" s="91"/>
      <c r="N138" s="91"/>
    </row>
    <row r="139" spans="2:14">
      <c r="B139" s="84" t="s">
        <v>365</v>
      </c>
      <c r="C139" s="130">
        <f t="shared" ref="C139:G139" si="58">+C137+C138</f>
        <v>0</v>
      </c>
      <c r="D139" s="130">
        <f t="shared" si="58"/>
        <v>318205236000</v>
      </c>
      <c r="E139" s="130">
        <f t="shared" si="58"/>
        <v>201326063000</v>
      </c>
      <c r="F139" s="130">
        <f t="shared" si="58"/>
        <v>-148682651000</v>
      </c>
      <c r="G139" s="130">
        <f t="shared" si="58"/>
        <v>123658468000</v>
      </c>
      <c r="H139" s="130">
        <f>+H137+H138</f>
        <v>611306778000</v>
      </c>
      <c r="I139" s="130">
        <f t="shared" ref="I139:N139" si="59">+I137+I138</f>
        <v>516606255000</v>
      </c>
      <c r="J139" s="130">
        <f t="shared" si="59"/>
        <v>502878333000</v>
      </c>
      <c r="K139" s="130">
        <f t="shared" si="59"/>
        <v>0</v>
      </c>
      <c r="L139" s="130">
        <f t="shared" si="59"/>
        <v>0</v>
      </c>
      <c r="M139" s="130">
        <f t="shared" si="59"/>
        <v>0</v>
      </c>
      <c r="N139" s="130">
        <f t="shared" si="59"/>
        <v>0</v>
      </c>
    </row>
    <row r="140" spans="2:14" ht="28.5">
      <c r="B140" s="87" t="s">
        <v>435</v>
      </c>
      <c r="C140" s="66"/>
      <c r="D140" s="66">
        <v>9175781000</v>
      </c>
      <c r="E140" s="66">
        <v>4982901000</v>
      </c>
      <c r="F140" s="66">
        <v>6403831000</v>
      </c>
      <c r="G140" s="91">
        <v>7717218000</v>
      </c>
      <c r="H140" s="91">
        <v>13741754000</v>
      </c>
      <c r="I140" s="91">
        <v>10855794000</v>
      </c>
      <c r="J140" s="91">
        <v>11896358000</v>
      </c>
      <c r="K140" s="91"/>
      <c r="L140" s="91"/>
      <c r="M140" s="91"/>
      <c r="N140" s="91"/>
    </row>
    <row r="141" spans="2:14">
      <c r="B141" s="84" t="s">
        <v>436</v>
      </c>
      <c r="C141" s="66">
        <f>+C139-C140</f>
        <v>0</v>
      </c>
      <c r="D141" s="66">
        <f t="shared" ref="D141:H141" si="60">+D139-D140</f>
        <v>309029455000</v>
      </c>
      <c r="E141" s="66">
        <f t="shared" si="60"/>
        <v>196343162000</v>
      </c>
      <c r="F141" s="66">
        <f t="shared" si="60"/>
        <v>-155086482000</v>
      </c>
      <c r="G141" s="66">
        <f t="shared" si="60"/>
        <v>115941250000</v>
      </c>
      <c r="H141" s="66">
        <f t="shared" si="60"/>
        <v>597565024000</v>
      </c>
      <c r="I141" s="66">
        <f t="shared" ref="I141:N141" si="61">+I139-I140</f>
        <v>505750461000</v>
      </c>
      <c r="J141" s="66">
        <f t="shared" si="61"/>
        <v>490981975000</v>
      </c>
      <c r="K141" s="66">
        <f t="shared" si="61"/>
        <v>0</v>
      </c>
      <c r="L141" s="66">
        <f t="shared" si="61"/>
        <v>0</v>
      </c>
      <c r="M141" s="66">
        <f t="shared" si="61"/>
        <v>0</v>
      </c>
      <c r="N141" s="66">
        <f t="shared" si="61"/>
        <v>0</v>
      </c>
    </row>
    <row r="142" spans="2:14">
      <c r="B142" s="84" t="s">
        <v>366</v>
      </c>
      <c r="C142" s="111"/>
      <c r="D142" s="111">
        <v>37.68</v>
      </c>
      <c r="E142" s="111">
        <v>23.94</v>
      </c>
      <c r="F142" s="134">
        <v>-18.91</v>
      </c>
      <c r="G142" s="134">
        <v>14.14</v>
      </c>
      <c r="H142" s="134">
        <v>72.86</v>
      </c>
      <c r="I142" s="134">
        <v>61.66</v>
      </c>
      <c r="J142" s="134">
        <v>59.86</v>
      </c>
      <c r="K142" s="134"/>
      <c r="L142" s="134"/>
      <c r="M142" s="134"/>
      <c r="N142" s="134"/>
    </row>
    <row r="144" spans="2:14" ht="14.65" thickBot="1">
      <c r="B144" s="75" t="s">
        <v>367</v>
      </c>
    </row>
    <row r="145" spans="2:14" ht="14.65" thickBot="1">
      <c r="B145" s="82" t="s">
        <v>308</v>
      </c>
      <c r="C145" s="88">
        <v>2017</v>
      </c>
      <c r="D145" s="88">
        <v>2018</v>
      </c>
      <c r="E145" s="88">
        <v>2019</v>
      </c>
      <c r="F145" s="88">
        <v>2020</v>
      </c>
      <c r="G145" s="88">
        <v>2021</v>
      </c>
      <c r="H145" s="88">
        <v>2022</v>
      </c>
      <c r="I145" s="88">
        <v>2023</v>
      </c>
      <c r="J145" s="88">
        <v>2024</v>
      </c>
      <c r="K145" s="88">
        <v>2025</v>
      </c>
      <c r="L145" s="88">
        <v>2026</v>
      </c>
      <c r="M145" s="88">
        <v>2027</v>
      </c>
      <c r="N145" s="88">
        <v>2028</v>
      </c>
    </row>
    <row r="146" spans="2:14">
      <c r="B146" s="83" t="s">
        <v>368</v>
      </c>
      <c r="C146" s="90"/>
      <c r="D146" s="90">
        <v>465273275000</v>
      </c>
      <c r="E146" s="90">
        <v>568606771000</v>
      </c>
      <c r="F146" s="90">
        <v>361758448000</v>
      </c>
      <c r="G146" s="90">
        <v>242934778000</v>
      </c>
      <c r="H146" s="90">
        <v>432027458000</v>
      </c>
      <c r="I146" s="90">
        <v>646799148000</v>
      </c>
      <c r="J146" s="90">
        <v>1174155253000</v>
      </c>
      <c r="K146" s="90"/>
      <c r="L146" s="90"/>
      <c r="M146" s="90"/>
      <c r="N146" s="90"/>
    </row>
    <row r="147" spans="2:14">
      <c r="B147" s="86" t="s">
        <v>369</v>
      </c>
      <c r="C147" s="91"/>
      <c r="D147" s="93">
        <v>-228125034000</v>
      </c>
      <c r="E147" s="93">
        <v>-392606983000</v>
      </c>
      <c r="F147" s="66">
        <v>-33357797000</v>
      </c>
      <c r="G147" s="93">
        <v>-122462105000</v>
      </c>
      <c r="H147" s="66">
        <v>-291631941000</v>
      </c>
      <c r="I147" s="66">
        <v>-156185944000</v>
      </c>
      <c r="J147" s="66">
        <v>-328375128000</v>
      </c>
      <c r="K147" s="66"/>
      <c r="L147" s="66"/>
      <c r="M147" s="66"/>
      <c r="N147" s="66"/>
    </row>
    <row r="148" spans="2:14">
      <c r="B148" s="85" t="s">
        <v>370</v>
      </c>
      <c r="C148" s="93"/>
      <c r="D148" s="93">
        <v>-222327048000</v>
      </c>
      <c r="E148" s="93">
        <v>-192933291000</v>
      </c>
      <c r="F148" s="93">
        <v>-139962121000</v>
      </c>
      <c r="G148" s="93">
        <v>-156729271000</v>
      </c>
      <c r="H148" s="93">
        <v>-168305565000</v>
      </c>
      <c r="I148" s="93">
        <v>-177148716000</v>
      </c>
      <c r="J148" s="66">
        <v>-160693120000</v>
      </c>
      <c r="K148" s="93"/>
      <c r="L148" s="93"/>
      <c r="M148" s="93"/>
      <c r="N148" s="93"/>
    </row>
    <row r="149" spans="2:14">
      <c r="B149" s="86" t="s">
        <v>372</v>
      </c>
      <c r="C149" s="120"/>
      <c r="D149" s="120">
        <v>-291939624000</v>
      </c>
      <c r="E149" s="64">
        <v>-314369505000</v>
      </c>
      <c r="F149" s="120">
        <v>-337006982000</v>
      </c>
      <c r="G149" s="120">
        <v>-123767337000</v>
      </c>
      <c r="H149" s="120">
        <v>-130100105000</v>
      </c>
      <c r="I149" s="120">
        <v>-297678743000</v>
      </c>
      <c r="J149" s="66">
        <v>-793702556000</v>
      </c>
      <c r="K149" s="120"/>
      <c r="L149" s="120"/>
      <c r="M149" s="120"/>
      <c r="N149" s="120"/>
    </row>
    <row r="150" spans="2:14">
      <c r="B150" s="85" t="s">
        <v>373</v>
      </c>
      <c r="C150" s="93"/>
      <c r="D150" s="93">
        <v>-239385950000</v>
      </c>
      <c r="E150" s="66">
        <v>-194752293000</v>
      </c>
      <c r="F150" s="93">
        <v>-243617626000</v>
      </c>
      <c r="G150" s="93">
        <v>-184058776000</v>
      </c>
      <c r="H150" s="93">
        <v>-43937644000</v>
      </c>
      <c r="I150" s="93">
        <v>-193322038000</v>
      </c>
      <c r="J150" s="66">
        <v>-312073527000</v>
      </c>
      <c r="K150" s="93"/>
      <c r="L150" s="93"/>
      <c r="M150" s="93"/>
      <c r="N150" s="93"/>
    </row>
    <row r="151" spans="2:14">
      <c r="B151" s="85" t="s">
        <v>437</v>
      </c>
      <c r="C151" s="93"/>
      <c r="D151" s="93">
        <v>-47195320000</v>
      </c>
      <c r="E151" s="66">
        <v>-52433690000</v>
      </c>
      <c r="F151" s="93">
        <v>-58255380000</v>
      </c>
      <c r="G151" s="93">
        <v>-56618380000</v>
      </c>
      <c r="H151" s="93">
        <v>-78474110000</v>
      </c>
      <c r="I151" s="93">
        <v>-64783375000</v>
      </c>
      <c r="J151" s="66">
        <v>-65212727000</v>
      </c>
      <c r="K151" s="93"/>
      <c r="L151" s="93"/>
      <c r="M151" s="93"/>
      <c r="N151" s="93"/>
    </row>
    <row r="152" spans="2:14">
      <c r="B152" s="86" t="s">
        <v>375</v>
      </c>
      <c r="C152" s="64"/>
      <c r="D152" s="64">
        <v>-59037236000</v>
      </c>
      <c r="E152" s="64">
        <v>-138502321000</v>
      </c>
      <c r="F152" s="64">
        <v>-8828374000</v>
      </c>
      <c r="G152" s="64">
        <v>-861542000</v>
      </c>
      <c r="H152" s="64">
        <v>11331861000</v>
      </c>
      <c r="I152" s="64">
        <v>197618412000</v>
      </c>
      <c r="J152" s="66">
        <v>53513824000</v>
      </c>
      <c r="K152" s="64"/>
      <c r="L152" s="64"/>
      <c r="M152" s="64"/>
      <c r="N152" s="64"/>
    </row>
    <row r="153" spans="2:14">
      <c r="B153" s="85"/>
      <c r="C153" s="66"/>
      <c r="D153" s="66"/>
      <c r="E153" s="66"/>
      <c r="F153" s="66"/>
      <c r="G153" s="66"/>
      <c r="H153" s="66"/>
      <c r="I153" s="66"/>
      <c r="J153" s="66"/>
      <c r="K153" s="66"/>
      <c r="L153" s="66"/>
      <c r="M153" s="66"/>
      <c r="N153" s="66"/>
    </row>
    <row r="154" spans="2:14">
      <c r="B154" s="84" t="s">
        <v>376</v>
      </c>
      <c r="C154" s="131">
        <f t="shared" ref="C154:G154" si="62">+C146+C148+C151</f>
        <v>0</v>
      </c>
      <c r="D154" s="131">
        <f t="shared" si="62"/>
        <v>195750907000</v>
      </c>
      <c r="E154" s="131">
        <f t="shared" si="62"/>
        <v>323239790000</v>
      </c>
      <c r="F154" s="131">
        <f t="shared" si="62"/>
        <v>163540947000</v>
      </c>
      <c r="G154" s="131">
        <f t="shared" si="62"/>
        <v>29587127000</v>
      </c>
      <c r="H154" s="131">
        <f>+H146+H148+H151</f>
        <v>185247783000</v>
      </c>
      <c r="I154" s="131">
        <f>+I146+I148+I151</f>
        <v>404867057000</v>
      </c>
      <c r="J154" s="131">
        <f>+J146+J148+J151</f>
        <v>948249406000</v>
      </c>
      <c r="K154" s="131">
        <f t="shared" ref="K154:N154" si="63">+K146+K148+K151</f>
        <v>0</v>
      </c>
      <c r="L154" s="131">
        <f t="shared" si="63"/>
        <v>0</v>
      </c>
      <c r="M154" s="131">
        <f t="shared" si="63"/>
        <v>0</v>
      </c>
      <c r="N154" s="131">
        <f t="shared" si="63"/>
        <v>0</v>
      </c>
    </row>
  </sheetData>
  <conditionalFormatting sqref="C67:H73 D74:H74 C75:H107">
    <cfRule type="cellIs" dxfId="143" priority="18" operator="lessThan">
      <formula>0</formula>
    </cfRule>
  </conditionalFormatting>
  <conditionalFormatting sqref="C120:N142">
    <cfRule type="cellIs" dxfId="142" priority="2" operator="lessThan">
      <formula>0</formula>
    </cfRule>
  </conditionalFormatting>
  <conditionalFormatting sqref="C146:N154">
    <cfRule type="cellIs" dxfId="141" priority="1" operator="lessThan">
      <formula>0</formula>
    </cfRule>
  </conditionalFormatting>
  <conditionalFormatting sqref="I67:N107 C109:N116">
    <cfRule type="cellIs" dxfId="140" priority="3" operator="lessThan">
      <formula>0</formula>
    </cfRule>
  </conditionalFormatting>
  <pageMargins left="0.7" right="0.7" top="0.75" bottom="0.75" header="0.3" footer="0.3"/>
  <pageSetup paperSize="9" orientation="portrait" r:id="rId1"/>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94F5C-3BCF-447B-9CB9-538E00B57C52}">
  <dimension ref="B2:P142"/>
  <sheetViews>
    <sheetView zoomScale="70" zoomScaleNormal="70" workbookViewId="0">
      <pane xSplit="2" ySplit="6" topLeftCell="F38" activePane="bottomRight" state="frozen"/>
      <selection pane="bottomRight" activeCell="H45" sqref="H45"/>
      <selection pane="bottomLeft" activeCell="A3" sqref="A3"/>
      <selection pane="topRight" activeCell="C1" sqref="C1"/>
    </sheetView>
  </sheetViews>
  <sheetFormatPr defaultColWidth="10.7109375" defaultRowHeight="14.25"/>
  <cols>
    <col min="1" max="1" width="4.42578125" customWidth="1"/>
    <col min="2" max="2" width="42.28515625" bestFit="1" customWidth="1"/>
    <col min="3" max="6" width="36.7109375" bestFit="1" customWidth="1"/>
    <col min="7" max="7" width="36.28515625" customWidth="1"/>
    <col min="8" max="8" width="35.7109375" customWidth="1"/>
    <col min="9" max="9" width="35.7109375" bestFit="1" customWidth="1"/>
    <col min="10" max="14" width="25.42578125" bestFit="1" customWidth="1"/>
  </cols>
  <sheetData>
    <row r="2" spans="2:14" ht="21">
      <c r="B2" s="313">
        <f ca="1">TODAY()-1</f>
        <v>46105</v>
      </c>
      <c r="C2" s="314"/>
      <c r="D2" s="344" t="s">
        <v>265</v>
      </c>
      <c r="E2" s="345" t="s">
        <v>266</v>
      </c>
    </row>
    <row r="3" spans="2:14" ht="25.5">
      <c r="B3" s="376" cm="1">
        <f t="array" aca="1" ref="B3" ca="1">_FV(B6,"Precio")</f>
        <v>3756</v>
      </c>
      <c r="C3" s="316"/>
      <c r="D3" s="346">
        <f>AVERAGE(G45:I45)</f>
        <v>334.33333333333331</v>
      </c>
      <c r="E3" s="346">
        <f>AVERAGE(G44:I44)</f>
        <v>724.33333333333337</v>
      </c>
    </row>
    <row r="4" spans="2:14" ht="28.5">
      <c r="B4" s="319"/>
      <c r="C4" s="320"/>
      <c r="D4" s="328"/>
      <c r="E4" s="328"/>
    </row>
    <row r="6" spans="2:14" ht="33.4">
      <c r="B6" s="3" t="e" vm="33">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744945928000</v>
      </c>
      <c r="D7" s="5">
        <f t="shared" ref="D7:I7" si="0">+D61</f>
        <v>810596112000</v>
      </c>
      <c r="E7" s="5">
        <f t="shared" si="0"/>
        <v>1350183140000</v>
      </c>
      <c r="F7" s="5">
        <f t="shared" si="0"/>
        <v>1376958931000</v>
      </c>
      <c r="G7" s="5">
        <f t="shared" si="0"/>
        <v>1295049133000</v>
      </c>
      <c r="H7" s="5">
        <f t="shared" si="0"/>
        <v>1484646595000</v>
      </c>
      <c r="I7" s="5">
        <f t="shared" si="0"/>
        <v>1596064579000</v>
      </c>
      <c r="J7" s="5">
        <f t="shared" ref="J7:N7" si="1">+J61</f>
        <v>0</v>
      </c>
      <c r="K7" s="5">
        <f t="shared" si="1"/>
        <v>0</v>
      </c>
      <c r="L7" s="5">
        <f t="shared" si="1"/>
        <v>0</v>
      </c>
      <c r="M7" s="5">
        <f t="shared" si="1"/>
        <v>0</v>
      </c>
      <c r="N7" s="5">
        <f t="shared" si="1"/>
        <v>0</v>
      </c>
    </row>
    <row r="8" spans="2:14" ht="25.5">
      <c r="B8" s="146" t="s">
        <v>377</v>
      </c>
      <c r="C8" s="147">
        <f>+C65</f>
        <v>346455962000</v>
      </c>
      <c r="D8" s="147">
        <f t="shared" ref="D8:I8" si="2">+D65</f>
        <v>438739769000</v>
      </c>
      <c r="E8" s="147">
        <f t="shared" si="2"/>
        <v>508571105000</v>
      </c>
      <c r="F8" s="147">
        <f t="shared" si="2"/>
        <v>489258436000</v>
      </c>
      <c r="G8" s="147">
        <f t="shared" si="2"/>
        <v>620457323000</v>
      </c>
      <c r="H8" s="147">
        <f t="shared" si="2"/>
        <v>645453025000</v>
      </c>
      <c r="I8" s="147">
        <f t="shared" si="2"/>
        <v>633257358000</v>
      </c>
      <c r="J8" s="147">
        <f t="shared" ref="J8:N8" si="3">+J65</f>
        <v>0</v>
      </c>
      <c r="K8" s="147">
        <f t="shared" si="3"/>
        <v>0</v>
      </c>
      <c r="L8" s="147">
        <f t="shared" si="3"/>
        <v>0</v>
      </c>
      <c r="M8" s="147">
        <f t="shared" si="3"/>
        <v>0</v>
      </c>
      <c r="N8" s="147">
        <f t="shared" si="3"/>
        <v>0</v>
      </c>
    </row>
    <row r="9" spans="2:14" ht="25.5">
      <c r="B9" s="146" t="s">
        <v>378</v>
      </c>
      <c r="C9" s="147">
        <f>+C67</f>
        <v>96928834000</v>
      </c>
      <c r="D9" s="147">
        <f t="shared" ref="D9:I9" si="4">+D67</f>
        <v>120229703000</v>
      </c>
      <c r="E9" s="147">
        <f t="shared" si="4"/>
        <v>82615111000</v>
      </c>
      <c r="F9" s="147">
        <f t="shared" si="4"/>
        <v>77736315000</v>
      </c>
      <c r="G9" s="147">
        <f t="shared" si="4"/>
        <v>121126311000</v>
      </c>
      <c r="H9" s="147">
        <f t="shared" si="4"/>
        <v>120441247000</v>
      </c>
      <c r="I9" s="147">
        <f t="shared" si="4"/>
        <v>107545480000</v>
      </c>
      <c r="J9" s="147">
        <f t="shared" ref="J9:N9" si="5">+J67</f>
        <v>0</v>
      </c>
      <c r="K9" s="147">
        <f t="shared" si="5"/>
        <v>0</v>
      </c>
      <c r="L9" s="147">
        <f t="shared" si="5"/>
        <v>0</v>
      </c>
      <c r="M9" s="147">
        <f t="shared" si="5"/>
        <v>0</v>
      </c>
      <c r="N9" s="147">
        <f t="shared" si="5"/>
        <v>0</v>
      </c>
    </row>
    <row r="10" spans="2:14" ht="25.5">
      <c r="B10" s="4" t="s">
        <v>379</v>
      </c>
      <c r="C10" s="5">
        <f>+C70</f>
        <v>2784094245000</v>
      </c>
      <c r="D10" s="5">
        <f t="shared" ref="D10:I10" si="6">+D70</f>
        <v>3153619159000</v>
      </c>
      <c r="E10" s="5">
        <f t="shared" si="6"/>
        <v>3819310462000</v>
      </c>
      <c r="F10" s="5">
        <f t="shared" si="6"/>
        <v>3511485601000</v>
      </c>
      <c r="G10" s="5">
        <f t="shared" si="6"/>
        <v>4175909504000</v>
      </c>
      <c r="H10" s="5">
        <f t="shared" si="6"/>
        <v>4110699844000</v>
      </c>
      <c r="I10" s="5">
        <f t="shared" si="6"/>
        <v>4102623143000</v>
      </c>
      <c r="J10" s="5">
        <f t="shared" ref="J10:N10" si="7">+J70</f>
        <v>0</v>
      </c>
      <c r="K10" s="5">
        <f t="shared" si="7"/>
        <v>0</v>
      </c>
      <c r="L10" s="5">
        <f t="shared" si="7"/>
        <v>0</v>
      </c>
      <c r="M10" s="5">
        <f t="shared" si="7"/>
        <v>0</v>
      </c>
      <c r="N10" s="5">
        <f t="shared" si="7"/>
        <v>0</v>
      </c>
    </row>
    <row r="11" spans="2:14" ht="25.5">
      <c r="B11" s="8" t="s">
        <v>272</v>
      </c>
      <c r="C11" s="9">
        <f>+C7+C10</f>
        <v>3529040173000</v>
      </c>
      <c r="D11" s="9">
        <f t="shared" ref="D11:I11" si="8">+D7+D10</f>
        <v>3964215271000</v>
      </c>
      <c r="E11" s="9">
        <f t="shared" si="8"/>
        <v>5169493602000</v>
      </c>
      <c r="F11" s="9">
        <f t="shared" si="8"/>
        <v>4888444532000</v>
      </c>
      <c r="G11" s="9">
        <f t="shared" si="8"/>
        <v>5470958637000</v>
      </c>
      <c r="H11" s="9">
        <f t="shared" si="8"/>
        <v>5595346439000</v>
      </c>
      <c r="I11" s="9">
        <f t="shared" si="8"/>
        <v>5698687722000</v>
      </c>
      <c r="J11" s="9">
        <f t="shared" ref="J11:N11" si="9">+J7+J10</f>
        <v>0</v>
      </c>
      <c r="K11" s="9">
        <f t="shared" si="9"/>
        <v>0</v>
      </c>
      <c r="L11" s="9">
        <f t="shared" si="9"/>
        <v>0</v>
      </c>
      <c r="M11" s="9">
        <f t="shared" si="9"/>
        <v>0</v>
      </c>
      <c r="N11" s="9">
        <f t="shared" si="9"/>
        <v>0</v>
      </c>
    </row>
    <row r="12" spans="2:14" ht="25.5">
      <c r="B12" s="10" t="s">
        <v>273</v>
      </c>
      <c r="C12" s="11">
        <f>+C84</f>
        <v>623404767000</v>
      </c>
      <c r="D12" s="11">
        <f t="shared" ref="D12:I12" si="10">+D84</f>
        <v>658742932000</v>
      </c>
      <c r="E12" s="11">
        <f t="shared" si="10"/>
        <v>891001450000</v>
      </c>
      <c r="F12" s="11">
        <f t="shared" si="10"/>
        <v>814156775000</v>
      </c>
      <c r="G12" s="11">
        <f t="shared" si="10"/>
        <v>1157171716000</v>
      </c>
      <c r="H12" s="11">
        <f t="shared" si="10"/>
        <v>1132020070000</v>
      </c>
      <c r="I12" s="11">
        <f t="shared" si="10"/>
        <v>1336992696000</v>
      </c>
      <c r="J12" s="11">
        <f t="shared" ref="J12:N12" si="11">+J84</f>
        <v>0</v>
      </c>
      <c r="K12" s="11">
        <f t="shared" si="11"/>
        <v>0</v>
      </c>
      <c r="L12" s="11">
        <f t="shared" si="11"/>
        <v>0</v>
      </c>
      <c r="M12" s="11">
        <f t="shared" si="11"/>
        <v>0</v>
      </c>
      <c r="N12" s="11">
        <f t="shared" si="11"/>
        <v>0</v>
      </c>
    </row>
    <row r="13" spans="2:14" ht="25.5">
      <c r="B13" s="10" t="s">
        <v>274</v>
      </c>
      <c r="C13" s="11">
        <f>+C94</f>
        <v>1667284236000</v>
      </c>
      <c r="D13" s="11">
        <f t="shared" ref="D13:I13" si="12">+D94</f>
        <v>1939050377000</v>
      </c>
      <c r="E13" s="11">
        <f t="shared" si="12"/>
        <v>2669817754000</v>
      </c>
      <c r="F13" s="11">
        <f t="shared" si="12"/>
        <v>2565797330000</v>
      </c>
      <c r="G13" s="11">
        <f t="shared" si="12"/>
        <v>2810741554000</v>
      </c>
      <c r="H13" s="11">
        <f t="shared" si="12"/>
        <v>2707836890000</v>
      </c>
      <c r="I13" s="11">
        <f t="shared" si="12"/>
        <v>2686242066000</v>
      </c>
      <c r="J13" s="11">
        <f t="shared" ref="J13:N13" si="13">+J94</f>
        <v>0</v>
      </c>
      <c r="K13" s="11">
        <f t="shared" si="13"/>
        <v>0</v>
      </c>
      <c r="L13" s="11">
        <f t="shared" si="13"/>
        <v>0</v>
      </c>
      <c r="M13" s="11">
        <f t="shared" si="13"/>
        <v>0</v>
      </c>
      <c r="N13" s="11">
        <f t="shared" si="13"/>
        <v>0</v>
      </c>
    </row>
    <row r="14" spans="2:14" ht="25.5">
      <c r="B14" s="12" t="s">
        <v>275</v>
      </c>
      <c r="C14" s="13">
        <f>+C13+C12</f>
        <v>2290689003000</v>
      </c>
      <c r="D14" s="13">
        <f t="shared" ref="D14:I14" si="14">+D13+D12</f>
        <v>2597793309000</v>
      </c>
      <c r="E14" s="13">
        <f t="shared" si="14"/>
        <v>3560819204000</v>
      </c>
      <c r="F14" s="13">
        <f t="shared" si="14"/>
        <v>3379954105000</v>
      </c>
      <c r="G14" s="13">
        <f t="shared" si="14"/>
        <v>3967913270000</v>
      </c>
      <c r="H14" s="13">
        <f t="shared" si="14"/>
        <v>3839856960000</v>
      </c>
      <c r="I14" s="13">
        <f t="shared" si="14"/>
        <v>4023234762000</v>
      </c>
      <c r="J14" s="13">
        <f t="shared" ref="J14:N14" si="15">+J13+J12</f>
        <v>0</v>
      </c>
      <c r="K14" s="13">
        <f t="shared" si="15"/>
        <v>0</v>
      </c>
      <c r="L14" s="13">
        <f t="shared" si="15"/>
        <v>0</v>
      </c>
      <c r="M14" s="13">
        <f t="shared" si="15"/>
        <v>0</v>
      </c>
      <c r="N14" s="13">
        <f t="shared" si="15"/>
        <v>0</v>
      </c>
    </row>
    <row r="15" spans="2:14" ht="25.5">
      <c r="B15" s="14" t="s">
        <v>276</v>
      </c>
      <c r="C15" s="15">
        <f>+C108</f>
        <v>1238351170000</v>
      </c>
      <c r="D15" s="15">
        <f t="shared" ref="D15:I15" si="16">+D108</f>
        <v>1366421801000</v>
      </c>
      <c r="E15" s="15">
        <f t="shared" si="16"/>
        <v>1608674398000</v>
      </c>
      <c r="F15" s="15">
        <f t="shared" si="16"/>
        <v>1508490427000</v>
      </c>
      <c r="G15" s="15">
        <f t="shared" si="16"/>
        <v>1503045367000</v>
      </c>
      <c r="H15" s="15">
        <f t="shared" si="16"/>
        <v>1554515776000</v>
      </c>
      <c r="I15" s="15">
        <f t="shared" si="16"/>
        <v>1675452960000</v>
      </c>
      <c r="J15" s="15">
        <f t="shared" ref="J15:N15" si="17">+J108</f>
        <v>0</v>
      </c>
      <c r="K15" s="15">
        <f t="shared" si="17"/>
        <v>0</v>
      </c>
      <c r="L15" s="15">
        <f t="shared" si="17"/>
        <v>0</v>
      </c>
      <c r="M15" s="15">
        <f t="shared" si="17"/>
        <v>0</v>
      </c>
      <c r="N15" s="15">
        <f t="shared" si="17"/>
        <v>0</v>
      </c>
    </row>
    <row r="16" spans="2:14" ht="25.5">
      <c r="B16" s="79" t="s">
        <v>278</v>
      </c>
      <c r="C16" s="80">
        <v>302017113</v>
      </c>
      <c r="D16" s="80">
        <v>302017113</v>
      </c>
      <c r="E16" s="80">
        <v>302017113</v>
      </c>
      <c r="F16" s="80">
        <v>302017113</v>
      </c>
      <c r="G16" s="80">
        <v>302017113</v>
      </c>
      <c r="H16" s="80">
        <v>302017113</v>
      </c>
      <c r="I16" s="80">
        <v>302017113</v>
      </c>
      <c r="J16" s="80"/>
      <c r="K16" s="80"/>
      <c r="L16" s="80"/>
      <c r="M16" s="80"/>
      <c r="N16" s="80"/>
    </row>
    <row r="18" spans="2:14" ht="25.5">
      <c r="B18" s="18" t="s">
        <v>279</v>
      </c>
      <c r="C18" s="19">
        <f t="shared" ref="C18:I18" si="18">(C15/C16)</f>
        <v>4100.2682189071847</v>
      </c>
      <c r="D18" s="19">
        <f t="shared" si="18"/>
        <v>4524.3191269098716</v>
      </c>
      <c r="E18" s="19">
        <f t="shared" si="18"/>
        <v>5326.4345918040744</v>
      </c>
      <c r="F18" s="19">
        <f t="shared" si="18"/>
        <v>4994.7183853783808</v>
      </c>
      <c r="G18" s="19">
        <f t="shared" si="18"/>
        <v>4976.6894070005892</v>
      </c>
      <c r="H18" s="19">
        <f t="shared" si="18"/>
        <v>5147.1115678137085</v>
      </c>
      <c r="I18" s="19">
        <f t="shared" si="18"/>
        <v>5547.5431287895262</v>
      </c>
      <c r="J18" s="19" t="e">
        <f t="shared" ref="J18:N18" si="19">(J15/J16)</f>
        <v>#DIV/0!</v>
      </c>
      <c r="K18" s="19" t="e">
        <f t="shared" si="19"/>
        <v>#DIV/0!</v>
      </c>
      <c r="L18" s="19" t="e">
        <f t="shared" si="19"/>
        <v>#DIV/0!</v>
      </c>
      <c r="M18" s="19" t="e">
        <f t="shared" si="19"/>
        <v>#DIV/0!</v>
      </c>
      <c r="N18" s="19" t="e">
        <f t="shared" si="19"/>
        <v>#DIV/0!</v>
      </c>
    </row>
    <row r="19" spans="2:14" ht="25.5">
      <c r="B19" s="76" t="s">
        <v>282</v>
      </c>
      <c r="C19" s="77">
        <v>6916</v>
      </c>
      <c r="D19" s="77">
        <v>5382</v>
      </c>
      <c r="E19" s="77">
        <v>5352</v>
      </c>
      <c r="F19" s="77">
        <v>4408</v>
      </c>
      <c r="G19" s="77">
        <v>2879</v>
      </c>
      <c r="H19" s="77">
        <v>2932</v>
      </c>
      <c r="I19" s="101">
        <v>3224</v>
      </c>
      <c r="J19" s="101"/>
      <c r="K19" s="101"/>
      <c r="L19" s="101"/>
      <c r="M19" s="101"/>
      <c r="N19" s="101"/>
    </row>
    <row r="20" spans="2:14" ht="25.5">
      <c r="B20" s="18" t="s">
        <v>283</v>
      </c>
      <c r="C20" s="22">
        <f>+C19/C40</f>
        <v>48.117999025951441</v>
      </c>
      <c r="D20" s="246">
        <f t="shared" ref="D20:I20" si="20">+D19/D40</f>
        <v>-68.832331500191842</v>
      </c>
      <c r="E20" s="22">
        <f t="shared" si="20"/>
        <v>10.485687976332752</v>
      </c>
      <c r="F20" s="22">
        <f t="shared" si="20"/>
        <v>15.761433117602888</v>
      </c>
      <c r="G20" s="22">
        <f t="shared" si="20"/>
        <v>11.597180261832829</v>
      </c>
      <c r="H20" s="22">
        <f t="shared" si="20"/>
        <v>1.9385636644936064</v>
      </c>
      <c r="I20" s="22">
        <f t="shared" si="20"/>
        <v>8.1765153436469689</v>
      </c>
      <c r="J20" s="22" t="e">
        <f t="shared" ref="J20:N20" si="21">+J19/J40</f>
        <v>#DIV/0!</v>
      </c>
      <c r="K20" s="22" t="e">
        <f t="shared" si="21"/>
        <v>#DIV/0!</v>
      </c>
      <c r="L20" s="22" t="e">
        <f t="shared" si="21"/>
        <v>#DIV/0!</v>
      </c>
      <c r="M20" s="22" t="e">
        <f t="shared" si="21"/>
        <v>#DIV/0!</v>
      </c>
      <c r="N20" s="22" t="e">
        <f t="shared" si="21"/>
        <v>#DIV/0!</v>
      </c>
    </row>
    <row r="21" spans="2:14" ht="25.5">
      <c r="B21" s="18" t="s">
        <v>380</v>
      </c>
      <c r="C21" s="22">
        <f t="shared" ref="C21:I21" si="22">+C19/C18</f>
        <v>1.6867189244130161</v>
      </c>
      <c r="D21" s="22">
        <f t="shared" si="22"/>
        <v>1.1895712590185759</v>
      </c>
      <c r="E21" s="22">
        <f t="shared" si="22"/>
        <v>1.0047997225452208</v>
      </c>
      <c r="F21" s="22">
        <f t="shared" si="22"/>
        <v>0.88253223903554812</v>
      </c>
      <c r="G21" s="22">
        <f t="shared" si="22"/>
        <v>0.57849702172496043</v>
      </c>
      <c r="H21" s="22">
        <f t="shared" si="22"/>
        <v>0.56963987692332052</v>
      </c>
      <c r="I21" s="22">
        <f t="shared" si="22"/>
        <v>0.58115816770648099</v>
      </c>
      <c r="J21" s="22" t="e">
        <f t="shared" ref="J21:N21" si="23">+J19/J18</f>
        <v>#DIV/0!</v>
      </c>
      <c r="K21" s="22" t="e">
        <f t="shared" si="23"/>
        <v>#DIV/0!</v>
      </c>
      <c r="L21" s="22" t="e">
        <f t="shared" si="23"/>
        <v>#DIV/0!</v>
      </c>
      <c r="M21" s="22" t="e">
        <f t="shared" si="23"/>
        <v>#DIV/0!</v>
      </c>
      <c r="N21" s="22" t="e">
        <f t="shared" si="23"/>
        <v>#DIV/0!</v>
      </c>
    </row>
    <row r="22" spans="2:14" ht="25.5">
      <c r="B22" s="18" t="s">
        <v>285</v>
      </c>
      <c r="C22" s="22">
        <f>+C20*C21</f>
        <v>81.161539561959373</v>
      </c>
      <c r="D22" s="246">
        <f t="shared" ref="D22:I22" si="24">+D20*D21</f>
        <v>-81.880963243867185</v>
      </c>
      <c r="E22" s="22">
        <f t="shared" si="24"/>
        <v>10.536016369314906</v>
      </c>
      <c r="F22" s="22">
        <f t="shared" si="24"/>
        <v>13.909972859687116</v>
      </c>
      <c r="G22" s="22">
        <f t="shared" si="24"/>
        <v>6.7089342418777882</v>
      </c>
      <c r="H22" s="22">
        <f t="shared" si="24"/>
        <v>1.1042831672501592</v>
      </c>
      <c r="I22" s="22">
        <f t="shared" si="24"/>
        <v>4.7518486753377998</v>
      </c>
      <c r="J22" s="22" t="e">
        <f t="shared" ref="J22:N22" si="25">+J20*J21</f>
        <v>#DIV/0!</v>
      </c>
      <c r="K22" s="22" t="e">
        <f t="shared" si="25"/>
        <v>#DIV/0!</v>
      </c>
      <c r="L22" s="22" t="e">
        <f t="shared" si="25"/>
        <v>#DIV/0!</v>
      </c>
      <c r="M22" s="22" t="e">
        <f t="shared" si="25"/>
        <v>#DIV/0!</v>
      </c>
      <c r="N22" s="22" t="e">
        <f t="shared" si="25"/>
        <v>#DIV/0!</v>
      </c>
    </row>
    <row r="23" spans="2:14" ht="25.5">
      <c r="B23" s="23" t="s">
        <v>286</v>
      </c>
      <c r="C23" s="24">
        <f>IF(C41&lt;10%,0,IF(15%&lt;C41,2,1))</f>
        <v>0</v>
      </c>
      <c r="D23" s="24">
        <f>IF(D41&lt;10%,0,IF(15%&lt;D41,2,1))</f>
        <v>0</v>
      </c>
      <c r="E23" s="24">
        <f t="shared" ref="E23:I23" si="26">IF(E41&lt;10%,0,IF(15%&lt;E41,2,1))</f>
        <v>0</v>
      </c>
      <c r="F23" s="24">
        <f t="shared" si="26"/>
        <v>0</v>
      </c>
      <c r="G23" s="24">
        <f t="shared" si="26"/>
        <v>0</v>
      </c>
      <c r="H23" s="24">
        <f t="shared" si="26"/>
        <v>2</v>
      </c>
      <c r="I23" s="24">
        <f t="shared" si="26"/>
        <v>0</v>
      </c>
      <c r="J23" s="24" t="e">
        <f t="shared" ref="J23:N23" si="27">IF(J41&lt;10%,0,IF(15%&lt;J41,2,1))</f>
        <v>#DIV/0!</v>
      </c>
      <c r="K23" s="24" t="e">
        <f t="shared" si="27"/>
        <v>#DIV/0!</v>
      </c>
      <c r="L23" s="24" t="e">
        <f t="shared" si="27"/>
        <v>#DIV/0!</v>
      </c>
      <c r="M23" s="24" t="e">
        <f t="shared" si="27"/>
        <v>#DIV/0!</v>
      </c>
      <c r="N23" s="24" t="e">
        <f t="shared" si="27"/>
        <v>#DIV/0!</v>
      </c>
    </row>
    <row r="24" spans="2:14" ht="25.5">
      <c r="B24" s="23" t="s">
        <v>287</v>
      </c>
      <c r="C24" s="24">
        <f>IF(C41&lt;10%,1,IF(15%&lt;C41,2.5,2))</f>
        <v>1</v>
      </c>
      <c r="D24" s="24">
        <f t="shared" ref="D24:I24" si="28">IF(D41&lt;10%,1,IF(15%&lt;D41,2.5,2))</f>
        <v>1</v>
      </c>
      <c r="E24" s="24">
        <f t="shared" si="28"/>
        <v>1</v>
      </c>
      <c r="F24" s="24">
        <f t="shared" si="28"/>
        <v>1</v>
      </c>
      <c r="G24" s="24">
        <f t="shared" si="28"/>
        <v>1</v>
      </c>
      <c r="H24" s="24">
        <f t="shared" si="28"/>
        <v>2.5</v>
      </c>
      <c r="I24" s="24">
        <f t="shared" si="28"/>
        <v>1</v>
      </c>
      <c r="J24" s="24" t="e">
        <f t="shared" ref="J24:N24" si="29">IF(J41&lt;10%,1,IF(15%&lt;J41,2.5,2))</f>
        <v>#DIV/0!</v>
      </c>
      <c r="K24" s="24" t="e">
        <f t="shared" si="29"/>
        <v>#DIV/0!</v>
      </c>
      <c r="L24" s="24" t="e">
        <f t="shared" si="29"/>
        <v>#DIV/0!</v>
      </c>
      <c r="M24" s="24" t="e">
        <f t="shared" si="29"/>
        <v>#DIV/0!</v>
      </c>
      <c r="N24" s="24" t="e">
        <f t="shared" si="29"/>
        <v>#DIV/0!</v>
      </c>
    </row>
    <row r="25" spans="2:14" ht="25.5">
      <c r="B25" s="25" t="s">
        <v>288</v>
      </c>
      <c r="C25" s="26">
        <f t="shared" ref="C25:I25" si="30">+C23*C18</f>
        <v>0</v>
      </c>
      <c r="D25" s="26">
        <f t="shared" si="30"/>
        <v>0</v>
      </c>
      <c r="E25" s="26">
        <f t="shared" si="30"/>
        <v>0</v>
      </c>
      <c r="F25" s="26">
        <f t="shared" si="30"/>
        <v>0</v>
      </c>
      <c r="G25" s="26">
        <f t="shared" si="30"/>
        <v>0</v>
      </c>
      <c r="H25" s="26">
        <f t="shared" si="30"/>
        <v>10294.223135627417</v>
      </c>
      <c r="I25" s="26">
        <f t="shared" si="30"/>
        <v>0</v>
      </c>
      <c r="J25" s="26" t="e">
        <f t="shared" ref="J25:N25" si="31">+J23*J18</f>
        <v>#DIV/0!</v>
      </c>
      <c r="K25" s="26" t="e">
        <f t="shared" si="31"/>
        <v>#DIV/0!</v>
      </c>
      <c r="L25" s="26" t="e">
        <f t="shared" si="31"/>
        <v>#DIV/0!</v>
      </c>
      <c r="M25" s="26" t="e">
        <f t="shared" si="31"/>
        <v>#DIV/0!</v>
      </c>
      <c r="N25" s="26" t="e">
        <f t="shared" si="31"/>
        <v>#DIV/0!</v>
      </c>
    </row>
    <row r="26" spans="2:14" ht="25.5">
      <c r="B26" s="25" t="s">
        <v>289</v>
      </c>
      <c r="C26" s="26">
        <f>AVERAGE(C25,C27)</f>
        <v>2050.1341094535924</v>
      </c>
      <c r="D26" s="26">
        <f t="shared" ref="D26:I26" si="32">AVERAGE(D25,D27)</f>
        <v>2262.1595634549358</v>
      </c>
      <c r="E26" s="26">
        <f t="shared" si="32"/>
        <v>2663.2172959020372</v>
      </c>
      <c r="F26" s="26">
        <f t="shared" si="32"/>
        <v>2497.3591926891904</v>
      </c>
      <c r="G26" s="26">
        <f t="shared" si="32"/>
        <v>2488.3447035002946</v>
      </c>
      <c r="H26" s="26">
        <f t="shared" si="32"/>
        <v>11581.001027580844</v>
      </c>
      <c r="I26" s="26">
        <f t="shared" si="32"/>
        <v>2773.7715643947631</v>
      </c>
      <c r="J26" s="26" t="e">
        <f t="shared" ref="J26:N26" si="33">AVERAGE(J25,J27)</f>
        <v>#DIV/0!</v>
      </c>
      <c r="K26" s="26" t="e">
        <f t="shared" si="33"/>
        <v>#DIV/0!</v>
      </c>
      <c r="L26" s="26" t="e">
        <f t="shared" si="33"/>
        <v>#DIV/0!</v>
      </c>
      <c r="M26" s="26" t="e">
        <f t="shared" si="33"/>
        <v>#DIV/0!</v>
      </c>
      <c r="N26" s="26" t="e">
        <f t="shared" si="33"/>
        <v>#DIV/0!</v>
      </c>
    </row>
    <row r="27" spans="2:14" ht="25.5">
      <c r="B27" s="25" t="s">
        <v>290</v>
      </c>
      <c r="C27" s="26">
        <f t="shared" ref="C27:I27" si="34">+C18*C24</f>
        <v>4100.2682189071847</v>
      </c>
      <c r="D27" s="26">
        <f t="shared" si="34"/>
        <v>4524.3191269098716</v>
      </c>
      <c r="E27" s="26">
        <f t="shared" si="34"/>
        <v>5326.4345918040744</v>
      </c>
      <c r="F27" s="26">
        <f t="shared" si="34"/>
        <v>4994.7183853783808</v>
      </c>
      <c r="G27" s="26">
        <f t="shared" si="34"/>
        <v>4976.6894070005892</v>
      </c>
      <c r="H27" s="26">
        <f t="shared" si="34"/>
        <v>12867.77891953427</v>
      </c>
      <c r="I27" s="26">
        <f t="shared" si="34"/>
        <v>5547.5431287895262</v>
      </c>
      <c r="J27" s="26" t="e">
        <f t="shared" ref="J27:N27" si="35">+J18*J24</f>
        <v>#DIV/0!</v>
      </c>
      <c r="K27" s="26" t="e">
        <f t="shared" si="35"/>
        <v>#DIV/0!</v>
      </c>
      <c r="L27" s="26" t="e">
        <f t="shared" si="35"/>
        <v>#DIV/0!</v>
      </c>
      <c r="M27" s="26" t="e">
        <f t="shared" si="35"/>
        <v>#DIV/0!</v>
      </c>
      <c r="N27" s="26" t="e">
        <f t="shared" si="35"/>
        <v>#DIV/0!</v>
      </c>
    </row>
    <row r="29" spans="2:14" ht="25.5">
      <c r="B29" s="243" t="s">
        <v>291</v>
      </c>
      <c r="C29" s="81">
        <f t="shared" ref="C29:I29" si="36">C7-C12</f>
        <v>121541161000</v>
      </c>
      <c r="D29" s="81">
        <f t="shared" si="36"/>
        <v>151853180000</v>
      </c>
      <c r="E29" s="81">
        <f t="shared" si="36"/>
        <v>459181690000</v>
      </c>
      <c r="F29" s="81">
        <f t="shared" si="36"/>
        <v>562802156000</v>
      </c>
      <c r="G29" s="81">
        <f t="shared" si="36"/>
        <v>137877417000</v>
      </c>
      <c r="H29" s="81">
        <f t="shared" si="36"/>
        <v>352626525000</v>
      </c>
      <c r="I29" s="81">
        <f t="shared" si="36"/>
        <v>259071883000</v>
      </c>
      <c r="J29" s="81">
        <f t="shared" ref="J29:N29" si="37">J7-J12</f>
        <v>0</v>
      </c>
      <c r="K29" s="81">
        <f t="shared" si="37"/>
        <v>0</v>
      </c>
      <c r="L29" s="81">
        <f t="shared" si="37"/>
        <v>0</v>
      </c>
      <c r="M29" s="81">
        <f t="shared" si="37"/>
        <v>0</v>
      </c>
      <c r="N29" s="81">
        <f t="shared" si="37"/>
        <v>0</v>
      </c>
    </row>
    <row r="30" spans="2:14" ht="25.5">
      <c r="B30" s="30" t="s">
        <v>149</v>
      </c>
      <c r="C30" s="241">
        <f t="shared" ref="C30:I30" si="38">C7/C12</f>
        <v>1.1949634770758819</v>
      </c>
      <c r="D30" s="241">
        <f t="shared" si="38"/>
        <v>1.2305196346304024</v>
      </c>
      <c r="E30" s="241">
        <f t="shared" si="38"/>
        <v>1.5153545934184507</v>
      </c>
      <c r="F30" s="241">
        <f t="shared" si="38"/>
        <v>1.6912700026355489</v>
      </c>
      <c r="G30" s="241">
        <f t="shared" si="38"/>
        <v>1.1191503517529804</v>
      </c>
      <c r="H30" s="242">
        <f t="shared" si="38"/>
        <v>1.3115020080871889</v>
      </c>
      <c r="I30" s="242">
        <f t="shared" si="38"/>
        <v>1.1937721004573087</v>
      </c>
      <c r="J30" s="242" t="e">
        <f t="shared" ref="J30:N30" si="39">J7/J12</f>
        <v>#DIV/0!</v>
      </c>
      <c r="K30" s="242" t="e">
        <f t="shared" si="39"/>
        <v>#DIV/0!</v>
      </c>
      <c r="L30" s="242" t="e">
        <f t="shared" si="39"/>
        <v>#DIV/0!</v>
      </c>
      <c r="M30" s="242" t="e">
        <f t="shared" si="39"/>
        <v>#DIV/0!</v>
      </c>
      <c r="N30" s="242" t="e">
        <f t="shared" si="39"/>
        <v>#DIV/0!</v>
      </c>
    </row>
    <row r="31" spans="2:14" ht="25.5">
      <c r="B31" s="30" t="s">
        <v>292</v>
      </c>
      <c r="C31" s="241">
        <f t="shared" ref="C31:I31" si="40">+(C7-C9)/C12</f>
        <v>1.039480492134254</v>
      </c>
      <c r="D31" s="241">
        <f t="shared" si="40"/>
        <v>1.048005793252291</v>
      </c>
      <c r="E31" s="241">
        <f t="shared" si="40"/>
        <v>1.4226329586781257</v>
      </c>
      <c r="F31" s="241">
        <f t="shared" si="40"/>
        <v>1.5957892335907908</v>
      </c>
      <c r="G31" s="241">
        <f t="shared" si="40"/>
        <v>1.0144759034189874</v>
      </c>
      <c r="H31" s="241">
        <f t="shared" si="40"/>
        <v>1.2051070331288385</v>
      </c>
      <c r="I31" s="241">
        <f t="shared" si="40"/>
        <v>1.1133337552653317</v>
      </c>
      <c r="J31" s="241" t="e">
        <f t="shared" ref="J31:N31" si="41">+(J7-J9)/J12</f>
        <v>#DIV/0!</v>
      </c>
      <c r="K31" s="241" t="e">
        <f t="shared" si="41"/>
        <v>#DIV/0!</v>
      </c>
      <c r="L31" s="241" t="e">
        <f t="shared" si="41"/>
        <v>#DIV/0!</v>
      </c>
      <c r="M31" s="241" t="e">
        <f t="shared" si="41"/>
        <v>#DIV/0!</v>
      </c>
      <c r="N31" s="241" t="e">
        <f t="shared" si="41"/>
        <v>#DIV/0!</v>
      </c>
    </row>
    <row r="32" spans="2:14" ht="25.5">
      <c r="B32" s="32" t="s">
        <v>153</v>
      </c>
      <c r="C32" s="33">
        <f t="shared" ref="C32:I32" si="42">C14/C11</f>
        <v>0.64909689057257436</v>
      </c>
      <c r="D32" s="33">
        <f t="shared" si="42"/>
        <v>0.65531085761260621</v>
      </c>
      <c r="E32" s="33">
        <f t="shared" si="42"/>
        <v>0.68881392997998336</v>
      </c>
      <c r="F32" s="33">
        <f t="shared" si="42"/>
        <v>0.69141709246666361</v>
      </c>
      <c r="G32" s="33">
        <f t="shared" si="42"/>
        <v>0.72526837310833792</v>
      </c>
      <c r="H32" s="33">
        <f t="shared" si="42"/>
        <v>0.68625901932289635</v>
      </c>
      <c r="I32" s="33">
        <f t="shared" si="42"/>
        <v>0.7059931967263533</v>
      </c>
      <c r="J32" s="33" t="e">
        <f t="shared" ref="J32:N32" si="43">J14/J11</f>
        <v>#DIV/0!</v>
      </c>
      <c r="K32" s="33" t="e">
        <f t="shared" si="43"/>
        <v>#DIV/0!</v>
      </c>
      <c r="L32" s="33" t="e">
        <f t="shared" si="43"/>
        <v>#DIV/0!</v>
      </c>
      <c r="M32" s="33" t="e">
        <f t="shared" si="43"/>
        <v>#DIV/0!</v>
      </c>
      <c r="N32" s="33" t="e">
        <f t="shared" si="43"/>
        <v>#DIV/0!</v>
      </c>
    </row>
    <row r="35" spans="2:14" ht="25.5">
      <c r="B35" s="35" t="s">
        <v>293</v>
      </c>
      <c r="C35" s="36">
        <f>+C112+C113</f>
        <v>1955046022000</v>
      </c>
      <c r="D35" s="36">
        <f t="shared" ref="D35:I35" si="44">+D112+D113</f>
        <v>1923048629000</v>
      </c>
      <c r="E35" s="36">
        <f t="shared" si="44"/>
        <v>1990267390000</v>
      </c>
      <c r="F35" s="36">
        <f t="shared" si="44"/>
        <v>2105899060000</v>
      </c>
      <c r="G35" s="36">
        <f t="shared" si="44"/>
        <v>2439309890000</v>
      </c>
      <c r="H35" s="36">
        <f t="shared" si="44"/>
        <v>2592745589000</v>
      </c>
      <c r="I35" s="36">
        <f t="shared" si="44"/>
        <v>2521817547000</v>
      </c>
      <c r="J35" s="36">
        <f t="shared" ref="J35:N35" si="45">+J112+J113</f>
        <v>0</v>
      </c>
      <c r="K35" s="36">
        <f t="shared" si="45"/>
        <v>0</v>
      </c>
      <c r="L35" s="36">
        <f t="shared" si="45"/>
        <v>0</v>
      </c>
      <c r="M35" s="36">
        <f t="shared" si="45"/>
        <v>0</v>
      </c>
      <c r="N35" s="36">
        <f t="shared" si="45"/>
        <v>0</v>
      </c>
    </row>
    <row r="36" spans="2:14" ht="25.5">
      <c r="B36" s="39" t="s">
        <v>156</v>
      </c>
      <c r="C36" s="40">
        <f>+C120</f>
        <v>117385336000</v>
      </c>
      <c r="D36" s="40">
        <f t="shared" ref="D36:I36" si="46">+D120</f>
        <v>90913071000</v>
      </c>
      <c r="E36" s="40">
        <f t="shared" si="46"/>
        <v>343916569000</v>
      </c>
      <c r="F36" s="40">
        <f t="shared" si="46"/>
        <v>212469036000</v>
      </c>
      <c r="G36" s="40">
        <f t="shared" si="46"/>
        <v>294374685000</v>
      </c>
      <c r="H36" s="40">
        <f t="shared" si="46"/>
        <v>757608676000</v>
      </c>
      <c r="I36" s="40">
        <f t="shared" si="46"/>
        <v>249569340000</v>
      </c>
      <c r="J36" s="40">
        <f t="shared" ref="J36:N36" si="47">+J120</f>
        <v>0</v>
      </c>
      <c r="K36" s="40">
        <f t="shared" si="47"/>
        <v>0</v>
      </c>
      <c r="L36" s="40">
        <f t="shared" si="47"/>
        <v>0</v>
      </c>
      <c r="M36" s="40">
        <f t="shared" si="47"/>
        <v>0</v>
      </c>
      <c r="N36" s="40">
        <f t="shared" si="47"/>
        <v>0</v>
      </c>
    </row>
    <row r="37" spans="2:14" ht="25.5">
      <c r="B37" s="35" t="s">
        <v>744</v>
      </c>
      <c r="C37" s="41">
        <f>C36/C35</f>
        <v>6.0042236693699687E-2</v>
      </c>
      <c r="D37" s="41">
        <f t="shared" ref="D37:I37" si="48">D36/D35</f>
        <v>4.7275492480538826E-2</v>
      </c>
      <c r="E37" s="41">
        <f t="shared" si="48"/>
        <v>0.17279917800391634</v>
      </c>
      <c r="F37" s="41">
        <f t="shared" si="48"/>
        <v>0.10089231722245985</v>
      </c>
      <c r="G37" s="41">
        <f t="shared" si="48"/>
        <v>0.12067949472381305</v>
      </c>
      <c r="H37" s="41">
        <f t="shared" si="48"/>
        <v>0.29220324555337618</v>
      </c>
      <c r="I37" s="41">
        <f t="shared" si="48"/>
        <v>9.8964074659918286E-2</v>
      </c>
      <c r="J37" s="41" t="e">
        <f t="shared" ref="J37:N37" si="49">J36/J35</f>
        <v>#DIV/0!</v>
      </c>
      <c r="K37" s="41" t="e">
        <f t="shared" si="49"/>
        <v>#DIV/0!</v>
      </c>
      <c r="L37" s="41" t="e">
        <f t="shared" si="49"/>
        <v>#DIV/0!</v>
      </c>
      <c r="M37" s="41" t="e">
        <f t="shared" si="49"/>
        <v>#DIV/0!</v>
      </c>
      <c r="N37" s="41" t="e">
        <f t="shared" si="49"/>
        <v>#DIV/0!</v>
      </c>
    </row>
    <row r="38" spans="2:14" ht="25.5">
      <c r="B38" s="43" t="s">
        <v>295</v>
      </c>
      <c r="C38" s="44">
        <f>+C128</f>
        <v>43409541000</v>
      </c>
      <c r="D38" s="44">
        <f t="shared" ref="D38:I38" si="50">+D128</f>
        <v>-23614092000</v>
      </c>
      <c r="E38" s="44">
        <f t="shared" si="50"/>
        <v>145049486000</v>
      </c>
      <c r="F38" s="44">
        <f t="shared" si="50"/>
        <v>84466248000</v>
      </c>
      <c r="G38" s="44">
        <f t="shared" si="50"/>
        <v>74474941000</v>
      </c>
      <c r="H38" s="44">
        <f t="shared" si="50"/>
        <v>456787332000</v>
      </c>
      <c r="I38" s="44">
        <f t="shared" si="50"/>
        <v>88884366000</v>
      </c>
      <c r="J38" s="44">
        <f t="shared" ref="J38:N38" si="51">+J128</f>
        <v>0</v>
      </c>
      <c r="K38" s="44">
        <f t="shared" si="51"/>
        <v>0</v>
      </c>
      <c r="L38" s="44">
        <f t="shared" si="51"/>
        <v>0</v>
      </c>
      <c r="M38" s="44">
        <f t="shared" si="51"/>
        <v>0</v>
      </c>
      <c r="N38" s="44">
        <f t="shared" si="51"/>
        <v>0</v>
      </c>
    </row>
    <row r="39" spans="2:14" ht="25.5">
      <c r="B39" s="30" t="s">
        <v>296</v>
      </c>
      <c r="C39" s="45">
        <f>C38/C35</f>
        <v>2.2203846104651957E-2</v>
      </c>
      <c r="D39" s="45">
        <f t="shared" ref="D39:I39" si="52">D38/D35</f>
        <v>-1.2279508507426309E-2</v>
      </c>
      <c r="E39" s="45">
        <f t="shared" si="52"/>
        <v>7.2879396370956973E-2</v>
      </c>
      <c r="F39" s="45">
        <f t="shared" si="52"/>
        <v>4.0109352629655481E-2</v>
      </c>
      <c r="G39" s="45">
        <f t="shared" si="52"/>
        <v>3.0531151989057037E-2</v>
      </c>
      <c r="H39" s="45">
        <f t="shared" si="52"/>
        <v>0.17617900265184869</v>
      </c>
      <c r="I39" s="45">
        <f t="shared" si="52"/>
        <v>3.5246152563946767E-2</v>
      </c>
      <c r="J39" s="45" t="e">
        <f t="shared" ref="J39:N39" si="53">J38/J35</f>
        <v>#DIV/0!</v>
      </c>
      <c r="K39" s="45" t="e">
        <f t="shared" si="53"/>
        <v>#DIV/0!</v>
      </c>
      <c r="L39" s="45" t="e">
        <f t="shared" si="53"/>
        <v>#DIV/0!</v>
      </c>
      <c r="M39" s="45" t="e">
        <f t="shared" si="53"/>
        <v>#DIV/0!</v>
      </c>
      <c r="N39" s="45" t="e">
        <f t="shared" si="53"/>
        <v>#DIV/0!</v>
      </c>
    </row>
    <row r="40" spans="2:14" ht="25.5">
      <c r="B40" s="46" t="s">
        <v>159</v>
      </c>
      <c r="C40" s="121">
        <f>+C130</f>
        <v>143.72999999999999</v>
      </c>
      <c r="D40" s="121">
        <f t="shared" ref="D40:I40" si="54">+D130</f>
        <v>-78.19</v>
      </c>
      <c r="E40" s="121">
        <f t="shared" si="54"/>
        <v>510.41</v>
      </c>
      <c r="F40" s="121">
        <f t="shared" si="54"/>
        <v>279.67</v>
      </c>
      <c r="G40" s="121">
        <f t="shared" si="54"/>
        <v>248.25</v>
      </c>
      <c r="H40" s="121">
        <f t="shared" si="54"/>
        <v>1512.46</v>
      </c>
      <c r="I40" s="121">
        <f t="shared" si="54"/>
        <v>394.3</v>
      </c>
      <c r="J40" s="121">
        <f t="shared" ref="J40:N40" si="55">+J130</f>
        <v>0</v>
      </c>
      <c r="K40" s="121">
        <f t="shared" si="55"/>
        <v>0</v>
      </c>
      <c r="L40" s="121">
        <f t="shared" si="55"/>
        <v>0</v>
      </c>
      <c r="M40" s="121">
        <f t="shared" si="55"/>
        <v>0</v>
      </c>
      <c r="N40" s="121">
        <f t="shared" si="55"/>
        <v>0</v>
      </c>
    </row>
    <row r="41" spans="2:14" ht="25.5">
      <c r="B41" s="48" t="s">
        <v>160</v>
      </c>
      <c r="C41" s="49">
        <f t="shared" ref="C41" si="56">C38/C15</f>
        <v>3.5054306122228637E-2</v>
      </c>
      <c r="D41" s="49">
        <f t="shared" ref="D41:I41" si="57">D38/D15</f>
        <v>-1.7281700264675445E-2</v>
      </c>
      <c r="E41" s="49">
        <f t="shared" si="57"/>
        <v>9.0167087995143197E-2</v>
      </c>
      <c r="F41" s="49">
        <f t="shared" si="57"/>
        <v>5.5993890639386867E-2</v>
      </c>
      <c r="G41" s="49">
        <f t="shared" si="57"/>
        <v>4.9549363336016991E-2</v>
      </c>
      <c r="H41" s="49">
        <f t="shared" si="57"/>
        <v>0.293845414149081</v>
      </c>
      <c r="I41" s="49">
        <f t="shared" si="57"/>
        <v>5.3050946891400642E-2</v>
      </c>
      <c r="J41" s="49" t="e">
        <f t="shared" ref="J41:N41" si="58">J38/J15</f>
        <v>#DIV/0!</v>
      </c>
      <c r="K41" s="49" t="e">
        <f t="shared" si="58"/>
        <v>#DIV/0!</v>
      </c>
      <c r="L41" s="49" t="e">
        <f t="shared" si="58"/>
        <v>#DIV/0!</v>
      </c>
      <c r="M41" s="49" t="e">
        <f t="shared" si="58"/>
        <v>#DIV/0!</v>
      </c>
      <c r="N41" s="49" t="e">
        <f t="shared" si="58"/>
        <v>#DIV/0!</v>
      </c>
    </row>
    <row r="42" spans="2:14" ht="25.5">
      <c r="B42" s="48" t="s">
        <v>382</v>
      </c>
      <c r="C42" s="49">
        <f>AVERAGE(G41:I41)</f>
        <v>0.13214857479216621</v>
      </c>
      <c r="D42" s="49"/>
      <c r="E42" s="49"/>
      <c r="F42" s="49"/>
      <c r="G42" s="49"/>
      <c r="H42" s="49"/>
      <c r="I42" s="49"/>
      <c r="J42" s="49"/>
      <c r="K42" s="49"/>
      <c r="L42" s="49"/>
      <c r="M42" s="49"/>
      <c r="N42" s="49"/>
    </row>
    <row r="43" spans="2:14" ht="25.5">
      <c r="B43" s="48" t="s">
        <v>298</v>
      </c>
      <c r="C43" s="50">
        <f>+C142</f>
        <v>-34318302000</v>
      </c>
      <c r="D43" s="50">
        <f t="shared" ref="D43:I43" si="59">+D142</f>
        <v>-112631936000</v>
      </c>
      <c r="E43" s="50">
        <f t="shared" si="59"/>
        <v>51167078000</v>
      </c>
      <c r="F43" s="50">
        <f t="shared" si="59"/>
        <v>63661499000</v>
      </c>
      <c r="G43" s="50">
        <f t="shared" si="59"/>
        <v>118466794000</v>
      </c>
      <c r="H43" s="50">
        <f t="shared" si="59"/>
        <v>-113824776000</v>
      </c>
      <c r="I43" s="50">
        <f t="shared" si="59"/>
        <v>226690743000</v>
      </c>
      <c r="J43" s="50">
        <f t="shared" ref="J43:N43" si="60">+J142</f>
        <v>0</v>
      </c>
      <c r="K43" s="50">
        <f t="shared" si="60"/>
        <v>0</v>
      </c>
      <c r="L43" s="50">
        <f t="shared" si="60"/>
        <v>0</v>
      </c>
      <c r="M43" s="50">
        <f t="shared" si="60"/>
        <v>0</v>
      </c>
      <c r="N43" s="50">
        <f t="shared" si="60"/>
        <v>0</v>
      </c>
    </row>
    <row r="44" spans="2:14" ht="25.5">
      <c r="B44" s="51" t="s">
        <v>476</v>
      </c>
      <c r="C44" s="51">
        <f>SUM(C46:C49)</f>
        <v>34</v>
      </c>
      <c r="D44" s="51">
        <f t="shared" ref="D44:F44" si="61">SUM(D46:D49)</f>
        <v>44</v>
      </c>
      <c r="E44" s="51">
        <f t="shared" si="61"/>
        <v>0</v>
      </c>
      <c r="F44" s="51">
        <f t="shared" si="61"/>
        <v>154</v>
      </c>
      <c r="G44" s="51">
        <f>SUM(G46:G49)</f>
        <v>839</v>
      </c>
      <c r="H44" s="51">
        <f>SUM(H46:H49)</f>
        <v>1240</v>
      </c>
      <c r="I44" s="51">
        <f t="shared" ref="I44:N44" si="62">SUM(I46:I48)</f>
        <v>94</v>
      </c>
      <c r="J44" s="51">
        <f t="shared" si="62"/>
        <v>235.4419</v>
      </c>
      <c r="K44" s="51">
        <f t="shared" si="62"/>
        <v>0</v>
      </c>
      <c r="L44" s="51">
        <f t="shared" si="62"/>
        <v>0</v>
      </c>
      <c r="M44" s="51">
        <f t="shared" si="62"/>
        <v>0</v>
      </c>
      <c r="N44" s="51">
        <f t="shared" si="62"/>
        <v>0</v>
      </c>
    </row>
    <row r="45" spans="2:14" ht="25.5">
      <c r="B45" s="51" t="s">
        <v>383</v>
      </c>
      <c r="C45" s="51">
        <f>+C46+C47</f>
        <v>33.93</v>
      </c>
      <c r="D45" s="51">
        <f t="shared" ref="D45:I45" si="63">+D46+D47</f>
        <v>43.12</v>
      </c>
      <c r="E45" s="51">
        <f t="shared" si="63"/>
        <v>0</v>
      </c>
      <c r="F45" s="51">
        <f t="shared" si="63"/>
        <v>154</v>
      </c>
      <c r="G45" s="51">
        <f t="shared" si="63"/>
        <v>139</v>
      </c>
      <c r="H45" s="51">
        <f t="shared" si="63"/>
        <v>770</v>
      </c>
      <c r="I45" s="51">
        <f t="shared" si="63"/>
        <v>94</v>
      </c>
      <c r="J45" s="51">
        <f t="shared" ref="J45:N45" si="64">+J46+J47</f>
        <v>235.4419</v>
      </c>
      <c r="K45" s="51">
        <f t="shared" si="64"/>
        <v>0</v>
      </c>
      <c r="L45" s="51">
        <f t="shared" si="64"/>
        <v>0</v>
      </c>
      <c r="M45" s="51">
        <f t="shared" si="64"/>
        <v>0</v>
      </c>
      <c r="N45" s="51">
        <f t="shared" si="64"/>
        <v>0</v>
      </c>
    </row>
    <row r="46" spans="2:14" ht="18">
      <c r="B46" s="135" t="s">
        <v>121</v>
      </c>
      <c r="C46" s="94">
        <v>33.93</v>
      </c>
      <c r="D46" s="94">
        <v>43.12</v>
      </c>
      <c r="E46" s="94"/>
      <c r="F46" s="94">
        <v>154</v>
      </c>
      <c r="G46" s="94">
        <v>139</v>
      </c>
      <c r="H46" s="94">
        <v>200</v>
      </c>
      <c r="I46" s="155">
        <v>94</v>
      </c>
      <c r="J46" s="155">
        <v>235.4419</v>
      </c>
      <c r="K46" s="155"/>
      <c r="L46" s="155"/>
      <c r="M46" s="155"/>
      <c r="N46" s="155"/>
    </row>
    <row r="47" spans="2:14" ht="18">
      <c r="B47" s="135" t="s">
        <v>122</v>
      </c>
      <c r="C47" s="94"/>
      <c r="D47" s="94"/>
      <c r="E47" s="94"/>
      <c r="F47" s="94"/>
      <c r="G47" s="94"/>
      <c r="H47" s="94">
        <f>100+470</f>
        <v>570</v>
      </c>
      <c r="I47" s="155"/>
      <c r="J47" s="155"/>
      <c r="K47" s="155"/>
      <c r="L47" s="155"/>
      <c r="M47" s="155"/>
      <c r="N47" s="155"/>
    </row>
    <row r="48" spans="2:14" ht="18">
      <c r="B48" s="135" t="s">
        <v>123</v>
      </c>
      <c r="C48" s="94">
        <v>7.0000000000000007E-2</v>
      </c>
      <c r="D48" s="94">
        <v>0.88</v>
      </c>
      <c r="E48" s="94"/>
      <c r="F48" s="94"/>
      <c r="G48" s="94"/>
      <c r="H48" s="94"/>
      <c r="I48" s="155"/>
      <c r="J48" s="155"/>
      <c r="K48" s="155"/>
      <c r="L48" s="155"/>
      <c r="M48" s="155"/>
      <c r="N48" s="155"/>
    </row>
    <row r="49" spans="2:16" ht="18">
      <c r="B49" s="135" t="s">
        <v>124</v>
      </c>
      <c r="C49" s="94"/>
      <c r="D49" s="94"/>
      <c r="E49" s="94"/>
      <c r="F49" s="94"/>
      <c r="G49" s="94">
        <v>700</v>
      </c>
      <c r="H49" s="94">
        <v>470</v>
      </c>
      <c r="I49" s="94"/>
      <c r="J49" s="94"/>
      <c r="K49" s="94"/>
      <c r="L49" s="94"/>
      <c r="M49" s="94"/>
      <c r="N49" s="94"/>
    </row>
    <row r="50" spans="2:16" ht="25.5">
      <c r="B50" s="541" t="s">
        <v>167</v>
      </c>
      <c r="C50" s="99">
        <f>(C47+C48+D46)/C40</f>
        <v>0.30049398177137687</v>
      </c>
      <c r="D50" s="99">
        <f t="shared" ref="D50:N50" si="65">(D47+D48+E46)/D40</f>
        <v>-1.125463614272925E-2</v>
      </c>
      <c r="E50" s="99">
        <f t="shared" si="65"/>
        <v>0.301718226523775</v>
      </c>
      <c r="F50" s="99">
        <f t="shared" si="65"/>
        <v>0.49701433832731429</v>
      </c>
      <c r="G50" s="99">
        <f t="shared" si="65"/>
        <v>0.80563947633434041</v>
      </c>
      <c r="H50" s="99">
        <f t="shared" si="65"/>
        <v>0.43901987490578265</v>
      </c>
      <c r="I50" s="99">
        <f t="shared" si="65"/>
        <v>0.59711361907177274</v>
      </c>
      <c r="J50" s="99" t="e">
        <f t="shared" si="65"/>
        <v>#DIV/0!</v>
      </c>
      <c r="K50" s="99" t="e">
        <f t="shared" si="65"/>
        <v>#DIV/0!</v>
      </c>
      <c r="L50" s="99" t="e">
        <f t="shared" si="65"/>
        <v>#DIV/0!</v>
      </c>
      <c r="M50" s="99" t="e">
        <f t="shared" si="65"/>
        <v>#DIV/0!</v>
      </c>
      <c r="N50" s="99" t="e">
        <f t="shared" si="65"/>
        <v>#DIV/0!</v>
      </c>
    </row>
    <row r="51" spans="2:16" ht="28.5">
      <c r="B51" s="540" t="s">
        <v>303</v>
      </c>
      <c r="C51" s="54">
        <f>AVERAGE(G50:I50)</f>
        <v>0.61392432343729864</v>
      </c>
      <c r="D51" s="54"/>
      <c r="E51" s="54"/>
      <c r="F51" s="54"/>
      <c r="G51" s="54"/>
      <c r="H51" s="54"/>
      <c r="I51" s="54"/>
      <c r="J51" s="54"/>
      <c r="K51" s="54"/>
      <c r="L51" s="54"/>
      <c r="M51" s="54"/>
      <c r="N51" s="54"/>
    </row>
    <row r="52" spans="2:16" ht="25.5">
      <c r="B52" s="541" t="s">
        <v>299</v>
      </c>
      <c r="C52" s="99">
        <f t="shared" ref="C52:I52" si="66">+C44/C19</f>
        <v>4.9161364950838634E-3</v>
      </c>
      <c r="D52" s="99">
        <f t="shared" si="66"/>
        <v>8.175399479747306E-3</v>
      </c>
      <c r="E52" s="99">
        <f t="shared" si="66"/>
        <v>0</v>
      </c>
      <c r="F52" s="99">
        <f t="shared" si="66"/>
        <v>3.4936479128856626E-2</v>
      </c>
      <c r="G52" s="99">
        <f t="shared" si="66"/>
        <v>0.29142063216394581</v>
      </c>
      <c r="H52" s="99">
        <f t="shared" si="66"/>
        <v>0.4229195088676671</v>
      </c>
      <c r="I52" s="99">
        <f t="shared" si="66"/>
        <v>2.9156327543424319E-2</v>
      </c>
      <c r="J52" s="99" t="e">
        <f t="shared" ref="J52:N52" si="67">+J44/J19</f>
        <v>#DIV/0!</v>
      </c>
      <c r="K52" s="99" t="e">
        <f t="shared" si="67"/>
        <v>#DIV/0!</v>
      </c>
      <c r="L52" s="99" t="e">
        <f t="shared" si="67"/>
        <v>#DIV/0!</v>
      </c>
      <c r="M52" s="99" t="e">
        <f t="shared" si="67"/>
        <v>#DIV/0!</v>
      </c>
      <c r="N52" s="99" t="e">
        <f t="shared" si="67"/>
        <v>#DIV/0!</v>
      </c>
    </row>
    <row r="53" spans="2:16" ht="25.5">
      <c r="B53" s="542" t="s">
        <v>384</v>
      </c>
      <c r="C53" s="534">
        <f>AVERAGE(G52:I52)</f>
        <v>0.24783215619167909</v>
      </c>
      <c r="D53" s="534"/>
      <c r="E53" s="534"/>
      <c r="F53" s="534"/>
      <c r="G53" s="534"/>
      <c r="H53" s="534"/>
      <c r="I53" s="534"/>
      <c r="J53" s="534"/>
      <c r="K53" s="534"/>
      <c r="L53" s="534"/>
      <c r="M53" s="534"/>
      <c r="N53" s="534"/>
      <c r="O53" s="534"/>
      <c r="P53" s="534"/>
    </row>
    <row r="54" spans="2:16" ht="25.5">
      <c r="B54" s="543" t="s">
        <v>176</v>
      </c>
      <c r="C54" s="355">
        <f>+C41*(100%-C50)</f>
        <v>2.45206980973274E-2</v>
      </c>
      <c r="D54" s="355">
        <f t="shared" ref="D54:I54" si="68">+D41*(100%-D50)</f>
        <v>-1.7476199513082075E-2</v>
      </c>
      <c r="E54" s="355">
        <f t="shared" si="68"/>
        <v>6.2962034114435433E-2</v>
      </c>
      <c r="F54" s="549">
        <f t="shared" si="68"/>
        <v>2.8164124132880008E-2</v>
      </c>
      <c r="G54" s="355">
        <f t="shared" si="68"/>
        <v>9.6304402052882956E-3</v>
      </c>
      <c r="H54" s="355">
        <f t="shared" si="68"/>
        <v>0.16484143718771357</v>
      </c>
      <c r="I54" s="355">
        <f t="shared" si="68"/>
        <v>2.1373503997891993E-2</v>
      </c>
      <c r="J54" s="355" t="e">
        <f t="shared" ref="J54:N54" si="69">+J41*(100%-J50)</f>
        <v>#DIV/0!</v>
      </c>
      <c r="K54" s="355" t="e">
        <f t="shared" si="69"/>
        <v>#DIV/0!</v>
      </c>
      <c r="L54" s="355" t="e">
        <f t="shared" si="69"/>
        <v>#DIV/0!</v>
      </c>
      <c r="M54" s="355" t="e">
        <f t="shared" si="69"/>
        <v>#DIV/0!</v>
      </c>
      <c r="N54" s="355" t="e">
        <f t="shared" si="69"/>
        <v>#DIV/0!</v>
      </c>
    </row>
    <row r="55" spans="2:16" ht="25.5">
      <c r="B55" s="542" t="s">
        <v>306</v>
      </c>
      <c r="C55" s="534">
        <f>AVERAGE(G54:I54)</f>
        <v>6.5281793796964624E-2</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v>744945928000</v>
      </c>
      <c r="D61" s="64">
        <v>810596112000</v>
      </c>
      <c r="E61" s="64">
        <v>1350183140000</v>
      </c>
      <c r="F61" s="159">
        <v>1376958931000</v>
      </c>
      <c r="G61" s="141">
        <v>1295049133000</v>
      </c>
      <c r="H61" s="64">
        <v>1484646595000</v>
      </c>
      <c r="I61" s="64">
        <v>1596064579000</v>
      </c>
      <c r="J61" s="64"/>
      <c r="K61" s="64"/>
      <c r="L61" s="64"/>
      <c r="M61" s="64"/>
      <c r="N61" s="64"/>
    </row>
    <row r="62" spans="2:16">
      <c r="B62" s="59" t="s">
        <v>386</v>
      </c>
      <c r="C62" s="66">
        <v>145646465000</v>
      </c>
      <c r="D62" s="66">
        <v>72748250000</v>
      </c>
      <c r="E62" s="66">
        <v>447411760000</v>
      </c>
      <c r="F62" s="66">
        <v>202481237000</v>
      </c>
      <c r="G62" s="160">
        <v>108604768000</v>
      </c>
      <c r="H62" s="66">
        <v>186542396000</v>
      </c>
      <c r="I62" s="66">
        <v>530862387000</v>
      </c>
      <c r="J62" s="66"/>
      <c r="K62" s="66"/>
      <c r="L62" s="66"/>
      <c r="M62" s="66"/>
      <c r="N62" s="66"/>
    </row>
    <row r="63" spans="2:16">
      <c r="B63" s="59" t="s">
        <v>387</v>
      </c>
      <c r="C63" s="66">
        <v>2118672000</v>
      </c>
      <c r="D63" s="66">
        <v>17161830000</v>
      </c>
      <c r="E63" s="66">
        <v>162710301000</v>
      </c>
      <c r="F63" s="66">
        <v>389290088000</v>
      </c>
      <c r="G63" s="160">
        <v>326830155000</v>
      </c>
      <c r="H63" s="66">
        <v>167147402000</v>
      </c>
      <c r="I63" s="66">
        <v>170887333000</v>
      </c>
      <c r="J63" s="66"/>
      <c r="K63" s="66"/>
      <c r="L63" s="66"/>
      <c r="M63" s="66"/>
      <c r="N63" s="66"/>
    </row>
    <row r="64" spans="2:16">
      <c r="B64" s="59" t="s">
        <v>388</v>
      </c>
      <c r="C64" s="66">
        <v>55019553000</v>
      </c>
      <c r="D64" s="66">
        <v>108926269000</v>
      </c>
      <c r="E64" s="66">
        <v>88438713000</v>
      </c>
      <c r="F64" s="66">
        <v>85956936000</v>
      </c>
      <c r="G64" s="160">
        <v>92976300000</v>
      </c>
      <c r="H64" s="66">
        <v>108416636000</v>
      </c>
      <c r="I64" s="66">
        <v>126041006000</v>
      </c>
      <c r="J64" s="66"/>
      <c r="K64" s="66"/>
      <c r="L64" s="66"/>
      <c r="M64" s="66"/>
      <c r="N64" s="66"/>
    </row>
    <row r="65" spans="2:14">
      <c r="B65" s="59" t="s">
        <v>389</v>
      </c>
      <c r="C65" s="66">
        <v>346455962000</v>
      </c>
      <c r="D65" s="66">
        <v>438739769000</v>
      </c>
      <c r="E65" s="66">
        <v>508571105000</v>
      </c>
      <c r="F65" s="66">
        <v>489258436000</v>
      </c>
      <c r="G65" s="160">
        <v>620457323000</v>
      </c>
      <c r="H65" s="66">
        <v>645453025000</v>
      </c>
      <c r="I65" s="66">
        <v>633257358000</v>
      </c>
      <c r="J65" s="66"/>
      <c r="K65" s="66"/>
      <c r="L65" s="66"/>
      <c r="M65" s="66"/>
      <c r="N65" s="66"/>
    </row>
    <row r="66" spans="2:14">
      <c r="B66" s="59" t="s">
        <v>390</v>
      </c>
      <c r="C66" s="66">
        <v>414501000</v>
      </c>
      <c r="D66" s="66">
        <v>389434000</v>
      </c>
      <c r="E66" s="66">
        <v>484522000</v>
      </c>
      <c r="F66" s="66">
        <v>294621000</v>
      </c>
      <c r="G66" s="160">
        <v>210440000</v>
      </c>
      <c r="H66" s="66">
        <v>696046000</v>
      </c>
      <c r="I66" s="66">
        <v>628381000</v>
      </c>
      <c r="J66" s="66"/>
      <c r="K66" s="66"/>
      <c r="L66" s="66"/>
      <c r="M66" s="66"/>
      <c r="N66" s="66"/>
    </row>
    <row r="67" spans="2:14">
      <c r="B67" s="59" t="s">
        <v>391</v>
      </c>
      <c r="C67" s="161">
        <v>96928834000</v>
      </c>
      <c r="D67" s="66">
        <v>120229703000</v>
      </c>
      <c r="E67" s="66">
        <v>82615111000</v>
      </c>
      <c r="F67" s="66">
        <v>77736315000</v>
      </c>
      <c r="G67" s="160">
        <v>121126311000</v>
      </c>
      <c r="H67" s="66">
        <v>120441247000</v>
      </c>
      <c r="I67" s="66">
        <v>107545480000</v>
      </c>
      <c r="J67" s="66"/>
      <c r="K67" s="66"/>
      <c r="L67" s="66"/>
      <c r="M67" s="66"/>
      <c r="N67" s="66"/>
    </row>
    <row r="68" spans="2:14">
      <c r="B68" s="59" t="s">
        <v>392</v>
      </c>
      <c r="C68" s="66">
        <v>98361941000</v>
      </c>
      <c r="D68" s="66">
        <v>52400857000</v>
      </c>
      <c r="E68" s="66">
        <v>25900528000</v>
      </c>
      <c r="F68" s="66">
        <v>117796401000</v>
      </c>
      <c r="G68" s="160">
        <v>24843836000</v>
      </c>
      <c r="H68" s="66">
        <v>130243560000</v>
      </c>
      <c r="I68" s="66">
        <v>22901729000</v>
      </c>
      <c r="J68" s="66"/>
      <c r="K68" s="66"/>
      <c r="L68" s="66"/>
      <c r="M68" s="66"/>
      <c r="N68" s="66"/>
    </row>
    <row r="69" spans="2:14">
      <c r="B69" s="59" t="s">
        <v>318</v>
      </c>
      <c r="C69" s="66">
        <f t="shared" ref="C69:F69" si="70">+C61-C62-C67-C68-C66-C65-C64-C63</f>
        <v>0</v>
      </c>
      <c r="D69" s="66">
        <f t="shared" si="70"/>
        <v>0</v>
      </c>
      <c r="E69" s="66">
        <f t="shared" si="70"/>
        <v>34051100000</v>
      </c>
      <c r="F69" s="66">
        <f t="shared" si="70"/>
        <v>14144897000</v>
      </c>
      <c r="G69" s="66">
        <f t="shared" ref="G69:H69" si="71">+G61-G62-G67-G68-G66-G65-G64-G63</f>
        <v>0</v>
      </c>
      <c r="H69" s="66">
        <f t="shared" si="71"/>
        <v>125706283000</v>
      </c>
      <c r="I69" s="66">
        <v>3940905000</v>
      </c>
      <c r="J69" s="66"/>
      <c r="K69" s="66"/>
      <c r="L69" s="66"/>
      <c r="M69" s="66"/>
      <c r="N69" s="66"/>
    </row>
    <row r="70" spans="2:14">
      <c r="B70" s="58" t="s">
        <v>319</v>
      </c>
      <c r="C70" s="64">
        <v>2784094245000</v>
      </c>
      <c r="D70" s="64">
        <v>3153619159000</v>
      </c>
      <c r="E70" s="64">
        <v>3819310462000</v>
      </c>
      <c r="F70" s="159">
        <v>3511485601000</v>
      </c>
      <c r="G70" s="141">
        <v>4175909504000</v>
      </c>
      <c r="H70" s="64">
        <v>4110699844000</v>
      </c>
      <c r="I70" s="64">
        <v>4102623143000</v>
      </c>
      <c r="J70" s="64"/>
      <c r="K70" s="64"/>
      <c r="L70" s="64"/>
      <c r="M70" s="64"/>
      <c r="N70" s="64"/>
    </row>
    <row r="71" spans="2:14">
      <c r="B71" s="59" t="s">
        <v>393</v>
      </c>
      <c r="C71" s="66">
        <v>36517409000</v>
      </c>
      <c r="D71" s="66">
        <v>87538958000</v>
      </c>
      <c r="E71" s="66">
        <v>175816161000</v>
      </c>
      <c r="F71" s="66">
        <v>130512601000</v>
      </c>
      <c r="G71" s="160">
        <v>397088066000</v>
      </c>
      <c r="H71" s="66">
        <v>268795778000</v>
      </c>
      <c r="I71" s="66">
        <v>264148776000</v>
      </c>
      <c r="J71" s="66"/>
      <c r="K71" s="66"/>
      <c r="L71" s="66"/>
      <c r="M71" s="66"/>
      <c r="N71" s="66"/>
    </row>
    <row r="72" spans="2:14">
      <c r="B72" s="59" t="s">
        <v>394</v>
      </c>
      <c r="C72" s="66">
        <v>115810278000</v>
      </c>
      <c r="D72" s="66">
        <v>159626594000</v>
      </c>
      <c r="E72" s="66">
        <v>143778716000</v>
      </c>
      <c r="F72" s="66">
        <v>106732933000</v>
      </c>
      <c r="G72" s="160">
        <v>98554901000</v>
      </c>
      <c r="H72" s="66">
        <v>77274714000</v>
      </c>
      <c r="I72" s="66">
        <v>39295606000</v>
      </c>
      <c r="J72" s="66"/>
      <c r="K72" s="66"/>
      <c r="L72" s="66"/>
      <c r="M72" s="66"/>
      <c r="N72" s="66"/>
    </row>
    <row r="73" spans="2:14">
      <c r="B73" s="59" t="s">
        <v>663</v>
      </c>
      <c r="C73" s="66">
        <v>5140856000</v>
      </c>
      <c r="D73" s="66">
        <v>11966529000</v>
      </c>
      <c r="E73" s="66">
        <v>8008847000</v>
      </c>
      <c r="F73" s="66">
        <v>7606937000</v>
      </c>
      <c r="G73" s="160">
        <v>8678034000</v>
      </c>
      <c r="H73" s="66">
        <v>12634870000</v>
      </c>
      <c r="I73" s="66">
        <v>7643918000</v>
      </c>
      <c r="J73" s="66"/>
      <c r="K73" s="66"/>
      <c r="L73" s="66"/>
      <c r="M73" s="66"/>
      <c r="N73" s="66"/>
    </row>
    <row r="74" spans="2:14">
      <c r="B74" s="59" t="s">
        <v>745</v>
      </c>
      <c r="C74" s="66">
        <v>298921432000</v>
      </c>
      <c r="D74" s="66">
        <v>314966856000</v>
      </c>
      <c r="E74" s="66">
        <v>332273146000</v>
      </c>
      <c r="F74" s="66">
        <v>280882103000</v>
      </c>
      <c r="G74" s="160">
        <v>388041277000</v>
      </c>
      <c r="H74" s="66">
        <v>389794734000</v>
      </c>
      <c r="I74" s="66">
        <v>390568664000</v>
      </c>
      <c r="J74" s="66"/>
      <c r="K74" s="66"/>
      <c r="L74" s="66"/>
      <c r="M74" s="66"/>
      <c r="N74" s="66"/>
    </row>
    <row r="75" spans="2:14">
      <c r="B75" s="59" t="s">
        <v>396</v>
      </c>
      <c r="C75" s="66">
        <v>47109078000</v>
      </c>
      <c r="D75" s="66">
        <v>47215753000</v>
      </c>
      <c r="E75" s="66">
        <v>47342392000</v>
      </c>
      <c r="F75" s="66">
        <v>47151825000</v>
      </c>
      <c r="G75" s="160">
        <v>47251140000</v>
      </c>
      <c r="H75" s="66">
        <v>47331130000</v>
      </c>
      <c r="I75" s="66">
        <v>47411695000</v>
      </c>
      <c r="J75" s="66"/>
      <c r="K75" s="66"/>
      <c r="L75" s="66"/>
      <c r="M75" s="66"/>
      <c r="N75" s="66"/>
    </row>
    <row r="76" spans="2:14">
      <c r="B76" s="59" t="s">
        <v>398</v>
      </c>
      <c r="C76" s="66">
        <v>1876555163000</v>
      </c>
      <c r="D76" s="66">
        <v>2035133173000</v>
      </c>
      <c r="E76" s="66">
        <v>2042852510000</v>
      </c>
      <c r="F76" s="66">
        <v>1940341846000</v>
      </c>
      <c r="G76" s="160">
        <v>2049999322000</v>
      </c>
      <c r="H76" s="66">
        <v>2017214172000</v>
      </c>
      <c r="I76" s="66">
        <v>2136965468000</v>
      </c>
      <c r="J76" s="66"/>
      <c r="K76" s="66"/>
      <c r="L76" s="66"/>
      <c r="M76" s="66"/>
      <c r="N76" s="66"/>
    </row>
    <row r="77" spans="2:14">
      <c r="B77" s="59" t="s">
        <v>400</v>
      </c>
      <c r="C77" s="66"/>
      <c r="D77" s="66"/>
      <c r="E77" s="66">
        <v>385861761000</v>
      </c>
      <c r="F77" s="66">
        <v>362410839000</v>
      </c>
      <c r="G77" s="160">
        <v>442122455000</v>
      </c>
      <c r="H77" s="66">
        <v>472818691000</v>
      </c>
      <c r="I77" s="66">
        <v>485851073000</v>
      </c>
      <c r="J77" s="66"/>
      <c r="K77" s="66"/>
      <c r="L77" s="66"/>
      <c r="M77" s="66"/>
      <c r="N77" s="66"/>
    </row>
    <row r="78" spans="2:14">
      <c r="B78" s="59" t="s">
        <v>746</v>
      </c>
      <c r="C78" s="66">
        <v>1463711000</v>
      </c>
      <c r="D78" s="66">
        <v>2366841000</v>
      </c>
      <c r="E78" s="66">
        <v>995171000</v>
      </c>
      <c r="F78" s="161">
        <v>1078992000</v>
      </c>
      <c r="G78" s="160">
        <v>640498000</v>
      </c>
      <c r="H78" s="66">
        <v>1593767000</v>
      </c>
      <c r="I78" s="66">
        <v>0</v>
      </c>
      <c r="J78" s="66"/>
      <c r="K78" s="66"/>
      <c r="L78" s="66"/>
      <c r="M78" s="66"/>
      <c r="N78" s="66"/>
    </row>
    <row r="79" spans="2:14">
      <c r="B79" s="59" t="s">
        <v>401</v>
      </c>
      <c r="C79" s="66">
        <v>402576318000</v>
      </c>
      <c r="D79" s="66">
        <v>494804455000</v>
      </c>
      <c r="E79" s="66">
        <v>682381758000</v>
      </c>
      <c r="F79" s="66">
        <v>634767525000</v>
      </c>
      <c r="G79" s="160">
        <v>743533811000</v>
      </c>
      <c r="H79" s="66">
        <v>823241988000</v>
      </c>
      <c r="I79" s="66">
        <v>730737943000</v>
      </c>
      <c r="J79" s="66"/>
      <c r="K79" s="66"/>
      <c r="L79" s="66"/>
      <c r="M79" s="66"/>
      <c r="N79" s="66"/>
    </row>
    <row r="80" spans="2:14">
      <c r="B80" s="59" t="s">
        <v>328</v>
      </c>
      <c r="C80" s="66">
        <f t="shared" ref="C80:F80" si="72">+C70-C77-C78-C76-C71-C79-C75-C74-C73-C72</f>
        <v>0</v>
      </c>
      <c r="D80" s="66">
        <f t="shared" si="72"/>
        <v>0</v>
      </c>
      <c r="E80" s="66">
        <f t="shared" si="72"/>
        <v>0</v>
      </c>
      <c r="F80" s="66">
        <f t="shared" si="72"/>
        <v>0</v>
      </c>
      <c r="G80" s="66">
        <f t="shared" ref="G80:I80" si="73">+G70-G77-G78-G76-G71-G79-G75-G74-G73-G72</f>
        <v>0</v>
      </c>
      <c r="H80" s="66">
        <f t="shared" si="73"/>
        <v>0</v>
      </c>
      <c r="I80" s="66">
        <f t="shared" si="73"/>
        <v>0</v>
      </c>
      <c r="J80" s="66"/>
      <c r="K80" s="66"/>
      <c r="L80" s="66"/>
      <c r="M80" s="66"/>
      <c r="N80" s="66"/>
    </row>
    <row r="81" spans="2:14" ht="14.65" thickBot="1">
      <c r="B81" s="60" t="s">
        <v>329</v>
      </c>
      <c r="C81" s="70">
        <f t="shared" ref="C81:F81" si="74">+C70+C61</f>
        <v>3529040173000</v>
      </c>
      <c r="D81" s="70">
        <f t="shared" si="74"/>
        <v>3964215271000</v>
      </c>
      <c r="E81" s="70">
        <f t="shared" si="74"/>
        <v>5169493602000</v>
      </c>
      <c r="F81" s="70">
        <f t="shared" si="74"/>
        <v>4888444532000</v>
      </c>
      <c r="G81" s="162">
        <f t="shared" ref="G81:I81" si="75">+G70+G61</f>
        <v>5470958637000</v>
      </c>
      <c r="H81" s="162">
        <f t="shared" si="75"/>
        <v>5595346439000</v>
      </c>
      <c r="I81" s="162">
        <f t="shared" si="75"/>
        <v>5698687722000</v>
      </c>
      <c r="J81" s="162"/>
      <c r="K81" s="162"/>
      <c r="L81" s="162"/>
      <c r="M81" s="162"/>
      <c r="N81" s="162"/>
    </row>
    <row r="82" spans="2:14" ht="14.65" thickBot="1">
      <c r="B82" s="61"/>
      <c r="C82" s="72"/>
      <c r="D82" s="72"/>
      <c r="E82" s="72"/>
      <c r="F82" s="72"/>
      <c r="G82" s="163"/>
      <c r="H82" s="72"/>
      <c r="I82" s="72"/>
      <c r="J82" s="72"/>
      <c r="K82" s="72"/>
      <c r="L82" s="72"/>
      <c r="M82" s="72"/>
      <c r="N82" s="72"/>
    </row>
    <row r="83" spans="2:14">
      <c r="B83" s="57" t="s">
        <v>330</v>
      </c>
      <c r="C83" s="62"/>
      <c r="D83" s="62"/>
      <c r="E83" s="62"/>
      <c r="F83" s="62"/>
      <c r="G83" s="164"/>
      <c r="H83" s="62"/>
      <c r="I83" s="62"/>
      <c r="J83" s="62"/>
      <c r="K83" s="62"/>
      <c r="L83" s="62"/>
      <c r="M83" s="62"/>
      <c r="N83" s="62"/>
    </row>
    <row r="84" spans="2:14">
      <c r="B84" s="58" t="s">
        <v>310</v>
      </c>
      <c r="C84" s="64">
        <v>623404767000</v>
      </c>
      <c r="D84" s="64">
        <v>658742932000</v>
      </c>
      <c r="E84" s="64">
        <v>891001450000</v>
      </c>
      <c r="F84" s="64">
        <v>814156775000</v>
      </c>
      <c r="G84" s="141">
        <v>1157171716000</v>
      </c>
      <c r="H84" s="64">
        <v>1132020070000</v>
      </c>
      <c r="I84" s="64">
        <v>1336992696000</v>
      </c>
      <c r="J84" s="64"/>
      <c r="K84" s="64"/>
      <c r="L84" s="64"/>
      <c r="M84" s="64"/>
      <c r="N84" s="64"/>
    </row>
    <row r="85" spans="2:14">
      <c r="B85" s="59" t="s">
        <v>402</v>
      </c>
      <c r="C85" s="66">
        <v>36540044000</v>
      </c>
      <c r="D85" s="66">
        <v>20617883000</v>
      </c>
      <c r="E85" s="66">
        <v>28813909000</v>
      </c>
      <c r="F85" s="66">
        <v>22733634000</v>
      </c>
      <c r="G85" s="160">
        <v>196857268000</v>
      </c>
      <c r="H85" s="66">
        <v>275135592000</v>
      </c>
      <c r="I85" s="66">
        <v>337854552000</v>
      </c>
      <c r="J85" s="66"/>
      <c r="K85" s="66"/>
      <c r="L85" s="66"/>
      <c r="M85" s="66"/>
      <c r="N85" s="66"/>
    </row>
    <row r="86" spans="2:14">
      <c r="B86" s="59" t="s">
        <v>747</v>
      </c>
      <c r="C86" s="66"/>
      <c r="D86" s="66"/>
      <c r="E86" s="66">
        <v>68943016000</v>
      </c>
      <c r="F86" s="66">
        <v>75453147000</v>
      </c>
      <c r="G86" s="160">
        <v>102983454000</v>
      </c>
      <c r="H86" s="66">
        <v>109048285000</v>
      </c>
      <c r="I86" s="66">
        <v>120979892000</v>
      </c>
      <c r="J86" s="66"/>
      <c r="K86" s="66"/>
      <c r="L86" s="66"/>
      <c r="M86" s="66"/>
      <c r="N86" s="66"/>
    </row>
    <row r="87" spans="2:14">
      <c r="B87" s="59" t="s">
        <v>404</v>
      </c>
      <c r="C87" s="66"/>
      <c r="D87" s="66"/>
      <c r="E87" s="66"/>
      <c r="F87" s="66"/>
      <c r="G87" s="160"/>
      <c r="H87" s="66"/>
      <c r="I87" s="66"/>
      <c r="J87" s="66"/>
      <c r="K87" s="66"/>
      <c r="L87" s="66"/>
      <c r="M87" s="66"/>
      <c r="N87" s="66"/>
    </row>
    <row r="88" spans="2:14">
      <c r="B88" s="59" t="s">
        <v>405</v>
      </c>
      <c r="C88" s="66">
        <v>545150721000</v>
      </c>
      <c r="D88" s="66">
        <v>553734579000</v>
      </c>
      <c r="E88" s="66">
        <v>660395152000</v>
      </c>
      <c r="F88" s="66">
        <v>662449107000</v>
      </c>
      <c r="G88" s="160">
        <v>746239147000</v>
      </c>
      <c r="H88" s="66">
        <v>694816615000</v>
      </c>
      <c r="I88" s="66">
        <v>791220467000</v>
      </c>
      <c r="J88" s="66"/>
      <c r="K88" s="66"/>
      <c r="L88" s="66"/>
      <c r="M88" s="66"/>
      <c r="N88" s="66"/>
    </row>
    <row r="89" spans="2:14">
      <c r="B89" s="59" t="s">
        <v>406</v>
      </c>
      <c r="C89" s="66">
        <v>0</v>
      </c>
      <c r="D89" s="66">
        <v>298309000</v>
      </c>
      <c r="E89" s="66">
        <v>170385000</v>
      </c>
      <c r="F89" s="66">
        <v>332181000</v>
      </c>
      <c r="G89" s="160">
        <v>607794000</v>
      </c>
      <c r="H89" s="66">
        <v>813773000</v>
      </c>
      <c r="I89" s="66">
        <v>2509437000</v>
      </c>
      <c r="J89" s="66"/>
      <c r="K89" s="66"/>
      <c r="L89" s="66"/>
      <c r="M89" s="66"/>
      <c r="N89" s="66"/>
    </row>
    <row r="90" spans="2:14">
      <c r="B90" s="59" t="s">
        <v>407</v>
      </c>
      <c r="C90" s="66">
        <v>7369584000</v>
      </c>
      <c r="D90" s="66">
        <v>8446048000</v>
      </c>
      <c r="E90" s="66">
        <v>1841742000</v>
      </c>
      <c r="F90" s="66">
        <v>1479547000</v>
      </c>
      <c r="G90" s="160">
        <v>1539643000</v>
      </c>
      <c r="H90" s="66">
        <v>2111012000</v>
      </c>
      <c r="I90" s="66">
        <v>3837218000</v>
      </c>
      <c r="J90" s="66"/>
      <c r="K90" s="66"/>
      <c r="L90" s="66"/>
      <c r="M90" s="66"/>
      <c r="N90" s="66"/>
    </row>
    <row r="91" spans="2:14">
      <c r="B91" s="59" t="s">
        <v>408</v>
      </c>
      <c r="C91" s="66">
        <v>355884000</v>
      </c>
      <c r="D91" s="66">
        <v>43407612000</v>
      </c>
      <c r="E91" s="66">
        <v>99275308000</v>
      </c>
      <c r="F91" s="66">
        <v>14700058000</v>
      </c>
      <c r="G91" s="160">
        <v>57204467000</v>
      </c>
      <c r="H91" s="66">
        <v>15177415000</v>
      </c>
      <c r="I91" s="66">
        <v>46692235000</v>
      </c>
      <c r="J91" s="66"/>
      <c r="K91" s="66"/>
      <c r="L91" s="66"/>
      <c r="M91" s="66"/>
      <c r="N91" s="66"/>
    </row>
    <row r="92" spans="2:14">
      <c r="B92" s="59" t="s">
        <v>496</v>
      </c>
      <c r="C92" s="66">
        <v>33988534000</v>
      </c>
      <c r="D92" s="66">
        <v>32238501000</v>
      </c>
      <c r="E92" s="66">
        <v>31561938000</v>
      </c>
      <c r="F92" s="66">
        <v>37009101000</v>
      </c>
      <c r="G92" s="160">
        <v>51739943000</v>
      </c>
      <c r="H92" s="66">
        <v>34917378000</v>
      </c>
      <c r="I92" s="66">
        <v>33898895000</v>
      </c>
      <c r="J92" s="66"/>
      <c r="K92" s="66"/>
      <c r="L92" s="66"/>
      <c r="M92" s="66"/>
      <c r="N92" s="66"/>
    </row>
    <row r="93" spans="2:14">
      <c r="B93" s="59" t="s">
        <v>410</v>
      </c>
      <c r="C93" s="66">
        <f t="shared" ref="C93:F93" si="76">+C84-C85-C91-C92-C90-C89-C88-C87-C86</f>
        <v>0</v>
      </c>
      <c r="D93" s="66">
        <f t="shared" si="76"/>
        <v>0</v>
      </c>
      <c r="E93" s="66">
        <f t="shared" si="76"/>
        <v>0</v>
      </c>
      <c r="F93" s="66">
        <f t="shared" si="76"/>
        <v>0</v>
      </c>
      <c r="G93" s="66">
        <f t="shared" ref="G93:H93" si="77">+G84-G85-G91-G92-G90-G89-G88-G87-G86</f>
        <v>0</v>
      </c>
      <c r="H93" s="66">
        <f t="shared" si="77"/>
        <v>0</v>
      </c>
      <c r="I93" s="66"/>
      <c r="J93" s="66"/>
      <c r="K93" s="66"/>
      <c r="L93" s="66"/>
      <c r="M93" s="66"/>
      <c r="N93" s="66"/>
    </row>
    <row r="94" spans="2:14">
      <c r="B94" s="58" t="s">
        <v>319</v>
      </c>
      <c r="C94" s="64">
        <v>1667284236000</v>
      </c>
      <c r="D94" s="64">
        <v>1939050377000</v>
      </c>
      <c r="E94" s="64">
        <v>2669817754000</v>
      </c>
      <c r="F94" s="64">
        <v>2565797330000</v>
      </c>
      <c r="G94" s="141">
        <v>2810741554000</v>
      </c>
      <c r="H94" s="64">
        <v>2707836890000</v>
      </c>
      <c r="I94" s="64">
        <v>2686242066000</v>
      </c>
      <c r="J94" s="64"/>
      <c r="K94" s="64"/>
      <c r="L94" s="64"/>
      <c r="M94" s="64"/>
      <c r="N94" s="64"/>
    </row>
    <row r="95" spans="2:14">
      <c r="B95" s="59" t="s">
        <v>411</v>
      </c>
      <c r="C95" s="66">
        <v>1590913982000</v>
      </c>
      <c r="D95" s="66">
        <v>1794895669000</v>
      </c>
      <c r="E95" s="66">
        <v>1969001930000</v>
      </c>
      <c r="F95" s="66">
        <v>1856453965000</v>
      </c>
      <c r="G95" s="160">
        <v>1935510606000</v>
      </c>
      <c r="H95" s="66">
        <v>1945802091000</v>
      </c>
      <c r="I95" s="66">
        <v>1775723807000</v>
      </c>
      <c r="J95" s="66"/>
      <c r="K95" s="66"/>
      <c r="L95" s="66"/>
      <c r="M95" s="66"/>
      <c r="N95" s="66"/>
    </row>
    <row r="96" spans="2:14">
      <c r="B96" s="59" t="s">
        <v>748</v>
      </c>
      <c r="C96" s="66"/>
      <c r="D96" s="66"/>
      <c r="E96" s="66">
        <v>432945770000</v>
      </c>
      <c r="F96" s="66">
        <v>428773709000</v>
      </c>
      <c r="G96" s="160">
        <v>486102565000</v>
      </c>
      <c r="H96" s="66">
        <v>500043082000</v>
      </c>
      <c r="I96" s="66">
        <v>471903079000</v>
      </c>
      <c r="J96" s="66"/>
      <c r="K96" s="66"/>
      <c r="L96" s="66"/>
      <c r="M96" s="66"/>
      <c r="N96" s="66"/>
    </row>
    <row r="97" spans="2:14">
      <c r="B97" s="59" t="s">
        <v>616</v>
      </c>
      <c r="C97" s="66">
        <v>36481730000</v>
      </c>
      <c r="D97" s="66">
        <v>44054481000</v>
      </c>
      <c r="E97" s="66">
        <v>37285161000</v>
      </c>
      <c r="F97" s="66">
        <v>37718865000</v>
      </c>
      <c r="G97" s="160">
        <v>40770581000</v>
      </c>
      <c r="H97" s="66">
        <v>47636807000</v>
      </c>
      <c r="I97" s="66">
        <v>53255027000</v>
      </c>
      <c r="J97" s="66"/>
      <c r="K97" s="66"/>
      <c r="L97" s="66"/>
      <c r="M97" s="66"/>
      <c r="N97" s="66"/>
    </row>
    <row r="98" spans="2:14">
      <c r="B98" s="59" t="s">
        <v>339</v>
      </c>
      <c r="C98" s="66">
        <v>22032668000</v>
      </c>
      <c r="D98" s="66">
        <v>82345876000</v>
      </c>
      <c r="E98" s="66">
        <v>204507336000</v>
      </c>
      <c r="F98" s="66">
        <v>210225420000</v>
      </c>
      <c r="G98" s="160">
        <v>315986031000</v>
      </c>
      <c r="H98" s="66">
        <v>178639261000</v>
      </c>
      <c r="I98" s="66">
        <v>179639261000</v>
      </c>
      <c r="J98" s="66"/>
      <c r="K98" s="66"/>
      <c r="L98" s="66"/>
      <c r="M98" s="66"/>
      <c r="N98" s="66"/>
    </row>
    <row r="99" spans="2:14">
      <c r="B99" s="59" t="s">
        <v>529</v>
      </c>
      <c r="C99" s="66">
        <v>12171468000</v>
      </c>
      <c r="D99" s="66">
        <v>13189192000</v>
      </c>
      <c r="E99" s="66">
        <v>15045267000</v>
      </c>
      <c r="F99" s="66">
        <v>16071303000</v>
      </c>
      <c r="G99" s="160">
        <v>14731566000</v>
      </c>
      <c r="H99" s="66">
        <v>17094154000</v>
      </c>
      <c r="I99" s="66">
        <v>14856299000</v>
      </c>
      <c r="J99" s="66"/>
      <c r="K99" s="66"/>
      <c r="L99" s="66"/>
      <c r="M99" s="66"/>
      <c r="N99" s="66"/>
    </row>
    <row r="100" spans="2:14">
      <c r="B100" s="59" t="s">
        <v>341</v>
      </c>
      <c r="C100" s="66">
        <f t="shared" ref="C100:F100" si="78">+C94-C95-C97-C99-C96-C98</f>
        <v>5684388000</v>
      </c>
      <c r="D100" s="66">
        <f t="shared" si="78"/>
        <v>4565159000</v>
      </c>
      <c r="E100" s="66">
        <f t="shared" si="78"/>
        <v>11032290000</v>
      </c>
      <c r="F100" s="66">
        <f t="shared" si="78"/>
        <v>16554068000</v>
      </c>
      <c r="G100" s="66">
        <f t="shared" ref="G100" si="79">+G94-G95-G97-G99-G96-G98</f>
        <v>17640205000</v>
      </c>
      <c r="H100" s="66">
        <f>+H94-H95-H97-H99-H96-H98</f>
        <v>18621495000</v>
      </c>
      <c r="I100" s="66">
        <f>+I94-I95-I97-I99-I96-I98</f>
        <v>190864593000</v>
      </c>
      <c r="J100" s="66"/>
      <c r="K100" s="66"/>
      <c r="L100" s="66"/>
      <c r="M100" s="66"/>
      <c r="N100" s="66"/>
    </row>
    <row r="101" spans="2:14" ht="14.65" thickBot="1">
      <c r="B101" s="60" t="s">
        <v>342</v>
      </c>
      <c r="C101" s="70">
        <f t="shared" ref="C101:F101" si="80">+C94+C84</f>
        <v>2290689003000</v>
      </c>
      <c r="D101" s="70">
        <f t="shared" si="80"/>
        <v>2597793309000</v>
      </c>
      <c r="E101" s="70">
        <f t="shared" si="80"/>
        <v>3560819204000</v>
      </c>
      <c r="F101" s="70">
        <f t="shared" si="80"/>
        <v>3379954105000</v>
      </c>
      <c r="G101" s="162">
        <f t="shared" ref="G101:I101" si="81">+G94+G84</f>
        <v>3967913270000</v>
      </c>
      <c r="H101" s="162">
        <f t="shared" si="81"/>
        <v>3839856960000</v>
      </c>
      <c r="I101" s="162">
        <f t="shared" si="81"/>
        <v>4023234762000</v>
      </c>
      <c r="J101" s="162"/>
      <c r="K101" s="162"/>
      <c r="L101" s="162"/>
      <c r="M101" s="162"/>
      <c r="N101" s="162"/>
    </row>
    <row r="102" spans="2:14" ht="14.65" thickBot="1">
      <c r="B102" s="61"/>
      <c r="C102" s="61"/>
      <c r="D102" s="61"/>
      <c r="E102" s="61"/>
      <c r="F102" s="61"/>
      <c r="G102" s="61"/>
      <c r="H102" s="61"/>
      <c r="I102" s="61"/>
      <c r="J102" s="61"/>
      <c r="K102" s="61"/>
      <c r="L102" s="61"/>
      <c r="M102" s="61"/>
      <c r="N102" s="61"/>
    </row>
    <row r="103" spans="2:14">
      <c r="B103" s="57" t="s">
        <v>343</v>
      </c>
      <c r="C103" s="62"/>
      <c r="D103" s="62"/>
      <c r="E103" s="62"/>
      <c r="F103" s="62"/>
      <c r="G103" s="164"/>
      <c r="H103" s="62"/>
      <c r="I103" s="62"/>
      <c r="J103" s="62"/>
      <c r="K103" s="62"/>
      <c r="L103" s="62"/>
      <c r="M103" s="62"/>
      <c r="N103" s="62"/>
    </row>
    <row r="104" spans="2:14">
      <c r="B104" s="59" t="s">
        <v>415</v>
      </c>
      <c r="C104" s="160">
        <v>874846615000</v>
      </c>
      <c r="D104" s="160">
        <v>874846615000</v>
      </c>
      <c r="E104" s="160">
        <v>874846615000</v>
      </c>
      <c r="F104" s="160">
        <v>874846615000</v>
      </c>
      <c r="G104" s="160">
        <v>874846615000</v>
      </c>
      <c r="H104" s="160">
        <v>874846615000</v>
      </c>
      <c r="I104" s="160">
        <v>874846615000</v>
      </c>
      <c r="J104" s="160"/>
      <c r="K104" s="160"/>
      <c r="L104" s="160"/>
      <c r="M104" s="160"/>
      <c r="N104" s="160"/>
    </row>
    <row r="105" spans="2:14">
      <c r="B105" s="59" t="s">
        <v>416</v>
      </c>
      <c r="C105" s="66">
        <v>481082173000</v>
      </c>
      <c r="D105" s="66">
        <v>557981615000</v>
      </c>
      <c r="E105" s="66">
        <v>665888250000</v>
      </c>
      <c r="F105" s="66">
        <v>724749620000</v>
      </c>
      <c r="G105" s="160">
        <v>549179854000</v>
      </c>
      <c r="H105" s="66">
        <v>653958559000</v>
      </c>
      <c r="I105" s="66">
        <v>687788006000</v>
      </c>
      <c r="J105" s="66"/>
      <c r="K105" s="66"/>
      <c r="L105" s="66"/>
      <c r="M105" s="66"/>
      <c r="N105" s="66"/>
    </row>
    <row r="106" spans="2:14">
      <c r="B106" s="59" t="s">
        <v>345</v>
      </c>
      <c r="C106" s="66">
        <v>-117577618000</v>
      </c>
      <c r="D106" s="66">
        <v>-66406429000</v>
      </c>
      <c r="E106" s="66">
        <v>67939533000</v>
      </c>
      <c r="F106" s="66">
        <v>-91105808000</v>
      </c>
      <c r="G106" s="160">
        <v>79018898000</v>
      </c>
      <c r="H106" s="66">
        <v>25710602000</v>
      </c>
      <c r="I106" s="66">
        <v>112818339000</v>
      </c>
      <c r="J106" s="66"/>
      <c r="K106" s="66"/>
      <c r="L106" s="66"/>
      <c r="M106" s="66"/>
      <c r="N106" s="66"/>
    </row>
    <row r="107" spans="2:14">
      <c r="B107" s="59" t="s">
        <v>419</v>
      </c>
      <c r="C107" s="66">
        <v>0</v>
      </c>
      <c r="D107" s="66">
        <v>0</v>
      </c>
      <c r="E107" s="66">
        <v>0</v>
      </c>
      <c r="F107" s="66">
        <v>0</v>
      </c>
      <c r="G107" s="160">
        <v>0</v>
      </c>
      <c r="H107" s="66">
        <v>0</v>
      </c>
      <c r="I107" s="66">
        <v>0</v>
      </c>
      <c r="J107" s="66"/>
      <c r="K107" s="66"/>
      <c r="L107" s="66"/>
      <c r="M107" s="66"/>
      <c r="N107" s="66"/>
    </row>
    <row r="108" spans="2:14" ht="14.65" thickBot="1">
      <c r="B108" s="60" t="s">
        <v>347</v>
      </c>
      <c r="C108" s="70">
        <f t="shared" ref="C108:F108" si="82">+C104+C106+C105</f>
        <v>1238351170000</v>
      </c>
      <c r="D108" s="70">
        <f t="shared" si="82"/>
        <v>1366421801000</v>
      </c>
      <c r="E108" s="70">
        <f t="shared" si="82"/>
        <v>1608674398000</v>
      </c>
      <c r="F108" s="70">
        <f t="shared" si="82"/>
        <v>1508490427000</v>
      </c>
      <c r="G108" s="70">
        <f>+G104+G106+G105</f>
        <v>1503045367000</v>
      </c>
      <c r="H108" s="70">
        <f>+H104+H106+H105</f>
        <v>1554515776000</v>
      </c>
      <c r="I108" s="70">
        <f>+I104+I106+I105</f>
        <v>1675452960000</v>
      </c>
      <c r="J108" s="70"/>
      <c r="K108" s="70"/>
      <c r="L108" s="70"/>
      <c r="M108" s="70"/>
      <c r="N108" s="70"/>
    </row>
    <row r="110" spans="2:14" ht="14.65" thickBot="1">
      <c r="B110" s="75" t="s">
        <v>348</v>
      </c>
    </row>
    <row r="111" spans="2:14" ht="14.65" thickBot="1">
      <c r="B111" s="82" t="s">
        <v>308</v>
      </c>
      <c r="C111" s="88">
        <v>2017</v>
      </c>
      <c r="D111" s="88">
        <v>2018</v>
      </c>
      <c r="E111" s="88">
        <v>2019</v>
      </c>
      <c r="F111" s="88">
        <v>2020</v>
      </c>
      <c r="G111" s="88">
        <v>2022</v>
      </c>
      <c r="H111" s="88"/>
      <c r="I111" s="88"/>
      <c r="J111" s="88"/>
      <c r="K111" s="88"/>
      <c r="L111" s="88"/>
      <c r="M111" s="88"/>
      <c r="N111" s="88"/>
    </row>
    <row r="112" spans="2:14">
      <c r="B112" s="83" t="s">
        <v>349</v>
      </c>
      <c r="C112" s="90">
        <v>1943071198000</v>
      </c>
      <c r="D112" s="90">
        <v>1913174282000</v>
      </c>
      <c r="E112" s="90">
        <v>1978791988000</v>
      </c>
      <c r="F112" s="90">
        <v>2092644232000</v>
      </c>
      <c r="G112" s="90">
        <v>2408809597000</v>
      </c>
      <c r="H112" s="90">
        <v>2540682904000</v>
      </c>
      <c r="I112" s="90">
        <v>2473692310000</v>
      </c>
      <c r="J112" s="90"/>
      <c r="K112" s="90"/>
      <c r="L112" s="90"/>
      <c r="M112" s="90"/>
      <c r="N112" s="90"/>
    </row>
    <row r="113" spans="2:14">
      <c r="B113" s="83" t="s">
        <v>535</v>
      </c>
      <c r="C113" s="90">
        <v>11974824000</v>
      </c>
      <c r="D113" s="90">
        <v>9874347000</v>
      </c>
      <c r="E113" s="90">
        <v>11475402000</v>
      </c>
      <c r="F113" s="90">
        <v>13254828000</v>
      </c>
      <c r="G113" s="90">
        <v>30500293000</v>
      </c>
      <c r="H113" s="90">
        <v>52062685000</v>
      </c>
      <c r="I113" s="90">
        <v>48125237000</v>
      </c>
      <c r="J113" s="90"/>
      <c r="K113" s="90"/>
      <c r="L113" s="90"/>
      <c r="M113" s="90"/>
      <c r="N113" s="90"/>
    </row>
    <row r="114" spans="2:14">
      <c r="B114" s="85" t="s">
        <v>623</v>
      </c>
      <c r="C114" s="66">
        <v>-249163558000</v>
      </c>
      <c r="D114" s="66">
        <v>-260153627000</v>
      </c>
      <c r="E114" s="66">
        <v>-260168138000</v>
      </c>
      <c r="F114" s="66">
        <v>-256582135000</v>
      </c>
      <c r="G114" s="66">
        <v>-257334487000</v>
      </c>
      <c r="H114" s="66">
        <v>-296125852000</v>
      </c>
      <c r="I114" s="66">
        <v>-301943147000</v>
      </c>
      <c r="J114" s="66"/>
      <c r="K114" s="66"/>
      <c r="L114" s="66"/>
      <c r="M114" s="66"/>
      <c r="N114" s="66"/>
    </row>
    <row r="115" spans="2:14">
      <c r="B115" s="86" t="s">
        <v>422</v>
      </c>
      <c r="C115" s="64">
        <f t="shared" ref="C115:F115" si="83">+C112+C114+C113</f>
        <v>1705882464000</v>
      </c>
      <c r="D115" s="64">
        <f t="shared" si="83"/>
        <v>1662895002000</v>
      </c>
      <c r="E115" s="64">
        <f t="shared" si="83"/>
        <v>1730099252000</v>
      </c>
      <c r="F115" s="64">
        <f t="shared" si="83"/>
        <v>1849316925000</v>
      </c>
      <c r="G115" s="64">
        <f>+G112+G114+G113</f>
        <v>2181975403000</v>
      </c>
      <c r="H115" s="64">
        <f>+H112+H114+H113</f>
        <v>2296619737000</v>
      </c>
      <c r="I115" s="64">
        <f>+I112+I114+I113</f>
        <v>2219874400000</v>
      </c>
      <c r="J115" s="64"/>
      <c r="K115" s="64"/>
      <c r="L115" s="64"/>
      <c r="M115" s="64"/>
      <c r="N115" s="64"/>
    </row>
    <row r="116" spans="2:14">
      <c r="B116" s="85" t="s">
        <v>749</v>
      </c>
      <c r="C116" s="117">
        <v>-315867652000</v>
      </c>
      <c r="D116" s="117">
        <v>-331565828000</v>
      </c>
      <c r="E116" s="117">
        <v>-422651518000</v>
      </c>
      <c r="F116" s="117">
        <v>-467435702000</v>
      </c>
      <c r="G116" s="117">
        <v>-466882184000</v>
      </c>
      <c r="H116" s="117">
        <v>-518018762000</v>
      </c>
      <c r="I116" s="117">
        <v>-504142392000</v>
      </c>
      <c r="J116" s="117"/>
      <c r="K116" s="117"/>
      <c r="L116" s="117"/>
      <c r="M116" s="117"/>
      <c r="N116" s="117"/>
    </row>
    <row r="117" spans="2:14">
      <c r="B117" s="85" t="s">
        <v>750</v>
      </c>
      <c r="C117" s="117">
        <v>-52089500000</v>
      </c>
      <c r="D117" s="117">
        <v>-68584398000</v>
      </c>
      <c r="E117" s="117">
        <v>-70132193000</v>
      </c>
      <c r="F117" s="117">
        <v>-79684088000</v>
      </c>
      <c r="G117" s="117">
        <v>-98585660000</v>
      </c>
      <c r="H117" s="117">
        <v>-106577967000</v>
      </c>
      <c r="I117" s="117">
        <v>-122085652000</v>
      </c>
      <c r="J117" s="117"/>
      <c r="K117" s="117"/>
      <c r="L117" s="117"/>
      <c r="M117" s="117"/>
      <c r="N117" s="117"/>
    </row>
    <row r="118" spans="2:14">
      <c r="B118" s="85" t="s">
        <v>751</v>
      </c>
      <c r="C118" s="117">
        <v>-1220664545000</v>
      </c>
      <c r="D118" s="117">
        <v>-1171742705000</v>
      </c>
      <c r="E118" s="117">
        <v>-1100674425000</v>
      </c>
      <c r="F118" s="117">
        <v>-1131313467000</v>
      </c>
      <c r="G118" s="117">
        <v>-1342942385000</v>
      </c>
      <c r="H118" s="117">
        <v>-1459378315000</v>
      </c>
      <c r="I118" s="117">
        <v>-1395401392000</v>
      </c>
      <c r="J118" s="117"/>
      <c r="K118" s="117"/>
      <c r="L118" s="117"/>
      <c r="M118" s="117"/>
      <c r="N118" s="117"/>
    </row>
    <row r="119" spans="2:14">
      <c r="B119" s="85" t="s">
        <v>357</v>
      </c>
      <c r="C119" s="66">
        <v>124569000</v>
      </c>
      <c r="D119" s="66">
        <v>-89000000</v>
      </c>
      <c r="E119" s="66">
        <v>207275453000</v>
      </c>
      <c r="F119" s="117">
        <v>41585368000</v>
      </c>
      <c r="G119" s="117">
        <v>20809511000</v>
      </c>
      <c r="H119" s="117">
        <v>544963983000</v>
      </c>
      <c r="I119" s="117">
        <v>51324376000</v>
      </c>
      <c r="J119" s="117"/>
      <c r="K119" s="117"/>
      <c r="L119" s="117"/>
      <c r="M119" s="117"/>
      <c r="N119" s="117"/>
    </row>
    <row r="120" spans="2:14">
      <c r="B120" s="86" t="s">
        <v>428</v>
      </c>
      <c r="C120" s="64">
        <f t="shared" ref="C120:F120" si="84">+C115+C119+C116+C117+C118</f>
        <v>117385336000</v>
      </c>
      <c r="D120" s="64">
        <f t="shared" si="84"/>
        <v>90913071000</v>
      </c>
      <c r="E120" s="64">
        <f t="shared" si="84"/>
        <v>343916569000</v>
      </c>
      <c r="F120" s="64">
        <f t="shared" si="84"/>
        <v>212469036000</v>
      </c>
      <c r="G120" s="64">
        <f t="shared" ref="G120" si="85">+G115+G119+G116+G117+G118</f>
        <v>294374685000</v>
      </c>
      <c r="H120" s="64">
        <f t="shared" ref="H120:I120" si="86">+H115+H119+H116+H117+H118</f>
        <v>757608676000</v>
      </c>
      <c r="I120" s="64">
        <f t="shared" si="86"/>
        <v>249569340000</v>
      </c>
      <c r="J120" s="64"/>
      <c r="K120" s="64"/>
      <c r="L120" s="64"/>
      <c r="M120" s="64"/>
      <c r="N120" s="64"/>
    </row>
    <row r="121" spans="2:14">
      <c r="B121" s="85" t="s">
        <v>429</v>
      </c>
      <c r="C121" s="66">
        <v>5225532000</v>
      </c>
      <c r="D121" s="66">
        <v>1889772000</v>
      </c>
      <c r="E121" s="66">
        <v>8746947000</v>
      </c>
      <c r="F121" s="66">
        <v>10894534000</v>
      </c>
      <c r="G121" s="131">
        <v>4919952000</v>
      </c>
      <c r="H121" s="131">
        <v>26563887000</v>
      </c>
      <c r="I121" s="131">
        <v>26535094000</v>
      </c>
      <c r="J121" s="131"/>
      <c r="K121" s="131"/>
      <c r="L121" s="131"/>
      <c r="M121" s="131"/>
      <c r="N121" s="131"/>
    </row>
    <row r="122" spans="2:14">
      <c r="B122" s="85" t="s">
        <v>430</v>
      </c>
      <c r="C122" s="66">
        <v>-80035968000</v>
      </c>
      <c r="D122" s="66">
        <v>-77711185000</v>
      </c>
      <c r="E122" s="66">
        <v>-97558997000</v>
      </c>
      <c r="F122" s="66">
        <v>-102535938000</v>
      </c>
      <c r="G122" s="131">
        <v>-113951133000</v>
      </c>
      <c r="H122" s="131">
        <v>-113696383000</v>
      </c>
      <c r="I122" s="131">
        <v>-113270200000</v>
      </c>
      <c r="J122" s="131"/>
      <c r="K122" s="131"/>
      <c r="L122" s="131"/>
      <c r="M122" s="131"/>
      <c r="N122" s="131"/>
    </row>
    <row r="123" spans="2:14">
      <c r="B123" s="85" t="s">
        <v>431</v>
      </c>
      <c r="C123" s="66"/>
      <c r="D123" s="66"/>
      <c r="E123" s="66"/>
      <c r="F123" s="66"/>
      <c r="G123" s="131"/>
      <c r="H123" s="131"/>
      <c r="I123" s="131">
        <v>0</v>
      </c>
      <c r="J123" s="131"/>
      <c r="K123" s="131"/>
      <c r="L123" s="131"/>
      <c r="M123" s="131"/>
      <c r="N123" s="131"/>
    </row>
    <row r="124" spans="2:14">
      <c r="B124" s="85" t="s">
        <v>432</v>
      </c>
      <c r="C124" s="66">
        <v>-6973571000</v>
      </c>
      <c r="D124" s="66">
        <v>-994222000</v>
      </c>
      <c r="E124" s="66">
        <v>-4551310000</v>
      </c>
      <c r="F124" s="66">
        <v>-115094000</v>
      </c>
      <c r="G124" s="131">
        <v>-250185000</v>
      </c>
      <c r="H124" s="131">
        <v>-350491000</v>
      </c>
      <c r="I124" s="131">
        <v>-3187775000</v>
      </c>
      <c r="J124" s="131"/>
      <c r="K124" s="131"/>
      <c r="L124" s="131"/>
      <c r="M124" s="131"/>
      <c r="N124" s="131"/>
    </row>
    <row r="125" spans="2:14">
      <c r="B125" s="85" t="s">
        <v>433</v>
      </c>
      <c r="C125" s="66">
        <v>-9600405000</v>
      </c>
      <c r="D125" s="66">
        <v>-16368412000</v>
      </c>
      <c r="E125" s="66">
        <v>-19445992000</v>
      </c>
      <c r="F125" s="66">
        <v>-26758482000</v>
      </c>
      <c r="G125" s="131">
        <v>-66963329000</v>
      </c>
      <c r="H125" s="131">
        <v>-130374245000</v>
      </c>
      <c r="I125" s="131">
        <v>-39051828000</v>
      </c>
      <c r="J125" s="131"/>
      <c r="K125" s="131"/>
      <c r="L125" s="131"/>
      <c r="M125" s="131"/>
      <c r="N125" s="131"/>
    </row>
    <row r="126" spans="2:14">
      <c r="B126" s="86" t="s">
        <v>362</v>
      </c>
      <c r="C126" s="64">
        <f t="shared" ref="C126:E126" si="87">+C120+C121+C122+C123+C124+C125</f>
        <v>26000924000</v>
      </c>
      <c r="D126" s="64">
        <f t="shared" si="87"/>
        <v>-2270976000</v>
      </c>
      <c r="E126" s="64">
        <f t="shared" si="87"/>
        <v>231107217000</v>
      </c>
      <c r="F126" s="64">
        <f>+F120+F121+F122+F123+F124+F125</f>
        <v>93954056000</v>
      </c>
      <c r="G126" s="64">
        <f t="shared" ref="G126:I126" si="88">+G120+G121+G122+G123+G124+G125</f>
        <v>118129990000</v>
      </c>
      <c r="H126" s="64">
        <f t="shared" si="88"/>
        <v>539751444000</v>
      </c>
      <c r="I126" s="64">
        <f t="shared" si="88"/>
        <v>120594631000</v>
      </c>
      <c r="J126" s="64"/>
      <c r="K126" s="64"/>
      <c r="L126" s="64"/>
      <c r="M126" s="64"/>
      <c r="N126" s="64"/>
    </row>
    <row r="127" spans="2:14">
      <c r="B127" s="85" t="s">
        <v>363</v>
      </c>
      <c r="C127" s="66">
        <v>17408617000</v>
      </c>
      <c r="D127" s="66">
        <v>-21343116000</v>
      </c>
      <c r="E127" s="66">
        <v>-86057731000</v>
      </c>
      <c r="F127" s="66">
        <v>-9487808000</v>
      </c>
      <c r="G127" s="91">
        <v>-43655049000</v>
      </c>
      <c r="H127" s="91">
        <v>-82964112000</v>
      </c>
      <c r="I127" s="91">
        <v>-31710265000</v>
      </c>
      <c r="J127" s="91"/>
      <c r="K127" s="91"/>
      <c r="L127" s="91"/>
      <c r="M127" s="91"/>
      <c r="N127" s="91"/>
    </row>
    <row r="128" spans="2:14">
      <c r="B128" s="84" t="s">
        <v>365</v>
      </c>
      <c r="C128" s="130">
        <f t="shared" ref="C128:F128" si="89">+C126+C127</f>
        <v>43409541000</v>
      </c>
      <c r="D128" s="130">
        <f t="shared" si="89"/>
        <v>-23614092000</v>
      </c>
      <c r="E128" s="130">
        <f t="shared" si="89"/>
        <v>145049486000</v>
      </c>
      <c r="F128" s="130">
        <f t="shared" si="89"/>
        <v>84466248000</v>
      </c>
      <c r="G128" s="130">
        <f>+G126+G127</f>
        <v>74474941000</v>
      </c>
      <c r="H128" s="130">
        <f>+H126+H127</f>
        <v>456787332000</v>
      </c>
      <c r="I128" s="130">
        <f>+I126+I127</f>
        <v>88884366000</v>
      </c>
      <c r="J128" s="130"/>
      <c r="K128" s="130"/>
      <c r="L128" s="130"/>
      <c r="M128" s="130"/>
      <c r="N128" s="130"/>
    </row>
    <row r="129" spans="2:14" ht="28.5">
      <c r="B129" s="87" t="s">
        <v>435</v>
      </c>
      <c r="C129" s="66">
        <v>0</v>
      </c>
      <c r="D129" s="66">
        <v>0</v>
      </c>
      <c r="E129" s="66"/>
      <c r="F129" s="66"/>
      <c r="G129" s="91">
        <v>0</v>
      </c>
      <c r="H129" s="91">
        <v>0</v>
      </c>
      <c r="I129" s="91">
        <v>0</v>
      </c>
      <c r="J129" s="91"/>
      <c r="K129" s="91"/>
      <c r="L129" s="91"/>
      <c r="M129" s="91"/>
      <c r="N129" s="91"/>
    </row>
    <row r="130" spans="2:14">
      <c r="B130" s="84" t="s">
        <v>366</v>
      </c>
      <c r="C130" s="111">
        <v>143.72999999999999</v>
      </c>
      <c r="D130" s="111">
        <v>-78.19</v>
      </c>
      <c r="E130" s="111">
        <v>510.41</v>
      </c>
      <c r="F130" s="134">
        <v>279.67</v>
      </c>
      <c r="G130" s="141">
        <v>248.25</v>
      </c>
      <c r="H130" s="141">
        <v>1512.46</v>
      </c>
      <c r="I130" s="141">
        <v>394.3</v>
      </c>
      <c r="J130" s="141"/>
      <c r="K130" s="141"/>
      <c r="L130" s="141"/>
      <c r="M130" s="141"/>
      <c r="N130" s="141"/>
    </row>
    <row r="132" spans="2:14" ht="14.65" thickBot="1">
      <c r="B132" s="75" t="s">
        <v>367</v>
      </c>
    </row>
    <row r="133" spans="2:14" ht="14.65" thickBot="1">
      <c r="B133" s="82" t="s">
        <v>308</v>
      </c>
      <c r="C133" s="88">
        <v>2017</v>
      </c>
      <c r="D133" s="88">
        <v>2018</v>
      </c>
      <c r="E133" s="88">
        <v>2019</v>
      </c>
      <c r="F133" s="88">
        <v>2020</v>
      </c>
      <c r="G133" s="88">
        <v>2022</v>
      </c>
      <c r="H133" s="88"/>
      <c r="I133" s="88"/>
      <c r="J133" s="88"/>
      <c r="K133" s="88"/>
      <c r="L133" s="88"/>
      <c r="M133" s="88"/>
      <c r="N133" s="88"/>
    </row>
    <row r="134" spans="2:14">
      <c r="B134" s="83" t="s">
        <v>368</v>
      </c>
      <c r="C134" s="90">
        <v>537862096000</v>
      </c>
      <c r="D134" s="90">
        <v>472786981000</v>
      </c>
      <c r="E134" s="90">
        <v>615308164000</v>
      </c>
      <c r="F134" s="90">
        <v>560555981000</v>
      </c>
      <c r="G134" s="90">
        <v>571841125000</v>
      </c>
      <c r="H134" s="90">
        <v>590698390000</v>
      </c>
      <c r="I134" s="90">
        <v>880253901000</v>
      </c>
      <c r="J134" s="90"/>
      <c r="K134" s="90"/>
      <c r="L134" s="90"/>
      <c r="M134" s="90"/>
      <c r="N134" s="90"/>
    </row>
    <row r="135" spans="2:14">
      <c r="B135" s="86" t="s">
        <v>369</v>
      </c>
      <c r="C135" s="91">
        <v>-492740407000</v>
      </c>
      <c r="D135" s="93">
        <v>-509207938000</v>
      </c>
      <c r="E135" s="93">
        <v>-140208372000</v>
      </c>
      <c r="F135" s="66">
        <v>-520922950000</v>
      </c>
      <c r="G135" s="66">
        <v>-210656194000</v>
      </c>
      <c r="H135" s="66">
        <v>161316023000</v>
      </c>
      <c r="I135" s="66">
        <v>-107438428000</v>
      </c>
      <c r="J135" s="66"/>
      <c r="K135" s="66"/>
      <c r="L135" s="66"/>
      <c r="M135" s="66"/>
      <c r="N135" s="66"/>
    </row>
    <row r="136" spans="2:14">
      <c r="B136" s="85" t="s">
        <v>370</v>
      </c>
      <c r="C136" s="93">
        <v>-501504528000</v>
      </c>
      <c r="D136" s="93">
        <v>-508295673000</v>
      </c>
      <c r="E136" s="93">
        <v>-477247941000</v>
      </c>
      <c r="F136" s="93">
        <v>-402506254000</v>
      </c>
      <c r="G136" s="93">
        <v>-305004114000</v>
      </c>
      <c r="H136" s="93">
        <v>-596641654000</v>
      </c>
      <c r="I136" s="93">
        <v>-540626516000</v>
      </c>
      <c r="J136" s="93"/>
      <c r="K136" s="93"/>
      <c r="L136" s="93"/>
      <c r="M136" s="93"/>
      <c r="N136" s="93"/>
    </row>
    <row r="137" spans="2:14">
      <c r="B137" s="86" t="s">
        <v>372</v>
      </c>
      <c r="C137" s="120">
        <v>-10916016000</v>
      </c>
      <c r="D137" s="120">
        <v>-37106173000</v>
      </c>
      <c r="E137" s="64">
        <v>-96913405000</v>
      </c>
      <c r="F137" s="120">
        <v>-274020884000</v>
      </c>
      <c r="G137" s="120">
        <v>-459875050000</v>
      </c>
      <c r="H137" s="120">
        <v>-670267471000</v>
      </c>
      <c r="I137" s="120">
        <v>-429120519000</v>
      </c>
      <c r="J137" s="120"/>
      <c r="K137" s="120"/>
      <c r="L137" s="120"/>
      <c r="M137" s="120"/>
      <c r="N137" s="120"/>
    </row>
    <row r="138" spans="2:14">
      <c r="B138" s="85" t="s">
        <v>373</v>
      </c>
      <c r="C138" s="93">
        <v>-10309263000</v>
      </c>
      <c r="D138" s="93">
        <v>-13304915000</v>
      </c>
      <c r="E138" s="66">
        <v>-21514000</v>
      </c>
      <c r="F138" s="93">
        <v>-46476842000</v>
      </c>
      <c r="G138" s="93">
        <v>-253366851000</v>
      </c>
      <c r="H138" s="93">
        <v>-374267095000</v>
      </c>
      <c r="I138" s="93">
        <v>-28442741000</v>
      </c>
      <c r="J138" s="93"/>
      <c r="K138" s="93"/>
      <c r="L138" s="93"/>
      <c r="M138" s="93"/>
      <c r="N138" s="93"/>
    </row>
    <row r="139" spans="2:14">
      <c r="B139" s="85" t="s">
        <v>437</v>
      </c>
      <c r="C139" s="93">
        <v>-70675870000</v>
      </c>
      <c r="D139" s="93">
        <v>-77123244000</v>
      </c>
      <c r="E139" s="66">
        <v>-86893145000</v>
      </c>
      <c r="F139" s="93">
        <v>-94388228000</v>
      </c>
      <c r="G139" s="93">
        <v>-148370217000</v>
      </c>
      <c r="H139" s="93">
        <v>-107881512000</v>
      </c>
      <c r="I139" s="93">
        <v>-112936642000</v>
      </c>
      <c r="J139" s="93"/>
      <c r="K139" s="93"/>
      <c r="L139" s="93"/>
      <c r="M139" s="93"/>
      <c r="N139" s="93"/>
    </row>
    <row r="140" spans="2:14">
      <c r="B140" s="86" t="s">
        <v>375</v>
      </c>
      <c r="C140" s="64"/>
      <c r="D140" s="64"/>
      <c r="E140" s="64">
        <v>447411760000</v>
      </c>
      <c r="F140" s="64">
        <v>202481237000</v>
      </c>
      <c r="G140" s="64">
        <v>108604768000</v>
      </c>
      <c r="H140" s="64">
        <v>186542396000</v>
      </c>
      <c r="I140" s="64">
        <v>530862387000</v>
      </c>
      <c r="J140" s="64"/>
      <c r="K140" s="64"/>
      <c r="L140" s="64"/>
      <c r="M140" s="64"/>
      <c r="N140" s="64"/>
    </row>
    <row r="141" spans="2:14">
      <c r="B141" s="85"/>
      <c r="C141" s="66"/>
      <c r="D141" s="66"/>
      <c r="E141" s="66"/>
      <c r="F141" s="66"/>
      <c r="G141" s="66"/>
      <c r="H141" s="66"/>
      <c r="I141" s="66"/>
      <c r="J141" s="66"/>
      <c r="K141" s="66"/>
      <c r="L141" s="66"/>
      <c r="M141" s="66"/>
      <c r="N141" s="66"/>
    </row>
    <row r="142" spans="2:14">
      <c r="B142" s="84" t="s">
        <v>376</v>
      </c>
      <c r="C142" s="131">
        <f t="shared" ref="C142:F142" si="90">+C134+C136+C139</f>
        <v>-34318302000</v>
      </c>
      <c r="D142" s="131">
        <f t="shared" si="90"/>
        <v>-112631936000</v>
      </c>
      <c r="E142" s="131">
        <f t="shared" si="90"/>
        <v>51167078000</v>
      </c>
      <c r="F142" s="131">
        <f t="shared" si="90"/>
        <v>63661499000</v>
      </c>
      <c r="G142" s="131">
        <f>+G134+G136+G139</f>
        <v>118466794000</v>
      </c>
      <c r="H142" s="131">
        <f>+H134+H136+H139</f>
        <v>-113824776000</v>
      </c>
      <c r="I142" s="131">
        <f>+I134+I136+I139</f>
        <v>226690743000</v>
      </c>
      <c r="J142" s="131"/>
      <c r="K142" s="131"/>
      <c r="L142" s="131"/>
      <c r="M142" s="131"/>
      <c r="N142" s="131"/>
    </row>
  </sheetData>
  <conditionalFormatting sqref="C60:H66 G61:H101 D67:H67 C68:H101">
    <cfRule type="cellIs" dxfId="139" priority="18" operator="lessThan">
      <formula>0</formula>
    </cfRule>
  </conditionalFormatting>
  <conditionalFormatting sqref="C112:N130">
    <cfRule type="cellIs" dxfId="138" priority="2" operator="lessThan">
      <formula>0</formula>
    </cfRule>
  </conditionalFormatting>
  <conditionalFormatting sqref="C134:N142">
    <cfRule type="cellIs" dxfId="137" priority="1" operator="lessThan">
      <formula>0</formula>
    </cfRule>
  </conditionalFormatting>
  <conditionalFormatting sqref="I60:N101 C103:N108">
    <cfRule type="cellIs" dxfId="136" priority="3" operator="lessThan">
      <formula>0</formula>
    </cfRule>
  </conditionalFormatting>
  <pageMargins left="0.7" right="0.7" top="0.75" bottom="0.75" header="0.3" footer="0.3"/>
  <pageSetup paperSize="9" orientation="portrait" r:id="rId1"/>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07BC5-B877-4464-AAAC-79EC3027D95C}">
  <dimension ref="B2:P144"/>
  <sheetViews>
    <sheetView zoomScale="80" zoomScaleNormal="80" workbookViewId="0">
      <pane xSplit="2" ySplit="6" topLeftCell="L7" activePane="bottomRight" state="frozen"/>
      <selection pane="bottomRight" activeCell="L4" sqref="L4"/>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6" width="33.28515625" customWidth="1"/>
    <col min="7" max="7" width="36.28515625" customWidth="1"/>
    <col min="8" max="8" width="35.7109375" customWidth="1"/>
    <col min="9" max="9" width="32.7109375" customWidth="1"/>
    <col min="10" max="14" width="25.42578125" bestFit="1" customWidth="1"/>
  </cols>
  <sheetData>
    <row r="2" spans="2:14" ht="21">
      <c r="B2" s="313">
        <f ca="1">TODAY()-1</f>
        <v>46105</v>
      </c>
      <c r="C2" s="314"/>
      <c r="D2" s="344" t="s">
        <v>265</v>
      </c>
      <c r="E2" s="345" t="s">
        <v>266</v>
      </c>
    </row>
    <row r="3" spans="2:14" ht="25.5">
      <c r="B3" s="376" cm="1">
        <f t="array" aca="1" ref="B3" ca="1">_FV(B6,"Precio")</f>
        <v>2300</v>
      </c>
      <c r="C3" s="316"/>
      <c r="D3" s="346">
        <f>AVERAGE(G45:I45)</f>
        <v>43.511503333333337</v>
      </c>
      <c r="E3" s="346">
        <f>AVERAGE(G44:I44)</f>
        <v>153.51150333333334</v>
      </c>
    </row>
    <row r="4" spans="2:14" ht="28.5">
      <c r="B4" s="319"/>
      <c r="C4" s="320"/>
      <c r="D4" s="328"/>
      <c r="E4" s="328"/>
    </row>
    <row r="6" spans="2:14" ht="33.4">
      <c r="B6" s="3" t="e" vm="34">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0</v>
      </c>
      <c r="D7" s="5">
        <f t="shared" ref="D7:I7" si="0">+D61</f>
        <v>196116780000</v>
      </c>
      <c r="E7" s="5">
        <f t="shared" si="0"/>
        <v>203118731000</v>
      </c>
      <c r="F7" s="5">
        <f t="shared" si="0"/>
        <v>198931429000</v>
      </c>
      <c r="G7" s="5">
        <f t="shared" si="0"/>
        <v>180673195000</v>
      </c>
      <c r="H7" s="5">
        <f t="shared" si="0"/>
        <v>191928135000</v>
      </c>
      <c r="I7" s="5">
        <f t="shared" si="0"/>
        <v>193479933000</v>
      </c>
      <c r="J7" s="5">
        <f t="shared" ref="J7:N7" si="1">+J61</f>
        <v>0</v>
      </c>
      <c r="K7" s="5">
        <f t="shared" si="1"/>
        <v>0</v>
      </c>
      <c r="L7" s="5">
        <f t="shared" si="1"/>
        <v>0</v>
      </c>
      <c r="M7" s="5">
        <f t="shared" si="1"/>
        <v>0</v>
      </c>
      <c r="N7" s="5">
        <f t="shared" si="1"/>
        <v>0</v>
      </c>
    </row>
    <row r="8" spans="2:14" ht="25.5">
      <c r="B8" s="146" t="s">
        <v>377</v>
      </c>
      <c r="C8" s="147">
        <f>+C65</f>
        <v>0</v>
      </c>
      <c r="D8" s="147">
        <f t="shared" ref="D8:I8" si="2">+D65</f>
        <v>23587907000</v>
      </c>
      <c r="E8" s="147">
        <f t="shared" si="2"/>
        <v>26381313000</v>
      </c>
      <c r="F8" s="147">
        <f t="shared" si="2"/>
        <v>20972275000</v>
      </c>
      <c r="G8" s="147">
        <f t="shared" si="2"/>
        <v>33219846000</v>
      </c>
      <c r="H8" s="147">
        <f t="shared" si="2"/>
        <v>34431636000</v>
      </c>
      <c r="I8" s="147">
        <f t="shared" si="2"/>
        <v>34389923000</v>
      </c>
      <c r="J8" s="147">
        <f t="shared" ref="J8:N8" si="3">+J65</f>
        <v>0</v>
      </c>
      <c r="K8" s="147">
        <f t="shared" si="3"/>
        <v>0</v>
      </c>
      <c r="L8" s="147">
        <f t="shared" si="3"/>
        <v>0</v>
      </c>
      <c r="M8" s="147">
        <f t="shared" si="3"/>
        <v>0</v>
      </c>
      <c r="N8" s="147">
        <f t="shared" si="3"/>
        <v>0</v>
      </c>
    </row>
    <row r="9" spans="2:14" ht="25.5">
      <c r="B9" s="146" t="s">
        <v>378</v>
      </c>
      <c r="C9" s="147">
        <f>+C67</f>
        <v>0</v>
      </c>
      <c r="D9" s="147">
        <f t="shared" ref="D9:I9" si="4">+D67</f>
        <v>77603656000</v>
      </c>
      <c r="E9" s="147">
        <f t="shared" si="4"/>
        <v>77410933000</v>
      </c>
      <c r="F9" s="147">
        <f t="shared" si="4"/>
        <v>58469695000</v>
      </c>
      <c r="G9" s="147">
        <f t="shared" si="4"/>
        <v>34894138000</v>
      </c>
      <c r="H9" s="147">
        <f t="shared" si="4"/>
        <v>88598763000</v>
      </c>
      <c r="I9" s="147">
        <f t="shared" si="4"/>
        <v>86898623000</v>
      </c>
      <c r="J9" s="147">
        <f t="shared" ref="J9:N9" si="5">+J67</f>
        <v>0</v>
      </c>
      <c r="K9" s="147">
        <f t="shared" si="5"/>
        <v>0</v>
      </c>
      <c r="L9" s="147">
        <f t="shared" si="5"/>
        <v>0</v>
      </c>
      <c r="M9" s="147">
        <f t="shared" si="5"/>
        <v>0</v>
      </c>
      <c r="N9" s="147">
        <f t="shared" si="5"/>
        <v>0</v>
      </c>
    </row>
    <row r="10" spans="2:14" ht="25.5">
      <c r="B10" s="4" t="s">
        <v>379</v>
      </c>
      <c r="C10" s="5">
        <f>+C70</f>
        <v>0</v>
      </c>
      <c r="D10" s="5">
        <f t="shared" ref="D10:I10" si="6">+D70</f>
        <v>55853673000</v>
      </c>
      <c r="E10" s="5">
        <f t="shared" si="6"/>
        <v>114608740000</v>
      </c>
      <c r="F10" s="5">
        <f t="shared" si="6"/>
        <v>97448955000</v>
      </c>
      <c r="G10" s="5">
        <f t="shared" si="6"/>
        <v>92183868000</v>
      </c>
      <c r="H10" s="5">
        <f t="shared" si="6"/>
        <v>95692748000</v>
      </c>
      <c r="I10" s="5">
        <f t="shared" si="6"/>
        <v>114219052000</v>
      </c>
      <c r="J10" s="5">
        <f t="shared" ref="J10:N10" si="7">+J70</f>
        <v>0</v>
      </c>
      <c r="K10" s="5">
        <f t="shared" si="7"/>
        <v>0</v>
      </c>
      <c r="L10" s="5">
        <f t="shared" si="7"/>
        <v>0</v>
      </c>
      <c r="M10" s="5">
        <f t="shared" si="7"/>
        <v>0</v>
      </c>
      <c r="N10" s="5">
        <f t="shared" si="7"/>
        <v>0</v>
      </c>
    </row>
    <row r="11" spans="2:14" ht="25.5">
      <c r="B11" s="8" t="s">
        <v>272</v>
      </c>
      <c r="C11" s="9">
        <f>+C10+C7</f>
        <v>0</v>
      </c>
      <c r="D11" s="9">
        <f t="shared" ref="D11:I11" si="8">+D10+D7</f>
        <v>251970453000</v>
      </c>
      <c r="E11" s="9">
        <f t="shared" si="8"/>
        <v>317727471000</v>
      </c>
      <c r="F11" s="9">
        <f t="shared" si="8"/>
        <v>296380384000</v>
      </c>
      <c r="G11" s="9">
        <f t="shared" si="8"/>
        <v>272857063000</v>
      </c>
      <c r="H11" s="9">
        <f t="shared" si="8"/>
        <v>287620883000</v>
      </c>
      <c r="I11" s="9">
        <f t="shared" si="8"/>
        <v>307698985000</v>
      </c>
      <c r="J11" s="9">
        <f t="shared" ref="J11:N11" si="9">+J10+J7</f>
        <v>0</v>
      </c>
      <c r="K11" s="9">
        <f t="shared" si="9"/>
        <v>0</v>
      </c>
      <c r="L11" s="9">
        <f t="shared" si="9"/>
        <v>0</v>
      </c>
      <c r="M11" s="9">
        <f t="shared" si="9"/>
        <v>0</v>
      </c>
      <c r="N11" s="9">
        <f t="shared" si="9"/>
        <v>0</v>
      </c>
    </row>
    <row r="12" spans="2:14" ht="25.5">
      <c r="B12" s="10" t="s">
        <v>273</v>
      </c>
      <c r="C12" s="11">
        <f>+C84</f>
        <v>0</v>
      </c>
      <c r="D12" s="11">
        <f t="shared" ref="D12:I12" si="10">+D84</f>
        <v>29567098000</v>
      </c>
      <c r="E12" s="11">
        <f t="shared" si="10"/>
        <v>43911715000</v>
      </c>
      <c r="F12" s="11">
        <f t="shared" si="10"/>
        <v>37774339000</v>
      </c>
      <c r="G12" s="11">
        <f t="shared" si="10"/>
        <v>64459788000</v>
      </c>
      <c r="H12" s="11">
        <f t="shared" si="10"/>
        <v>59401329000</v>
      </c>
      <c r="I12" s="11">
        <f t="shared" si="10"/>
        <v>58545233000</v>
      </c>
      <c r="J12" s="11">
        <f t="shared" ref="J12:N12" si="11">+J84</f>
        <v>0</v>
      </c>
      <c r="K12" s="11">
        <f t="shared" si="11"/>
        <v>0</v>
      </c>
      <c r="L12" s="11">
        <f t="shared" si="11"/>
        <v>0</v>
      </c>
      <c r="M12" s="11">
        <f t="shared" si="11"/>
        <v>0</v>
      </c>
      <c r="N12" s="11">
        <f t="shared" si="11"/>
        <v>0</v>
      </c>
    </row>
    <row r="13" spans="2:14" ht="25.5">
      <c r="B13" s="10" t="s">
        <v>274</v>
      </c>
      <c r="C13" s="11">
        <f>+C94</f>
        <v>0</v>
      </c>
      <c r="D13" s="11">
        <f t="shared" ref="D13:I13" si="12">+D94</f>
        <v>1630508000</v>
      </c>
      <c r="E13" s="11">
        <f t="shared" si="12"/>
        <v>38726241000</v>
      </c>
      <c r="F13" s="11">
        <f t="shared" si="12"/>
        <v>25714457000</v>
      </c>
      <c r="G13" s="11">
        <f t="shared" si="12"/>
        <v>15202023000</v>
      </c>
      <c r="H13" s="11">
        <f t="shared" si="12"/>
        <v>31496570000</v>
      </c>
      <c r="I13" s="11">
        <f t="shared" si="12"/>
        <v>32417756000</v>
      </c>
      <c r="J13" s="11">
        <f t="shared" ref="J13:N13" si="13">+J94</f>
        <v>0</v>
      </c>
      <c r="K13" s="11">
        <f t="shared" si="13"/>
        <v>0</v>
      </c>
      <c r="L13" s="11">
        <f t="shared" si="13"/>
        <v>0</v>
      </c>
      <c r="M13" s="11">
        <f t="shared" si="13"/>
        <v>0</v>
      </c>
      <c r="N13" s="11">
        <f t="shared" si="13"/>
        <v>0</v>
      </c>
    </row>
    <row r="14" spans="2:14" ht="25.5">
      <c r="B14" s="12" t="s">
        <v>275</v>
      </c>
      <c r="C14" s="13">
        <f>+C12+C13</f>
        <v>0</v>
      </c>
      <c r="D14" s="13">
        <f t="shared" ref="D14:I14" si="14">+D12+D13</f>
        <v>31197606000</v>
      </c>
      <c r="E14" s="13">
        <f t="shared" si="14"/>
        <v>82637956000</v>
      </c>
      <c r="F14" s="13">
        <f t="shared" si="14"/>
        <v>63488796000</v>
      </c>
      <c r="G14" s="13">
        <f t="shared" si="14"/>
        <v>79661811000</v>
      </c>
      <c r="H14" s="13">
        <f t="shared" si="14"/>
        <v>90897899000</v>
      </c>
      <c r="I14" s="13">
        <f t="shared" si="14"/>
        <v>90962989000</v>
      </c>
      <c r="J14" s="13">
        <f t="shared" ref="J14:N14" si="15">+J12+J13</f>
        <v>0</v>
      </c>
      <c r="K14" s="13">
        <f t="shared" si="15"/>
        <v>0</v>
      </c>
      <c r="L14" s="13">
        <f t="shared" si="15"/>
        <v>0</v>
      </c>
      <c r="M14" s="13">
        <f t="shared" si="15"/>
        <v>0</v>
      </c>
      <c r="N14" s="13">
        <f t="shared" si="15"/>
        <v>0</v>
      </c>
    </row>
    <row r="15" spans="2:14" ht="25.5">
      <c r="B15" s="14" t="s">
        <v>276</v>
      </c>
      <c r="C15" s="15">
        <f>+C108</f>
        <v>0</v>
      </c>
      <c r="D15" s="15">
        <f t="shared" ref="D15:I15" si="16">+D108</f>
        <v>219905866000</v>
      </c>
      <c r="E15" s="15">
        <f t="shared" si="16"/>
        <v>234158792000</v>
      </c>
      <c r="F15" s="15">
        <f t="shared" si="16"/>
        <v>232220275000</v>
      </c>
      <c r="G15" s="15">
        <f t="shared" si="16"/>
        <v>192473166000</v>
      </c>
      <c r="H15" s="15">
        <f t="shared" si="16"/>
        <v>196722196000</v>
      </c>
      <c r="I15" s="15">
        <f t="shared" si="16"/>
        <v>216297706000</v>
      </c>
      <c r="J15" s="15">
        <f>+J108</f>
        <v>0</v>
      </c>
      <c r="K15" s="15">
        <f>+K108</f>
        <v>0</v>
      </c>
      <c r="L15" s="15">
        <f>+L108</f>
        <v>0</v>
      </c>
      <c r="M15" s="15">
        <f>+M108</f>
        <v>0</v>
      </c>
      <c r="N15" s="15">
        <f>+N108</f>
        <v>0</v>
      </c>
    </row>
    <row r="16" spans="2:14" ht="25.5">
      <c r="B16" s="79" t="s">
        <v>278</v>
      </c>
      <c r="C16" s="80"/>
      <c r="D16" s="80"/>
      <c r="E16" s="80"/>
      <c r="F16" s="80">
        <v>258469000</v>
      </c>
      <c r="G16" s="80">
        <v>258469000</v>
      </c>
      <c r="H16" s="80">
        <v>258469000</v>
      </c>
      <c r="I16" s="80">
        <v>258469000</v>
      </c>
      <c r="J16" s="80"/>
      <c r="K16" s="80"/>
      <c r="L16" s="80"/>
      <c r="M16" s="80"/>
      <c r="N16" s="80"/>
    </row>
    <row r="18" spans="2:14" ht="25.5">
      <c r="B18" s="18" t="s">
        <v>279</v>
      </c>
      <c r="C18" s="19" t="e">
        <f t="shared" ref="C18:I18" si="17">(C15/C16)</f>
        <v>#DIV/0!</v>
      </c>
      <c r="D18" s="19" t="e">
        <f t="shared" si="17"/>
        <v>#DIV/0!</v>
      </c>
      <c r="E18" s="19" t="e">
        <f t="shared" si="17"/>
        <v>#DIV/0!</v>
      </c>
      <c r="F18" s="19">
        <f t="shared" si="17"/>
        <v>898.44536482131321</v>
      </c>
      <c r="G18" s="19">
        <f t="shared" si="17"/>
        <v>744.66634683463008</v>
      </c>
      <c r="H18" s="19">
        <f t="shared" si="17"/>
        <v>761.10557165462785</v>
      </c>
      <c r="I18" s="19">
        <f t="shared" si="17"/>
        <v>836.84196557420807</v>
      </c>
      <c r="J18" s="19" t="e">
        <f t="shared" ref="J18:N18" si="18">(J15/J16)</f>
        <v>#DIV/0!</v>
      </c>
      <c r="K18" s="19" t="e">
        <f t="shared" si="18"/>
        <v>#DIV/0!</v>
      </c>
      <c r="L18" s="19" t="e">
        <f t="shared" si="18"/>
        <v>#DIV/0!</v>
      </c>
      <c r="M18" s="19" t="e">
        <f t="shared" si="18"/>
        <v>#DIV/0!</v>
      </c>
      <c r="N18" s="19" t="e">
        <f t="shared" si="18"/>
        <v>#DIV/0!</v>
      </c>
    </row>
    <row r="19" spans="2:14" ht="25.5">
      <c r="B19" s="76" t="s">
        <v>282</v>
      </c>
      <c r="C19" s="77">
        <v>2770</v>
      </c>
      <c r="D19" s="77">
        <v>1901</v>
      </c>
      <c r="E19" s="77">
        <v>1101</v>
      </c>
      <c r="F19" s="77">
        <v>1210</v>
      </c>
      <c r="G19" s="77">
        <v>1100</v>
      </c>
      <c r="H19" s="101">
        <v>1181</v>
      </c>
      <c r="I19" s="101">
        <v>1631</v>
      </c>
      <c r="J19" s="101"/>
      <c r="K19" s="101"/>
      <c r="L19" s="101"/>
      <c r="M19" s="101"/>
      <c r="N19" s="101"/>
    </row>
    <row r="20" spans="2:14" ht="25.5">
      <c r="B20" s="18" t="s">
        <v>283</v>
      </c>
      <c r="C20" s="22" t="e">
        <f>+C19/C40</f>
        <v>#DIV/0!</v>
      </c>
      <c r="D20" s="22">
        <f t="shared" ref="D20:I20" si="19">+D19/D40</f>
        <v>19.230749776686586</v>
      </c>
      <c r="E20" s="22">
        <f t="shared" si="19"/>
        <v>12.15945787150954</v>
      </c>
      <c r="F20" s="22">
        <f t="shared" si="19"/>
        <v>68.912885000911245</v>
      </c>
      <c r="G20" s="22">
        <f t="shared" si="19"/>
        <v>7.2188188043667285</v>
      </c>
      <c r="H20" s="22">
        <f t="shared" si="19"/>
        <v>9.6773453427468255</v>
      </c>
      <c r="I20" s="22">
        <f t="shared" si="19"/>
        <v>14.616018116334901</v>
      </c>
      <c r="J20" s="22" t="e">
        <f t="shared" ref="J20:N20" si="20">+J19/J40</f>
        <v>#DIV/0!</v>
      </c>
      <c r="K20" s="22" t="e">
        <f t="shared" si="20"/>
        <v>#DIV/0!</v>
      </c>
      <c r="L20" s="22" t="e">
        <f t="shared" si="20"/>
        <v>#DIV/0!</v>
      </c>
      <c r="M20" s="22" t="e">
        <f t="shared" si="20"/>
        <v>#DIV/0!</v>
      </c>
      <c r="N20" s="22" t="e">
        <f t="shared" si="20"/>
        <v>#DIV/0!</v>
      </c>
    </row>
    <row r="21" spans="2:14" ht="25.5">
      <c r="B21" s="18" t="s">
        <v>380</v>
      </c>
      <c r="C21" s="22" t="e">
        <f t="shared" ref="C21:I21" si="21">+C19/C18</f>
        <v>#DIV/0!</v>
      </c>
      <c r="D21" s="22" t="e">
        <f t="shared" si="21"/>
        <v>#DIV/0!</v>
      </c>
      <c r="E21" s="22" t="e">
        <f t="shared" si="21"/>
        <v>#DIV/0!</v>
      </c>
      <c r="F21" s="22">
        <f t="shared" si="21"/>
        <v>1.3467708192146444</v>
      </c>
      <c r="G21" s="22">
        <f t="shared" si="21"/>
        <v>1.4771716281738723</v>
      </c>
      <c r="H21" s="22">
        <f t="shared" si="21"/>
        <v>1.5516901255006323</v>
      </c>
      <c r="I21" s="22">
        <f t="shared" si="21"/>
        <v>1.948994036025514</v>
      </c>
      <c r="J21" s="22" t="e">
        <f t="shared" ref="J21:N21" si="22">+J19/J18</f>
        <v>#DIV/0!</v>
      </c>
      <c r="K21" s="22" t="e">
        <f t="shared" si="22"/>
        <v>#DIV/0!</v>
      </c>
      <c r="L21" s="22" t="e">
        <f t="shared" si="22"/>
        <v>#DIV/0!</v>
      </c>
      <c r="M21" s="22" t="e">
        <f t="shared" si="22"/>
        <v>#DIV/0!</v>
      </c>
      <c r="N21" s="22" t="e">
        <f t="shared" si="22"/>
        <v>#DIV/0!</v>
      </c>
    </row>
    <row r="22" spans="2:14" ht="25.5">
      <c r="B22" s="18" t="s">
        <v>285</v>
      </c>
      <c r="C22" s="22" t="e">
        <f>+C20*C21</f>
        <v>#DIV/0!</v>
      </c>
      <c r="D22" s="22" t="e">
        <f t="shared" ref="D22:I22" si="23">+D20*D21</f>
        <v>#DIV/0!</v>
      </c>
      <c r="E22" s="22" t="e">
        <f t="shared" si="23"/>
        <v>#DIV/0!</v>
      </c>
      <c r="F22" s="22">
        <f t="shared" si="23"/>
        <v>92.809862587121813</v>
      </c>
      <c r="G22" s="22">
        <f t="shared" si="23"/>
        <v>10.663434326738566</v>
      </c>
      <c r="H22" s="22">
        <f t="shared" si="23"/>
        <v>15.016241209399782</v>
      </c>
      <c r="I22" s="22">
        <f t="shared" si="23"/>
        <v>28.486532139177591</v>
      </c>
      <c r="J22" s="22" t="e">
        <f t="shared" ref="J22:N22" si="24">+J20*J21</f>
        <v>#DIV/0!</v>
      </c>
      <c r="K22" s="22" t="e">
        <f t="shared" si="24"/>
        <v>#DIV/0!</v>
      </c>
      <c r="L22" s="22" t="e">
        <f t="shared" si="24"/>
        <v>#DIV/0!</v>
      </c>
      <c r="M22" s="22" t="e">
        <f t="shared" si="24"/>
        <v>#DIV/0!</v>
      </c>
      <c r="N22" s="22" t="e">
        <f t="shared" si="24"/>
        <v>#DIV/0!</v>
      </c>
    </row>
    <row r="23" spans="2:14" ht="25.5">
      <c r="B23" s="23" t="s">
        <v>286</v>
      </c>
      <c r="C23" s="24" t="e">
        <f>IF(C41&lt;10%,0,IF(15%&lt;C41,2,1))</f>
        <v>#DIV/0!</v>
      </c>
      <c r="D23" s="24">
        <f>IF(D41&lt;10%,0,IF(15%&lt;D41,2,1))</f>
        <v>1</v>
      </c>
      <c r="E23" s="24">
        <f t="shared" ref="E23:I23" si="25">IF(E41&lt;10%,0,IF(15%&lt;E41,2,1))</f>
        <v>0</v>
      </c>
      <c r="F23" s="24">
        <f t="shared" si="25"/>
        <v>0</v>
      </c>
      <c r="G23" s="24">
        <f t="shared" si="25"/>
        <v>2</v>
      </c>
      <c r="H23" s="24">
        <f t="shared" si="25"/>
        <v>2</v>
      </c>
      <c r="I23" s="24">
        <f t="shared" si="25"/>
        <v>1</v>
      </c>
      <c r="J23" s="24" t="e">
        <f t="shared" ref="J23:N23" si="26">IF(J41&lt;10%,0,IF(15%&lt;J41,2,1))</f>
        <v>#DIV/0!</v>
      </c>
      <c r="K23" s="24" t="e">
        <f t="shared" si="26"/>
        <v>#DIV/0!</v>
      </c>
      <c r="L23" s="24" t="e">
        <f t="shared" si="26"/>
        <v>#DIV/0!</v>
      </c>
      <c r="M23" s="24" t="e">
        <f t="shared" si="26"/>
        <v>#DIV/0!</v>
      </c>
      <c r="N23" s="24" t="e">
        <f t="shared" si="26"/>
        <v>#DIV/0!</v>
      </c>
    </row>
    <row r="24" spans="2:14" ht="25.5">
      <c r="B24" s="23" t="s">
        <v>287</v>
      </c>
      <c r="C24" s="24" t="e">
        <f>IF(C41&lt;10%,1,IF(15%&lt;C41,2.5,2))</f>
        <v>#DIV/0!</v>
      </c>
      <c r="D24" s="24">
        <f t="shared" ref="D24:I24" si="27">IF(D41&lt;10%,1,IF(15%&lt;D41,2.5,2))</f>
        <v>2</v>
      </c>
      <c r="E24" s="24">
        <f t="shared" si="27"/>
        <v>1</v>
      </c>
      <c r="F24" s="24">
        <f t="shared" si="27"/>
        <v>1</v>
      </c>
      <c r="G24" s="24">
        <f t="shared" si="27"/>
        <v>2.5</v>
      </c>
      <c r="H24" s="24">
        <f t="shared" si="27"/>
        <v>2.5</v>
      </c>
      <c r="I24" s="24">
        <f t="shared" si="27"/>
        <v>2</v>
      </c>
      <c r="J24" s="24" t="e">
        <f t="shared" ref="J24:N24" si="28">IF(J41&lt;10%,1,IF(15%&lt;J41,2.5,2))</f>
        <v>#DIV/0!</v>
      </c>
      <c r="K24" s="24" t="e">
        <f t="shared" si="28"/>
        <v>#DIV/0!</v>
      </c>
      <c r="L24" s="24" t="e">
        <f t="shared" si="28"/>
        <v>#DIV/0!</v>
      </c>
      <c r="M24" s="24" t="e">
        <f t="shared" si="28"/>
        <v>#DIV/0!</v>
      </c>
      <c r="N24" s="24" t="e">
        <f t="shared" si="28"/>
        <v>#DIV/0!</v>
      </c>
    </row>
    <row r="25" spans="2:14" ht="25.5">
      <c r="B25" s="25" t="s">
        <v>288</v>
      </c>
      <c r="C25" s="26" t="e">
        <f t="shared" ref="C25:I25" si="29">+C23*C18</f>
        <v>#DIV/0!</v>
      </c>
      <c r="D25" s="26" t="e">
        <f t="shared" si="29"/>
        <v>#DIV/0!</v>
      </c>
      <c r="E25" s="26" t="e">
        <f t="shared" si="29"/>
        <v>#DIV/0!</v>
      </c>
      <c r="F25" s="26">
        <f t="shared" si="29"/>
        <v>0</v>
      </c>
      <c r="G25" s="26">
        <f t="shared" si="29"/>
        <v>1489.3326936692602</v>
      </c>
      <c r="H25" s="26">
        <f t="shared" si="29"/>
        <v>1522.2111433092557</v>
      </c>
      <c r="I25" s="26">
        <f t="shared" si="29"/>
        <v>836.84196557420807</v>
      </c>
      <c r="J25" s="26" t="e">
        <f t="shared" ref="J25:N25" si="30">+J23*J18</f>
        <v>#DIV/0!</v>
      </c>
      <c r="K25" s="26" t="e">
        <f t="shared" si="30"/>
        <v>#DIV/0!</v>
      </c>
      <c r="L25" s="26" t="e">
        <f t="shared" si="30"/>
        <v>#DIV/0!</v>
      </c>
      <c r="M25" s="26" t="e">
        <f t="shared" si="30"/>
        <v>#DIV/0!</v>
      </c>
      <c r="N25" s="26" t="e">
        <f t="shared" si="30"/>
        <v>#DIV/0!</v>
      </c>
    </row>
    <row r="26" spans="2:14" ht="25.5">
      <c r="B26" s="25" t="s">
        <v>289</v>
      </c>
      <c r="C26" s="26" t="e">
        <f>AVERAGE(C25,C27)</f>
        <v>#DIV/0!</v>
      </c>
      <c r="D26" s="26" t="e">
        <f t="shared" ref="D26:I26" si="31">AVERAGE(D25,D27)</f>
        <v>#DIV/0!</v>
      </c>
      <c r="E26" s="26" t="e">
        <f t="shared" si="31"/>
        <v>#DIV/0!</v>
      </c>
      <c r="F26" s="26">
        <f t="shared" si="31"/>
        <v>449.2226824106566</v>
      </c>
      <c r="G26" s="26">
        <f t="shared" si="31"/>
        <v>1675.4992803779178</v>
      </c>
      <c r="H26" s="26">
        <f t="shared" si="31"/>
        <v>1712.4875362229127</v>
      </c>
      <c r="I26" s="26">
        <f t="shared" si="31"/>
        <v>1255.2629483613121</v>
      </c>
      <c r="J26" s="26" t="e">
        <f t="shared" ref="J26:N26" si="32">AVERAGE(J25,J27)</f>
        <v>#DIV/0!</v>
      </c>
      <c r="K26" s="26" t="e">
        <f t="shared" si="32"/>
        <v>#DIV/0!</v>
      </c>
      <c r="L26" s="26" t="e">
        <f t="shared" si="32"/>
        <v>#DIV/0!</v>
      </c>
      <c r="M26" s="26" t="e">
        <f t="shared" si="32"/>
        <v>#DIV/0!</v>
      </c>
      <c r="N26" s="26" t="e">
        <f t="shared" si="32"/>
        <v>#DIV/0!</v>
      </c>
    </row>
    <row r="27" spans="2:14" ht="25.5">
      <c r="B27" s="25" t="s">
        <v>290</v>
      </c>
      <c r="C27" s="26" t="e">
        <f t="shared" ref="C27:I27" si="33">+C18*C24</f>
        <v>#DIV/0!</v>
      </c>
      <c r="D27" s="26" t="e">
        <f t="shared" si="33"/>
        <v>#DIV/0!</v>
      </c>
      <c r="E27" s="26" t="e">
        <f t="shared" si="33"/>
        <v>#DIV/0!</v>
      </c>
      <c r="F27" s="26">
        <f t="shared" si="33"/>
        <v>898.44536482131321</v>
      </c>
      <c r="G27" s="26">
        <f t="shared" si="33"/>
        <v>1861.6658670865752</v>
      </c>
      <c r="H27" s="26">
        <f t="shared" si="33"/>
        <v>1902.7639291365697</v>
      </c>
      <c r="I27" s="26">
        <f t="shared" si="33"/>
        <v>1673.6839311484161</v>
      </c>
      <c r="J27" s="26" t="e">
        <f t="shared" ref="J27:N27" si="34">+J18*J24</f>
        <v>#DIV/0!</v>
      </c>
      <c r="K27" s="26" t="e">
        <f t="shared" si="34"/>
        <v>#DIV/0!</v>
      </c>
      <c r="L27" s="26" t="e">
        <f t="shared" si="34"/>
        <v>#DIV/0!</v>
      </c>
      <c r="M27" s="26" t="e">
        <f t="shared" si="34"/>
        <v>#DIV/0!</v>
      </c>
      <c r="N27" s="26" t="e">
        <f t="shared" si="34"/>
        <v>#DIV/0!</v>
      </c>
    </row>
    <row r="29" spans="2:14" ht="25.5">
      <c r="B29" s="243" t="s">
        <v>291</v>
      </c>
      <c r="C29" s="81">
        <f t="shared" ref="C29:I29" si="35">C7-C12</f>
        <v>0</v>
      </c>
      <c r="D29" s="81">
        <f t="shared" si="35"/>
        <v>166549682000</v>
      </c>
      <c r="E29" s="81">
        <f t="shared" si="35"/>
        <v>159207016000</v>
      </c>
      <c r="F29" s="81">
        <f t="shared" si="35"/>
        <v>161157090000</v>
      </c>
      <c r="G29" s="81">
        <f t="shared" si="35"/>
        <v>116213407000</v>
      </c>
      <c r="H29" s="81">
        <f t="shared" si="35"/>
        <v>132526806000</v>
      </c>
      <c r="I29" s="81">
        <f t="shared" si="35"/>
        <v>134934700000</v>
      </c>
      <c r="J29" s="81">
        <f t="shared" ref="J29:N29" si="36">J7-J12</f>
        <v>0</v>
      </c>
      <c r="K29" s="81">
        <f t="shared" si="36"/>
        <v>0</v>
      </c>
      <c r="L29" s="81">
        <f t="shared" si="36"/>
        <v>0</v>
      </c>
      <c r="M29" s="81">
        <f t="shared" si="36"/>
        <v>0</v>
      </c>
      <c r="N29" s="81">
        <f t="shared" si="36"/>
        <v>0</v>
      </c>
    </row>
    <row r="30" spans="2:14" ht="25.5">
      <c r="B30" s="30" t="s">
        <v>149</v>
      </c>
      <c r="C30" s="241" t="e">
        <f t="shared" ref="C30:I30" si="37">C7/C12</f>
        <v>#DIV/0!</v>
      </c>
      <c r="D30" s="241">
        <f t="shared" si="37"/>
        <v>6.6329397629757239</v>
      </c>
      <c r="E30" s="241">
        <f t="shared" si="37"/>
        <v>4.6256159888084536</v>
      </c>
      <c r="F30" s="241">
        <f t="shared" si="37"/>
        <v>5.2663113178499295</v>
      </c>
      <c r="G30" s="241">
        <f t="shared" si="37"/>
        <v>2.8028822403201201</v>
      </c>
      <c r="H30" s="242">
        <f t="shared" si="37"/>
        <v>3.2310410933735167</v>
      </c>
      <c r="I30" s="242">
        <f t="shared" si="37"/>
        <v>3.3047939701597908</v>
      </c>
      <c r="J30" s="242" t="e">
        <f t="shared" ref="J30:N30" si="38">J7/J12</f>
        <v>#DIV/0!</v>
      </c>
      <c r="K30" s="242" t="e">
        <f t="shared" si="38"/>
        <v>#DIV/0!</v>
      </c>
      <c r="L30" s="242" t="e">
        <f t="shared" si="38"/>
        <v>#DIV/0!</v>
      </c>
      <c r="M30" s="242" t="e">
        <f t="shared" si="38"/>
        <v>#DIV/0!</v>
      </c>
      <c r="N30" s="242" t="e">
        <f t="shared" si="38"/>
        <v>#DIV/0!</v>
      </c>
    </row>
    <row r="31" spans="2:14" ht="25.5">
      <c r="B31" s="30" t="s">
        <v>292</v>
      </c>
      <c r="C31" s="241" t="e">
        <f t="shared" ref="C31:I31" si="39">+(C7-C9)/C12</f>
        <v>#DIV/0!</v>
      </c>
      <c r="D31" s="241">
        <f t="shared" si="39"/>
        <v>4.0082771734987315</v>
      </c>
      <c r="E31" s="241">
        <f t="shared" si="39"/>
        <v>2.8627394306963416</v>
      </c>
      <c r="F31" s="241">
        <f t="shared" si="39"/>
        <v>3.7184432002900172</v>
      </c>
      <c r="G31" s="241">
        <f t="shared" si="39"/>
        <v>2.2615503637709762</v>
      </c>
      <c r="H31" s="241">
        <f t="shared" si="39"/>
        <v>1.7395127977692215</v>
      </c>
      <c r="I31" s="241">
        <f t="shared" si="39"/>
        <v>1.8204951033331782</v>
      </c>
      <c r="J31" s="241" t="e">
        <f t="shared" ref="J31:N31" si="40">+(J7-J9)/J12</f>
        <v>#DIV/0!</v>
      </c>
      <c r="K31" s="241" t="e">
        <f t="shared" si="40"/>
        <v>#DIV/0!</v>
      </c>
      <c r="L31" s="241" t="e">
        <f t="shared" si="40"/>
        <v>#DIV/0!</v>
      </c>
      <c r="M31" s="241" t="e">
        <f t="shared" si="40"/>
        <v>#DIV/0!</v>
      </c>
      <c r="N31" s="241" t="e">
        <f t="shared" si="40"/>
        <v>#DIV/0!</v>
      </c>
    </row>
    <row r="32" spans="2:14" ht="25.5">
      <c r="B32" s="32" t="s">
        <v>153</v>
      </c>
      <c r="C32" s="33" t="e">
        <f t="shared" ref="C32:I32" si="41">C14/C11</f>
        <v>#DIV/0!</v>
      </c>
      <c r="D32" s="33">
        <f t="shared" si="41"/>
        <v>0.12381454106446362</v>
      </c>
      <c r="E32" s="33">
        <f t="shared" si="41"/>
        <v>0.26009068633539717</v>
      </c>
      <c r="F32" s="33">
        <f t="shared" si="41"/>
        <v>0.21421389345389336</v>
      </c>
      <c r="G32" s="33">
        <f t="shared" si="41"/>
        <v>0.29195436659816276</v>
      </c>
      <c r="H32" s="33">
        <f t="shared" si="41"/>
        <v>0.31603372485300379</v>
      </c>
      <c r="I32" s="33">
        <f t="shared" si="41"/>
        <v>0.29562329885488575</v>
      </c>
      <c r="J32" s="33" t="e">
        <f t="shared" ref="J32:N32" si="42">J14/J11</f>
        <v>#DIV/0!</v>
      </c>
      <c r="K32" s="33" t="e">
        <f t="shared" si="42"/>
        <v>#DIV/0!</v>
      </c>
      <c r="L32" s="33" t="e">
        <f t="shared" si="42"/>
        <v>#DIV/0!</v>
      </c>
      <c r="M32" s="33" t="e">
        <f t="shared" si="42"/>
        <v>#DIV/0!</v>
      </c>
      <c r="N32" s="33" t="e">
        <f t="shared" si="42"/>
        <v>#DIV/0!</v>
      </c>
    </row>
    <row r="35" spans="2:14" ht="25.5">
      <c r="B35" s="35" t="s">
        <v>293</v>
      </c>
      <c r="C35" s="36">
        <f>+C113</f>
        <v>0</v>
      </c>
      <c r="D35" s="36">
        <f t="shared" ref="D35:I35" si="43">+D113</f>
        <v>247711908000</v>
      </c>
      <c r="E35" s="36">
        <f t="shared" si="43"/>
        <v>237560015000</v>
      </c>
      <c r="F35" s="36">
        <f t="shared" si="43"/>
        <v>184449186000</v>
      </c>
      <c r="G35" s="36">
        <f t="shared" si="43"/>
        <v>294690496000</v>
      </c>
      <c r="H35" s="36">
        <f t="shared" si="43"/>
        <v>315055264000</v>
      </c>
      <c r="I35" s="36">
        <f t="shared" si="43"/>
        <v>326554888000</v>
      </c>
      <c r="J35" s="36">
        <f>+J113</f>
        <v>0</v>
      </c>
      <c r="K35" s="36">
        <f>+K113</f>
        <v>0</v>
      </c>
      <c r="L35" s="36">
        <f>+L113</f>
        <v>0</v>
      </c>
      <c r="M35" s="36">
        <f>+M113</f>
        <v>0</v>
      </c>
      <c r="N35" s="36">
        <f>+N113</f>
        <v>0</v>
      </c>
    </row>
    <row r="36" spans="2:14" ht="25.5">
      <c r="B36" s="39" t="s">
        <v>156</v>
      </c>
      <c r="C36" s="40">
        <f>+C121</f>
        <v>0</v>
      </c>
      <c r="D36" s="40">
        <f t="shared" ref="D36:I36" si="44">+D121</f>
        <v>32150737000</v>
      </c>
      <c r="E36" s="40">
        <f t="shared" si="44"/>
        <v>29741827000</v>
      </c>
      <c r="F36" s="40">
        <f t="shared" si="44"/>
        <v>6269721000</v>
      </c>
      <c r="G36" s="40">
        <f t="shared" si="44"/>
        <v>49998495000</v>
      </c>
      <c r="H36" s="40">
        <f t="shared" si="44"/>
        <v>37651567000</v>
      </c>
      <c r="I36" s="40">
        <f t="shared" si="44"/>
        <v>34811415000</v>
      </c>
      <c r="J36" s="40">
        <f>+J121</f>
        <v>0</v>
      </c>
      <c r="K36" s="40">
        <f>+K121</f>
        <v>0</v>
      </c>
      <c r="L36" s="40">
        <f>+L121</f>
        <v>0</v>
      </c>
      <c r="M36" s="40">
        <f>+M121</f>
        <v>0</v>
      </c>
      <c r="N36" s="40">
        <f>+N121</f>
        <v>0</v>
      </c>
    </row>
    <row r="37" spans="2:14" ht="25.5">
      <c r="B37" s="35" t="s">
        <v>381</v>
      </c>
      <c r="C37" s="41" t="e">
        <f>C36/C35</f>
        <v>#DIV/0!</v>
      </c>
      <c r="D37" s="41">
        <f t="shared" ref="D37:I37" si="45">D36/D35</f>
        <v>0.12979084154484813</v>
      </c>
      <c r="E37" s="41">
        <f t="shared" si="45"/>
        <v>0.12519710861274361</v>
      </c>
      <c r="F37" s="41">
        <f t="shared" si="45"/>
        <v>3.3991589423441534E-2</v>
      </c>
      <c r="G37" s="41">
        <f t="shared" si="45"/>
        <v>0.16966442989732522</v>
      </c>
      <c r="H37" s="41">
        <f t="shared" si="45"/>
        <v>0.1195078175237218</v>
      </c>
      <c r="I37" s="41">
        <f t="shared" si="45"/>
        <v>0.10660203316264553</v>
      </c>
      <c r="J37" s="41" t="e">
        <f t="shared" ref="J37:N37" si="46">J36/J35</f>
        <v>#DIV/0!</v>
      </c>
      <c r="K37" s="41" t="e">
        <f t="shared" si="46"/>
        <v>#DIV/0!</v>
      </c>
      <c r="L37" s="41" t="e">
        <f t="shared" si="46"/>
        <v>#DIV/0!</v>
      </c>
      <c r="M37" s="41" t="e">
        <f t="shared" si="46"/>
        <v>#DIV/0!</v>
      </c>
      <c r="N37" s="41" t="e">
        <f t="shared" si="46"/>
        <v>#DIV/0!</v>
      </c>
    </row>
    <row r="38" spans="2:14" ht="25.5">
      <c r="B38" s="43" t="s">
        <v>295</v>
      </c>
      <c r="C38" s="44">
        <f>+C131</f>
        <v>0</v>
      </c>
      <c r="D38" s="44">
        <f t="shared" ref="D38:I38" si="47">+D131</f>
        <v>25587975000</v>
      </c>
      <c r="E38" s="44">
        <f t="shared" si="47"/>
        <v>23388501000</v>
      </c>
      <c r="F38" s="44">
        <f t="shared" si="47"/>
        <v>4719619000</v>
      </c>
      <c r="G38" s="44">
        <f t="shared" si="47"/>
        <v>39349616000</v>
      </c>
      <c r="H38" s="44">
        <f t="shared" si="47"/>
        <v>31542741000</v>
      </c>
      <c r="I38" s="44">
        <f t="shared" si="47"/>
        <v>28860103000</v>
      </c>
      <c r="J38" s="44">
        <f>+J131</f>
        <v>0</v>
      </c>
      <c r="K38" s="44">
        <f>+K131</f>
        <v>0</v>
      </c>
      <c r="L38" s="44">
        <f>+L131</f>
        <v>0</v>
      </c>
      <c r="M38" s="44">
        <f>+M131</f>
        <v>0</v>
      </c>
      <c r="N38" s="44">
        <f>+N131</f>
        <v>0</v>
      </c>
    </row>
    <row r="39" spans="2:14" ht="25.5">
      <c r="B39" s="30" t="s">
        <v>296</v>
      </c>
      <c r="C39" s="45" t="e">
        <f>C38/C35</f>
        <v>#DIV/0!</v>
      </c>
      <c r="D39" s="45">
        <f t="shared" ref="D39:I39" si="48">D38/D35</f>
        <v>0.1032973150406641</v>
      </c>
      <c r="E39" s="45">
        <f t="shared" si="48"/>
        <v>9.8453020387290341E-2</v>
      </c>
      <c r="F39" s="45">
        <f t="shared" si="48"/>
        <v>2.5587637995865158E-2</v>
      </c>
      <c r="G39" s="45">
        <f t="shared" si="48"/>
        <v>0.13352862251791114</v>
      </c>
      <c r="H39" s="45">
        <f t="shared" si="48"/>
        <v>0.1001181208640272</v>
      </c>
      <c r="I39" s="45">
        <f t="shared" si="48"/>
        <v>8.8377495056818745E-2</v>
      </c>
      <c r="J39" s="45" t="e">
        <f t="shared" ref="J39:N39" si="49">J38/J35</f>
        <v>#DIV/0!</v>
      </c>
      <c r="K39" s="45" t="e">
        <f t="shared" si="49"/>
        <v>#DIV/0!</v>
      </c>
      <c r="L39" s="45" t="e">
        <f t="shared" si="49"/>
        <v>#DIV/0!</v>
      </c>
      <c r="M39" s="45" t="e">
        <f t="shared" si="49"/>
        <v>#DIV/0!</v>
      </c>
      <c r="N39" s="45" t="e">
        <f t="shared" si="49"/>
        <v>#DIV/0!</v>
      </c>
    </row>
    <row r="40" spans="2:14" ht="25.5">
      <c r="B40" s="46" t="s">
        <v>159</v>
      </c>
      <c r="C40" s="121">
        <f>+C132</f>
        <v>0</v>
      </c>
      <c r="D40" s="121">
        <f t="shared" ref="D40:I40" si="50">+D132</f>
        <v>98.852099999999993</v>
      </c>
      <c r="E40" s="121">
        <f t="shared" si="50"/>
        <v>90.546800000000005</v>
      </c>
      <c r="F40" s="121">
        <f t="shared" si="50"/>
        <v>17.558399999999999</v>
      </c>
      <c r="G40" s="121">
        <f t="shared" si="50"/>
        <v>152.37950000000001</v>
      </c>
      <c r="H40" s="121">
        <f t="shared" si="50"/>
        <v>122.0376</v>
      </c>
      <c r="I40" s="121">
        <f t="shared" si="50"/>
        <v>111.5899</v>
      </c>
      <c r="J40" s="121">
        <f>+J132</f>
        <v>0</v>
      </c>
      <c r="K40" s="121">
        <f>+K132</f>
        <v>0</v>
      </c>
      <c r="L40" s="121">
        <f>+L132</f>
        <v>0</v>
      </c>
      <c r="M40" s="121">
        <f>+M132</f>
        <v>0</v>
      </c>
      <c r="N40" s="121">
        <f>+N132</f>
        <v>0</v>
      </c>
    </row>
    <row r="41" spans="2:14" ht="25.5">
      <c r="B41" s="48" t="s">
        <v>160</v>
      </c>
      <c r="C41" s="49" t="e">
        <f t="shared" ref="C41:I41" si="51">C38/C15</f>
        <v>#DIV/0!</v>
      </c>
      <c r="D41" s="49">
        <f t="shared" si="51"/>
        <v>0.11635876507268797</v>
      </c>
      <c r="E41" s="49">
        <f t="shared" si="51"/>
        <v>9.9883078488037291E-2</v>
      </c>
      <c r="F41" s="49">
        <f t="shared" si="51"/>
        <v>2.0323888601027622E-2</v>
      </c>
      <c r="G41" s="49">
        <f t="shared" si="51"/>
        <v>0.20444208830648111</v>
      </c>
      <c r="H41" s="49">
        <f t="shared" si="51"/>
        <v>0.16034154580096291</v>
      </c>
      <c r="I41" s="49">
        <f t="shared" si="51"/>
        <v>0.13342768878001879</v>
      </c>
      <c r="J41" s="49" t="e">
        <f t="shared" ref="J41:N41" si="52">J38/J15</f>
        <v>#DIV/0!</v>
      </c>
      <c r="K41" s="49" t="e">
        <f t="shared" si="52"/>
        <v>#DIV/0!</v>
      </c>
      <c r="L41" s="49" t="e">
        <f t="shared" si="52"/>
        <v>#DIV/0!</v>
      </c>
      <c r="M41" s="49" t="e">
        <f t="shared" si="52"/>
        <v>#DIV/0!</v>
      </c>
      <c r="N41" s="49" t="e">
        <f t="shared" si="52"/>
        <v>#DIV/0!</v>
      </c>
    </row>
    <row r="42" spans="2:14" ht="25.5">
      <c r="B42" s="48" t="s">
        <v>382</v>
      </c>
      <c r="C42" s="49">
        <f>AVERAGE(G41:I41)</f>
        <v>0.1660704409624876</v>
      </c>
      <c r="D42" s="49"/>
      <c r="E42" s="49"/>
      <c r="F42" s="49"/>
      <c r="G42" s="49"/>
      <c r="H42" s="49"/>
      <c r="I42" s="49"/>
      <c r="J42" s="49"/>
      <c r="K42" s="49"/>
      <c r="L42" s="49"/>
      <c r="M42" s="49"/>
      <c r="N42" s="49"/>
    </row>
    <row r="43" spans="2:14" ht="25.5">
      <c r="B43" s="48" t="s">
        <v>298</v>
      </c>
      <c r="C43" s="50">
        <f>+C144</f>
        <v>0</v>
      </c>
      <c r="D43" s="50">
        <f t="shared" ref="D43:I43" si="53">+D144</f>
        <v>35214529000</v>
      </c>
      <c r="E43" s="50">
        <f t="shared" si="53"/>
        <v>13419881000</v>
      </c>
      <c r="F43" s="50">
        <f t="shared" si="53"/>
        <v>41226768000</v>
      </c>
      <c r="G43" s="50">
        <f t="shared" si="53"/>
        <v>91467869000</v>
      </c>
      <c r="H43" s="50">
        <f t="shared" si="53"/>
        <v>-10681330000</v>
      </c>
      <c r="I43" s="50">
        <f t="shared" si="53"/>
        <v>55758693000</v>
      </c>
      <c r="J43" s="50">
        <f>+J144</f>
        <v>0</v>
      </c>
      <c r="K43" s="50">
        <f>+K144</f>
        <v>0</v>
      </c>
      <c r="L43" s="50">
        <f>+L144</f>
        <v>0</v>
      </c>
      <c r="M43" s="50">
        <f>+M144</f>
        <v>0</v>
      </c>
      <c r="N43" s="50">
        <f>+N144</f>
        <v>0</v>
      </c>
    </row>
    <row r="44" spans="2:14" ht="25.5">
      <c r="B44" s="51" t="s">
        <v>119</v>
      </c>
      <c r="C44" s="51">
        <f>SUM(C46:C49)</f>
        <v>40.85</v>
      </c>
      <c r="D44" s="51">
        <f t="shared" ref="D44:F44" si="54">SUM(D46:D49)</f>
        <v>41.314999999999998</v>
      </c>
      <c r="E44" s="51">
        <f t="shared" si="54"/>
        <v>39.540999999999997</v>
      </c>
      <c r="F44" s="51">
        <f t="shared" si="54"/>
        <v>14</v>
      </c>
      <c r="G44" s="51">
        <f>SUM(G46:G49)</f>
        <v>292.26751000000002</v>
      </c>
      <c r="H44" s="51">
        <f>SUM(H46:H49)</f>
        <v>103.952</v>
      </c>
      <c r="I44" s="51">
        <f t="shared" ref="I44:N44" si="55">SUM(I46:I48)</f>
        <v>64.314999999999998</v>
      </c>
      <c r="J44" s="51">
        <f t="shared" si="55"/>
        <v>29.135999999999999</v>
      </c>
      <c r="K44" s="51">
        <f t="shared" si="55"/>
        <v>0</v>
      </c>
      <c r="L44" s="51">
        <f t="shared" si="55"/>
        <v>0</v>
      </c>
      <c r="M44" s="51">
        <f t="shared" si="55"/>
        <v>0</v>
      </c>
      <c r="N44" s="51">
        <f t="shared" si="55"/>
        <v>0</v>
      </c>
    </row>
    <row r="45" spans="2:14" ht="25.5">
      <c r="B45" s="51" t="s">
        <v>383</v>
      </c>
      <c r="C45" s="51">
        <f>+C46+C47</f>
        <v>40.85</v>
      </c>
      <c r="D45" s="51">
        <f t="shared" ref="D45:I45" si="56">+D46+D47</f>
        <v>41.314999999999998</v>
      </c>
      <c r="E45" s="51">
        <f t="shared" si="56"/>
        <v>39.540999999999997</v>
      </c>
      <c r="F45" s="51">
        <f t="shared" si="56"/>
        <v>14</v>
      </c>
      <c r="G45" s="51">
        <f t="shared" si="56"/>
        <v>20.267510000000001</v>
      </c>
      <c r="H45" s="51">
        <f t="shared" si="56"/>
        <v>45.951999999999998</v>
      </c>
      <c r="I45" s="51">
        <f t="shared" si="56"/>
        <v>64.314999999999998</v>
      </c>
      <c r="J45" s="51">
        <f t="shared" ref="J45:N45" si="57">+J46+J47</f>
        <v>29.135999999999999</v>
      </c>
      <c r="K45" s="51">
        <f t="shared" si="57"/>
        <v>0</v>
      </c>
      <c r="L45" s="51">
        <f t="shared" si="57"/>
        <v>0</v>
      </c>
      <c r="M45" s="51">
        <f t="shared" si="57"/>
        <v>0</v>
      </c>
      <c r="N45" s="51">
        <f t="shared" si="57"/>
        <v>0</v>
      </c>
    </row>
    <row r="46" spans="2:14" ht="18">
      <c r="B46" s="135" t="s">
        <v>121</v>
      </c>
      <c r="C46" s="94">
        <v>26.85</v>
      </c>
      <c r="D46" s="94">
        <v>27.315000000000001</v>
      </c>
      <c r="E46" s="94">
        <v>25.541</v>
      </c>
      <c r="F46" s="94"/>
      <c r="G46" s="94">
        <v>5.2675099999999997</v>
      </c>
      <c r="H46" s="94">
        <v>45.951999999999998</v>
      </c>
      <c r="I46" s="155">
        <v>48.814999999999998</v>
      </c>
      <c r="J46" s="155">
        <v>29.135999999999999</v>
      </c>
      <c r="K46" s="155"/>
      <c r="L46" s="155"/>
      <c r="M46" s="155"/>
      <c r="N46" s="155"/>
    </row>
    <row r="47" spans="2:14" ht="18">
      <c r="B47" s="135" t="s">
        <v>122</v>
      </c>
      <c r="C47" s="94">
        <v>14</v>
      </c>
      <c r="D47" s="94">
        <v>14</v>
      </c>
      <c r="E47" s="94">
        <v>14</v>
      </c>
      <c r="F47" s="94">
        <v>14</v>
      </c>
      <c r="G47" s="94">
        <v>15</v>
      </c>
      <c r="H47" s="94"/>
      <c r="I47" s="155">
        <v>15.5</v>
      </c>
      <c r="J47" s="155"/>
      <c r="K47" s="155"/>
      <c r="L47" s="155"/>
      <c r="M47" s="155"/>
      <c r="N47" s="155"/>
    </row>
    <row r="48" spans="2:14" ht="18">
      <c r="B48" s="135" t="s">
        <v>123</v>
      </c>
      <c r="C48" s="94"/>
      <c r="D48" s="94"/>
      <c r="E48" s="94"/>
      <c r="F48" s="94"/>
      <c r="G48" s="94"/>
      <c r="H48" s="94"/>
      <c r="I48" s="155"/>
      <c r="J48" s="155"/>
      <c r="K48" s="155"/>
      <c r="L48" s="155"/>
      <c r="M48" s="155"/>
      <c r="N48" s="155"/>
    </row>
    <row r="49" spans="2:16" ht="18">
      <c r="B49" s="135" t="s">
        <v>124</v>
      </c>
      <c r="C49" s="94"/>
      <c r="D49" s="94"/>
      <c r="E49" s="94"/>
      <c r="F49" s="94"/>
      <c r="G49" s="94">
        <f>116+156</f>
        <v>272</v>
      </c>
      <c r="H49" s="94">
        <v>58</v>
      </c>
      <c r="I49" s="94"/>
      <c r="J49" s="94"/>
      <c r="K49" s="94"/>
      <c r="L49" s="94"/>
      <c r="M49" s="94"/>
      <c r="N49" s="94"/>
    </row>
    <row r="50" spans="2:16" ht="25.5">
      <c r="B50" s="541" t="s">
        <v>167</v>
      </c>
      <c r="C50" s="99" t="e">
        <f>(C47+C48+D46)/C40</f>
        <v>#DIV/0!</v>
      </c>
      <c r="D50" s="99">
        <f t="shared" ref="D50:N50" si="58">(D47+D48+E46)/D40</f>
        <v>0.40000161857967609</v>
      </c>
      <c r="E50" s="99">
        <f t="shared" si="58"/>
        <v>0.15461617638613401</v>
      </c>
      <c r="F50" s="99">
        <f t="shared" si="58"/>
        <v>1.0973385957718245</v>
      </c>
      <c r="G50" s="99">
        <f t="shared" si="58"/>
        <v>0.40000131251250987</v>
      </c>
      <c r="H50" s="99">
        <f t="shared" si="58"/>
        <v>0.39999967223216448</v>
      </c>
      <c r="I50" s="99">
        <f t="shared" si="58"/>
        <v>0.4000003584553799</v>
      </c>
      <c r="J50" s="99" t="e">
        <f t="shared" si="58"/>
        <v>#DIV/0!</v>
      </c>
      <c r="K50" s="99" t="e">
        <f t="shared" si="58"/>
        <v>#DIV/0!</v>
      </c>
      <c r="L50" s="99" t="e">
        <f t="shared" si="58"/>
        <v>#DIV/0!</v>
      </c>
      <c r="M50" s="99" t="e">
        <f t="shared" si="58"/>
        <v>#DIV/0!</v>
      </c>
      <c r="N50" s="99" t="e">
        <f t="shared" si="58"/>
        <v>#DIV/0!</v>
      </c>
    </row>
    <row r="51" spans="2:16" ht="28.5">
      <c r="B51" s="540" t="s">
        <v>303</v>
      </c>
      <c r="C51" s="54">
        <f>AVERAGE(G50:I50)</f>
        <v>0.40000044773335142</v>
      </c>
      <c r="D51" s="54"/>
      <c r="E51" s="54"/>
      <c r="F51" s="54"/>
      <c r="G51" s="54"/>
      <c r="H51" s="54"/>
      <c r="I51" s="54"/>
      <c r="J51" s="54"/>
      <c r="K51" s="54"/>
      <c r="L51" s="54"/>
      <c r="M51" s="54"/>
      <c r="N51" s="54"/>
    </row>
    <row r="52" spans="2:16" ht="25.5">
      <c r="B52" s="541" t="s">
        <v>299</v>
      </c>
      <c r="C52" s="99">
        <f t="shared" ref="C52:I52" si="59">+C44/C19</f>
        <v>1.4747292418772564E-2</v>
      </c>
      <c r="D52" s="99">
        <f t="shared" si="59"/>
        <v>2.1733298264071541E-2</v>
      </c>
      <c r="E52" s="99">
        <f t="shared" si="59"/>
        <v>3.5913714804722975E-2</v>
      </c>
      <c r="F52" s="99">
        <f t="shared" si="59"/>
        <v>1.1570247933884297E-2</v>
      </c>
      <c r="G52" s="99">
        <f t="shared" si="59"/>
        <v>0.26569773636363636</v>
      </c>
      <c r="H52" s="99">
        <f t="shared" si="59"/>
        <v>8.8020321761219308E-2</v>
      </c>
      <c r="I52" s="99">
        <f t="shared" si="59"/>
        <v>3.9432863274064991E-2</v>
      </c>
      <c r="J52" s="99" t="e">
        <f t="shared" ref="J52:N52" si="60">+J44/J19</f>
        <v>#DIV/0!</v>
      </c>
      <c r="K52" s="99" t="e">
        <f t="shared" si="60"/>
        <v>#DIV/0!</v>
      </c>
      <c r="L52" s="99" t="e">
        <f t="shared" si="60"/>
        <v>#DIV/0!</v>
      </c>
      <c r="M52" s="99" t="e">
        <f t="shared" si="60"/>
        <v>#DIV/0!</v>
      </c>
      <c r="N52" s="99" t="e">
        <f t="shared" si="60"/>
        <v>#DIV/0!</v>
      </c>
    </row>
    <row r="53" spans="2:16" ht="25.5">
      <c r="B53" s="542" t="s">
        <v>384</v>
      </c>
      <c r="C53" s="534">
        <f>AVERAGE(G52:I52)</f>
        <v>0.13105030713297355</v>
      </c>
      <c r="D53" s="534"/>
      <c r="E53" s="534"/>
      <c r="F53" s="534"/>
      <c r="G53" s="534"/>
      <c r="H53" s="534"/>
      <c r="I53" s="534"/>
      <c r="J53" s="534"/>
      <c r="K53" s="534"/>
      <c r="L53" s="534"/>
      <c r="M53" s="534"/>
      <c r="N53" s="534"/>
      <c r="O53" s="534"/>
      <c r="P53" s="534"/>
    </row>
    <row r="54" spans="2:16" ht="25.5">
      <c r="B54" s="543" t="s">
        <v>176</v>
      </c>
      <c r="C54" s="355" t="e">
        <f>+C41*(100%-C50)</f>
        <v>#DIV/0!</v>
      </c>
      <c r="D54" s="355">
        <f t="shared" ref="D54:I54" si="61">+D41*(100%-D50)</f>
        <v>6.9815070707680504E-2</v>
      </c>
      <c r="E54" s="355">
        <f t="shared" si="61"/>
        <v>8.4439538806540856E-2</v>
      </c>
      <c r="F54" s="549">
        <f t="shared" si="61"/>
        <v>-1.9782987770470186E-3</v>
      </c>
      <c r="G54" s="355">
        <f t="shared" si="61"/>
        <v>0.12266498465109021</v>
      </c>
      <c r="H54" s="355">
        <f t="shared" si="61"/>
        <v>9.6204980035379153E-2</v>
      </c>
      <c r="I54" s="355">
        <f t="shared" si="61"/>
        <v>8.0056565440138394E-2</v>
      </c>
      <c r="J54" s="355" t="e">
        <f t="shared" ref="J54:N54" si="62">+J41*(100%-J50)</f>
        <v>#DIV/0!</v>
      </c>
      <c r="K54" s="355" t="e">
        <f t="shared" si="62"/>
        <v>#DIV/0!</v>
      </c>
      <c r="L54" s="355" t="e">
        <f t="shared" si="62"/>
        <v>#DIV/0!</v>
      </c>
      <c r="M54" s="355" t="e">
        <f t="shared" si="62"/>
        <v>#DIV/0!</v>
      </c>
      <c r="N54" s="355" t="e">
        <f t="shared" si="62"/>
        <v>#DIV/0!</v>
      </c>
    </row>
    <row r="55" spans="2:16" ht="25.5">
      <c r="B55" s="542" t="s">
        <v>306</v>
      </c>
      <c r="C55" s="534">
        <f>AVERAGE(G54:I54)</f>
        <v>9.9642176708869254E-2</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c r="D61" s="64">
        <v>196116780000</v>
      </c>
      <c r="E61" s="64">
        <v>203118731000</v>
      </c>
      <c r="F61" s="159">
        <v>198931429000</v>
      </c>
      <c r="G61" s="64">
        <v>180673195000</v>
      </c>
      <c r="H61" s="141">
        <v>191928135000</v>
      </c>
      <c r="I61" s="64">
        <v>193479933000</v>
      </c>
      <c r="J61" s="64"/>
      <c r="K61" s="64"/>
      <c r="L61" s="64"/>
      <c r="M61" s="64"/>
      <c r="N61" s="64"/>
    </row>
    <row r="62" spans="2:16">
      <c r="B62" s="59" t="s">
        <v>386</v>
      </c>
      <c r="C62" s="66"/>
      <c r="D62" s="66"/>
      <c r="E62" s="66"/>
      <c r="F62" s="66"/>
      <c r="G62" s="66"/>
      <c r="H62" s="160">
        <v>26850834000</v>
      </c>
      <c r="I62" s="66">
        <v>26726187000</v>
      </c>
      <c r="J62" s="66"/>
      <c r="K62" s="66"/>
      <c r="L62" s="66"/>
      <c r="M62" s="66"/>
      <c r="N62" s="66"/>
    </row>
    <row r="63" spans="2:16">
      <c r="B63" s="59" t="s">
        <v>387</v>
      </c>
      <c r="C63" s="66"/>
      <c r="D63" s="66"/>
      <c r="E63" s="66"/>
      <c r="F63" s="66"/>
      <c r="G63" s="66"/>
      <c r="H63" s="160">
        <v>26755079000</v>
      </c>
      <c r="I63" s="66">
        <v>30247997000</v>
      </c>
      <c r="J63" s="66"/>
      <c r="K63" s="66"/>
      <c r="L63" s="66"/>
      <c r="M63" s="66"/>
      <c r="N63" s="66"/>
    </row>
    <row r="64" spans="2:16">
      <c r="B64" s="59" t="s">
        <v>388</v>
      </c>
      <c r="C64" s="66"/>
      <c r="D64" s="66"/>
      <c r="E64" s="66"/>
      <c r="F64" s="66"/>
      <c r="G64" s="66"/>
      <c r="H64" s="160">
        <v>5513475000</v>
      </c>
      <c r="I64" s="66">
        <v>4575308000</v>
      </c>
      <c r="J64" s="66"/>
      <c r="K64" s="66"/>
      <c r="L64" s="66"/>
      <c r="M64" s="66"/>
      <c r="N64" s="66"/>
    </row>
    <row r="65" spans="2:14">
      <c r="B65" s="59" t="s">
        <v>389</v>
      </c>
      <c r="C65" s="66"/>
      <c r="D65" s="66">
        <v>23587907000</v>
      </c>
      <c r="E65" s="66">
        <v>26381313000</v>
      </c>
      <c r="F65" s="66">
        <v>20972275000</v>
      </c>
      <c r="G65" s="66">
        <v>33219846000</v>
      </c>
      <c r="H65" s="160">
        <v>34431636000</v>
      </c>
      <c r="I65" s="66">
        <v>34389923000</v>
      </c>
      <c r="J65" s="66"/>
      <c r="K65" s="66"/>
      <c r="L65" s="66"/>
      <c r="M65" s="66"/>
      <c r="N65" s="66"/>
    </row>
    <row r="66" spans="2:14">
      <c r="B66" s="59" t="s">
        <v>390</v>
      </c>
      <c r="C66" s="66"/>
      <c r="D66" s="66"/>
      <c r="E66" s="66"/>
      <c r="F66" s="66"/>
      <c r="G66" s="66"/>
      <c r="H66" s="160">
        <v>0</v>
      </c>
      <c r="I66" s="66">
        <v>306115000</v>
      </c>
      <c r="J66" s="66"/>
      <c r="K66" s="66"/>
      <c r="L66" s="66"/>
      <c r="M66" s="66"/>
      <c r="N66" s="66"/>
    </row>
    <row r="67" spans="2:14">
      <c r="B67" s="59" t="s">
        <v>391</v>
      </c>
      <c r="C67" s="161"/>
      <c r="D67" s="66">
        <v>77603656000</v>
      </c>
      <c r="E67" s="66">
        <v>77410933000</v>
      </c>
      <c r="F67" s="66">
        <v>58469695000</v>
      </c>
      <c r="G67" s="66">
        <v>34894138000</v>
      </c>
      <c r="H67" s="160">
        <v>88598763000</v>
      </c>
      <c r="I67" s="66">
        <v>86898623000</v>
      </c>
      <c r="J67" s="66"/>
      <c r="K67" s="66"/>
      <c r="L67" s="66"/>
      <c r="M67" s="66"/>
      <c r="N67" s="66"/>
    </row>
    <row r="68" spans="2:14">
      <c r="B68" s="59" t="s">
        <v>392</v>
      </c>
      <c r="C68" s="66"/>
      <c r="D68" s="66"/>
      <c r="E68" s="66"/>
      <c r="F68" s="66"/>
      <c r="G68" s="66"/>
      <c r="H68" s="160">
        <v>9778348000</v>
      </c>
      <c r="I68" s="66">
        <v>10335780000</v>
      </c>
      <c r="J68" s="66"/>
      <c r="K68" s="66"/>
      <c r="L68" s="66"/>
      <c r="M68" s="66"/>
      <c r="N68" s="66"/>
    </row>
    <row r="69" spans="2:14">
      <c r="B69" s="59" t="s">
        <v>318</v>
      </c>
      <c r="C69" s="66">
        <f t="shared" ref="C69:M69" si="63">+C61-C62-C67-C68-C66-C65-C64-C63</f>
        <v>0</v>
      </c>
      <c r="D69" s="66">
        <f t="shared" si="63"/>
        <v>94925217000</v>
      </c>
      <c r="E69" s="66">
        <f t="shared" si="63"/>
        <v>99326485000</v>
      </c>
      <c r="F69" s="66">
        <f t="shared" si="63"/>
        <v>119489459000</v>
      </c>
      <c r="G69" s="66">
        <f t="shared" si="63"/>
        <v>112559211000</v>
      </c>
      <c r="H69" s="66">
        <f t="shared" si="63"/>
        <v>0</v>
      </c>
      <c r="I69" s="66">
        <f t="shared" si="63"/>
        <v>0</v>
      </c>
      <c r="J69" s="66">
        <f t="shared" si="63"/>
        <v>0</v>
      </c>
      <c r="K69" s="66">
        <f t="shared" si="63"/>
        <v>0</v>
      </c>
      <c r="L69" s="66">
        <f t="shared" si="63"/>
        <v>0</v>
      </c>
      <c r="M69" s="66">
        <f t="shared" si="63"/>
        <v>0</v>
      </c>
      <c r="N69" s="66"/>
    </row>
    <row r="70" spans="2:14">
      <c r="B70" s="58" t="s">
        <v>319</v>
      </c>
      <c r="C70" s="64"/>
      <c r="D70" s="64">
        <v>55853673000</v>
      </c>
      <c r="E70" s="64">
        <v>114608740000</v>
      </c>
      <c r="F70" s="159">
        <v>97448955000</v>
      </c>
      <c r="G70" s="64">
        <v>92183868000</v>
      </c>
      <c r="H70" s="141">
        <v>95692748000</v>
      </c>
      <c r="I70" s="141">
        <v>114219052000</v>
      </c>
      <c r="J70" s="64"/>
      <c r="K70" s="64"/>
      <c r="L70" s="64"/>
      <c r="M70" s="64"/>
      <c r="N70" s="64"/>
    </row>
    <row r="71" spans="2:14">
      <c r="B71" s="59" t="s">
        <v>393</v>
      </c>
      <c r="C71" s="66"/>
      <c r="D71" s="66"/>
      <c r="E71" s="66"/>
      <c r="F71" s="66"/>
      <c r="G71" s="66"/>
      <c r="H71" s="160">
        <v>1086745000</v>
      </c>
      <c r="I71" s="66">
        <v>882243000</v>
      </c>
      <c r="J71" s="66"/>
      <c r="K71" s="66"/>
      <c r="L71" s="66"/>
      <c r="M71" s="66"/>
      <c r="N71" s="66"/>
    </row>
    <row r="72" spans="2:14">
      <c r="B72" s="59" t="s">
        <v>394</v>
      </c>
      <c r="C72" s="66"/>
      <c r="D72" s="66"/>
      <c r="E72" s="66"/>
      <c r="F72" s="66"/>
      <c r="G72" s="66"/>
      <c r="H72" s="160">
        <v>102369000</v>
      </c>
      <c r="I72" s="66">
        <v>110911000</v>
      </c>
      <c r="J72" s="66"/>
      <c r="K72" s="66"/>
      <c r="L72" s="66"/>
      <c r="M72" s="66"/>
      <c r="N72" s="66"/>
    </row>
    <row r="73" spans="2:14">
      <c r="B73" s="59" t="s">
        <v>752</v>
      </c>
      <c r="C73" s="66"/>
      <c r="D73" s="66"/>
      <c r="E73" s="66"/>
      <c r="F73" s="66"/>
      <c r="G73" s="66"/>
      <c r="H73" s="160">
        <v>479950000</v>
      </c>
      <c r="I73" s="66">
        <v>493758000</v>
      </c>
      <c r="J73" s="66"/>
      <c r="K73" s="66"/>
      <c r="L73" s="66"/>
      <c r="M73" s="66"/>
      <c r="N73" s="66"/>
    </row>
    <row r="74" spans="2:14">
      <c r="B74" s="59" t="s">
        <v>397</v>
      </c>
      <c r="C74" s="66"/>
      <c r="D74" s="66"/>
      <c r="E74" s="66"/>
      <c r="F74" s="66"/>
      <c r="G74" s="66"/>
      <c r="H74" s="160">
        <v>1012623000</v>
      </c>
      <c r="I74" s="66">
        <v>1727099000</v>
      </c>
      <c r="J74" s="66"/>
      <c r="K74" s="66"/>
      <c r="L74" s="66"/>
      <c r="M74" s="66"/>
      <c r="N74" s="66"/>
    </row>
    <row r="75" spans="2:14">
      <c r="B75" s="59" t="s">
        <v>396</v>
      </c>
      <c r="C75" s="66"/>
      <c r="D75" s="66"/>
      <c r="E75" s="66"/>
      <c r="F75" s="66"/>
      <c r="G75" s="66"/>
      <c r="H75" s="160">
        <v>1262442000</v>
      </c>
      <c r="I75" s="66">
        <v>1272851000</v>
      </c>
      <c r="J75" s="66"/>
      <c r="K75" s="66"/>
      <c r="L75" s="66"/>
      <c r="M75" s="66"/>
      <c r="N75" s="66"/>
    </row>
    <row r="76" spans="2:14">
      <c r="B76" s="59" t="s">
        <v>398</v>
      </c>
      <c r="C76" s="66"/>
      <c r="D76" s="66">
        <v>41330639000</v>
      </c>
      <c r="E76" s="66">
        <v>100677798000</v>
      </c>
      <c r="F76" s="66"/>
      <c r="G76" s="66"/>
      <c r="H76" s="160">
        <v>86105990000</v>
      </c>
      <c r="I76" s="66">
        <v>103390075000</v>
      </c>
      <c r="J76" s="66"/>
      <c r="K76" s="66"/>
      <c r="L76" s="66"/>
      <c r="M76" s="66"/>
      <c r="N76" s="66"/>
    </row>
    <row r="77" spans="2:14">
      <c r="B77" s="59" t="s">
        <v>399</v>
      </c>
      <c r="C77" s="66"/>
      <c r="D77" s="66"/>
      <c r="E77" s="66"/>
      <c r="F77" s="66"/>
      <c r="G77" s="66"/>
      <c r="H77" s="160"/>
      <c r="I77" s="66"/>
      <c r="J77" s="66"/>
      <c r="K77" s="66"/>
      <c r="L77" s="66"/>
      <c r="M77" s="66"/>
      <c r="N77" s="66"/>
    </row>
    <row r="78" spans="2:14">
      <c r="B78" s="59" t="s">
        <v>400</v>
      </c>
      <c r="C78" s="66"/>
      <c r="D78" s="66"/>
      <c r="E78" s="66"/>
      <c r="F78" s="161"/>
      <c r="G78" s="66"/>
      <c r="H78" s="160"/>
      <c r="I78" s="66"/>
      <c r="J78" s="66"/>
      <c r="K78" s="66"/>
      <c r="L78" s="66"/>
      <c r="M78" s="66"/>
      <c r="N78" s="66"/>
    </row>
    <row r="79" spans="2:14">
      <c r="B79" s="59" t="s">
        <v>401</v>
      </c>
      <c r="C79" s="66"/>
      <c r="D79" s="66"/>
      <c r="E79" s="66"/>
      <c r="F79" s="66"/>
      <c r="G79" s="66"/>
      <c r="H79" s="160">
        <v>5642629000</v>
      </c>
      <c r="I79" s="66">
        <v>6342115000</v>
      </c>
      <c r="J79" s="66"/>
      <c r="K79" s="66"/>
      <c r="L79" s="66"/>
      <c r="M79" s="66"/>
      <c r="N79" s="66"/>
    </row>
    <row r="80" spans="2:14">
      <c r="B80" s="59" t="s">
        <v>328</v>
      </c>
      <c r="C80" s="66">
        <f t="shared" ref="C80:H80" si="64">+C70-C77-C78-C76-C71-C79-C75-C74-C73-C72</f>
        <v>0</v>
      </c>
      <c r="D80" s="66">
        <f t="shared" si="64"/>
        <v>14523034000</v>
      </c>
      <c r="E80" s="66">
        <f t="shared" si="64"/>
        <v>13930942000</v>
      </c>
      <c r="F80" s="66">
        <f t="shared" si="64"/>
        <v>97448955000</v>
      </c>
      <c r="G80" s="66">
        <f t="shared" si="64"/>
        <v>92183868000</v>
      </c>
      <c r="H80" s="66">
        <f t="shared" si="64"/>
        <v>0</v>
      </c>
      <c r="I80" s="66">
        <f t="shared" ref="I80:M80" si="65">+I70-I77-I78-I76-I71-I79-I75-I74-I73-I72</f>
        <v>0</v>
      </c>
      <c r="J80" s="66">
        <f t="shared" si="65"/>
        <v>0</v>
      </c>
      <c r="K80" s="66">
        <f t="shared" si="65"/>
        <v>0</v>
      </c>
      <c r="L80" s="66">
        <f t="shared" si="65"/>
        <v>0</v>
      </c>
      <c r="M80" s="66">
        <f t="shared" si="65"/>
        <v>0</v>
      </c>
      <c r="N80" s="66"/>
    </row>
    <row r="81" spans="2:14" ht="14.65" thickBot="1">
      <c r="B81" s="60" t="s">
        <v>329</v>
      </c>
      <c r="C81" s="70">
        <f t="shared" ref="C81:H81" si="66">+C70+C61</f>
        <v>0</v>
      </c>
      <c r="D81" s="70">
        <f t="shared" si="66"/>
        <v>251970453000</v>
      </c>
      <c r="E81" s="70">
        <f t="shared" si="66"/>
        <v>317727471000</v>
      </c>
      <c r="F81" s="70">
        <f t="shared" si="66"/>
        <v>296380384000</v>
      </c>
      <c r="G81" s="70">
        <f t="shared" si="66"/>
        <v>272857063000</v>
      </c>
      <c r="H81" s="162">
        <f t="shared" si="66"/>
        <v>287620883000</v>
      </c>
      <c r="I81" s="162">
        <f t="shared" ref="I81:M81" si="67">+I70+I61</f>
        <v>307698985000</v>
      </c>
      <c r="J81" s="162">
        <f t="shared" si="67"/>
        <v>0</v>
      </c>
      <c r="K81" s="162">
        <f t="shared" si="67"/>
        <v>0</v>
      </c>
      <c r="L81" s="162">
        <f t="shared" si="67"/>
        <v>0</v>
      </c>
      <c r="M81" s="162">
        <f t="shared" si="67"/>
        <v>0</v>
      </c>
      <c r="N81" s="70"/>
    </row>
    <row r="82" spans="2:14" ht="14.65" thickBot="1">
      <c r="B82" s="61"/>
      <c r="C82" s="72"/>
      <c r="D82" s="72"/>
      <c r="E82" s="72"/>
      <c r="F82" s="72"/>
      <c r="G82" s="72"/>
      <c r="H82" s="163"/>
      <c r="I82" s="72"/>
      <c r="J82" s="72"/>
      <c r="K82" s="72"/>
      <c r="L82" s="72"/>
      <c r="M82" s="72"/>
      <c r="N82" s="72"/>
    </row>
    <row r="83" spans="2:14">
      <c r="B83" s="57" t="s">
        <v>330</v>
      </c>
      <c r="C83" s="62"/>
      <c r="D83" s="62"/>
      <c r="E83" s="62"/>
      <c r="F83" s="62"/>
      <c r="G83" s="62"/>
      <c r="H83" s="164"/>
      <c r="I83" s="62"/>
      <c r="J83" s="62"/>
      <c r="K83" s="62"/>
      <c r="L83" s="62"/>
      <c r="M83" s="62"/>
      <c r="N83" s="62"/>
    </row>
    <row r="84" spans="2:14">
      <c r="B84" s="58" t="s">
        <v>310</v>
      </c>
      <c r="C84" s="64"/>
      <c r="D84" s="64">
        <v>29567098000</v>
      </c>
      <c r="E84" s="64">
        <v>43911715000</v>
      </c>
      <c r="F84" s="64">
        <v>37774339000</v>
      </c>
      <c r="G84" s="64">
        <v>64459788000</v>
      </c>
      <c r="H84" s="141">
        <v>59401329000</v>
      </c>
      <c r="I84" s="64">
        <v>58545233000</v>
      </c>
      <c r="J84" s="64"/>
      <c r="K84" s="64"/>
      <c r="L84" s="64"/>
      <c r="M84" s="64"/>
      <c r="N84" s="64"/>
    </row>
    <row r="85" spans="2:14">
      <c r="B85" s="59" t="s">
        <v>402</v>
      </c>
      <c r="C85" s="66"/>
      <c r="D85" s="66"/>
      <c r="E85" s="66"/>
      <c r="F85" s="66"/>
      <c r="G85" s="66"/>
      <c r="H85" s="160">
        <v>17082613000</v>
      </c>
      <c r="I85" s="66">
        <v>13989049000</v>
      </c>
      <c r="J85" s="66"/>
      <c r="K85" s="66"/>
      <c r="L85" s="66"/>
      <c r="M85" s="66"/>
      <c r="N85" s="66"/>
    </row>
    <row r="86" spans="2:14">
      <c r="B86" s="59" t="s">
        <v>403</v>
      </c>
      <c r="C86" s="66"/>
      <c r="D86" s="66"/>
      <c r="E86" s="66"/>
      <c r="F86" s="66"/>
      <c r="G86" s="66"/>
      <c r="H86" s="160"/>
      <c r="I86" s="66"/>
      <c r="J86" s="66"/>
      <c r="K86" s="66"/>
      <c r="L86" s="66"/>
      <c r="M86" s="66"/>
      <c r="N86" s="66"/>
    </row>
    <row r="87" spans="2:14">
      <c r="B87" s="59" t="s">
        <v>404</v>
      </c>
      <c r="C87" s="66"/>
      <c r="D87" s="66"/>
      <c r="E87" s="66"/>
      <c r="F87" s="66"/>
      <c r="G87" s="66"/>
      <c r="H87" s="160">
        <v>12728130000</v>
      </c>
      <c r="I87" s="66">
        <v>10638568000</v>
      </c>
      <c r="J87" s="66"/>
      <c r="K87" s="66"/>
      <c r="L87" s="66"/>
      <c r="M87" s="66"/>
      <c r="N87" s="66"/>
    </row>
    <row r="88" spans="2:14">
      <c r="B88" s="59" t="s">
        <v>405</v>
      </c>
      <c r="C88" s="66"/>
      <c r="D88" s="66"/>
      <c r="E88" s="66"/>
      <c r="F88" s="66"/>
      <c r="G88" s="66"/>
      <c r="H88" s="160">
        <v>21364716000</v>
      </c>
      <c r="I88" s="66">
        <v>21604724000</v>
      </c>
      <c r="J88" s="66"/>
      <c r="K88" s="66"/>
      <c r="L88" s="66"/>
      <c r="M88" s="66"/>
      <c r="N88" s="66"/>
    </row>
    <row r="89" spans="2:14">
      <c r="B89" s="59" t="s">
        <v>406</v>
      </c>
      <c r="C89" s="66"/>
      <c r="D89" s="66"/>
      <c r="E89" s="66"/>
      <c r="F89" s="66"/>
      <c r="G89" s="66"/>
      <c r="H89" s="160"/>
      <c r="I89" s="66"/>
      <c r="J89" s="66"/>
      <c r="K89" s="66"/>
      <c r="L89" s="66"/>
      <c r="M89" s="66"/>
      <c r="N89" s="66"/>
    </row>
    <row r="90" spans="2:14">
      <c r="B90" s="59" t="s">
        <v>407</v>
      </c>
      <c r="C90" s="66"/>
      <c r="D90" s="66"/>
      <c r="E90" s="66"/>
      <c r="F90" s="66"/>
      <c r="G90" s="66"/>
      <c r="H90" s="160"/>
      <c r="I90" s="66"/>
      <c r="J90" s="66"/>
      <c r="K90" s="66"/>
      <c r="L90" s="66"/>
      <c r="M90" s="66"/>
      <c r="N90" s="66"/>
    </row>
    <row r="91" spans="2:14">
      <c r="B91" s="59" t="s">
        <v>408</v>
      </c>
      <c r="C91" s="66"/>
      <c r="D91" s="66"/>
      <c r="E91" s="66"/>
      <c r="F91" s="66"/>
      <c r="G91" s="66"/>
      <c r="H91" s="160"/>
      <c r="I91" s="66"/>
      <c r="J91" s="66"/>
      <c r="K91" s="66"/>
      <c r="L91" s="66"/>
      <c r="M91" s="66"/>
      <c r="N91" s="66"/>
    </row>
    <row r="92" spans="2:14">
      <c r="B92" s="59" t="s">
        <v>409</v>
      </c>
      <c r="C92" s="66"/>
      <c r="D92" s="66"/>
      <c r="E92" s="66"/>
      <c r="F92" s="66"/>
      <c r="G92" s="66"/>
      <c r="H92" s="160">
        <v>7848858000</v>
      </c>
      <c r="I92" s="66">
        <v>9822999000</v>
      </c>
      <c r="J92" s="66"/>
      <c r="K92" s="66"/>
      <c r="L92" s="66"/>
      <c r="M92" s="66"/>
      <c r="N92" s="66"/>
    </row>
    <row r="93" spans="2:14">
      <c r="B93" s="59" t="s">
        <v>410</v>
      </c>
      <c r="C93" s="66">
        <f t="shared" ref="C93:M93" si="68">+C84-C85-C91-C92-C90-C89-C88-C87-C86</f>
        <v>0</v>
      </c>
      <c r="D93" s="66">
        <f t="shared" si="68"/>
        <v>29567098000</v>
      </c>
      <c r="E93" s="66">
        <f t="shared" si="68"/>
        <v>43911715000</v>
      </c>
      <c r="F93" s="66">
        <f t="shared" si="68"/>
        <v>37774339000</v>
      </c>
      <c r="G93" s="66">
        <f t="shared" si="68"/>
        <v>64459788000</v>
      </c>
      <c r="H93" s="66">
        <f t="shared" si="68"/>
        <v>377012000</v>
      </c>
      <c r="I93" s="66">
        <f t="shared" si="68"/>
        <v>2489893000</v>
      </c>
      <c r="J93" s="66">
        <f t="shared" si="68"/>
        <v>0</v>
      </c>
      <c r="K93" s="66">
        <f t="shared" si="68"/>
        <v>0</v>
      </c>
      <c r="L93" s="66">
        <f t="shared" si="68"/>
        <v>0</v>
      </c>
      <c r="M93" s="66">
        <f t="shared" si="68"/>
        <v>0</v>
      </c>
      <c r="N93" s="66"/>
    </row>
    <row r="94" spans="2:14">
      <c r="B94" s="58" t="s">
        <v>319</v>
      </c>
      <c r="C94" s="64"/>
      <c r="D94" s="64">
        <v>1630508000</v>
      </c>
      <c r="E94" s="64">
        <v>38726241000</v>
      </c>
      <c r="F94" s="64">
        <v>25714457000</v>
      </c>
      <c r="G94" s="64">
        <v>15202023000</v>
      </c>
      <c r="H94" s="141">
        <v>31496570000</v>
      </c>
      <c r="I94" s="64">
        <v>32417756000</v>
      </c>
      <c r="J94" s="64"/>
      <c r="K94" s="64"/>
      <c r="L94" s="64"/>
      <c r="M94" s="64"/>
      <c r="N94" s="64"/>
    </row>
    <row r="95" spans="2:14">
      <c r="B95" s="59" t="s">
        <v>411</v>
      </c>
      <c r="C95" s="66"/>
      <c r="D95" s="66"/>
      <c r="E95" s="66"/>
      <c r="F95" s="66"/>
      <c r="G95" s="66"/>
      <c r="H95" s="160">
        <v>31489884000</v>
      </c>
      <c r="I95" s="66">
        <v>32411347000</v>
      </c>
      <c r="J95" s="66"/>
      <c r="K95" s="66"/>
      <c r="L95" s="66"/>
      <c r="M95" s="66"/>
      <c r="N95" s="66"/>
    </row>
    <row r="96" spans="2:14">
      <c r="B96" s="59" t="s">
        <v>412</v>
      </c>
      <c r="C96" s="66"/>
      <c r="D96" s="66"/>
      <c r="E96" s="66"/>
      <c r="F96" s="66"/>
      <c r="G96" s="66"/>
      <c r="H96" s="160"/>
      <c r="I96" s="66"/>
      <c r="J96" s="66"/>
      <c r="K96" s="66"/>
      <c r="L96" s="66"/>
      <c r="M96" s="66"/>
      <c r="N96" s="66"/>
    </row>
    <row r="97" spans="2:14">
      <c r="B97" s="59" t="s">
        <v>413</v>
      </c>
      <c r="C97" s="66"/>
      <c r="D97" s="66"/>
      <c r="E97" s="66"/>
      <c r="F97" s="66"/>
      <c r="G97" s="66"/>
      <c r="H97" s="160"/>
      <c r="I97" s="66"/>
      <c r="J97" s="66"/>
      <c r="K97" s="66"/>
      <c r="L97" s="66"/>
      <c r="M97" s="66"/>
      <c r="N97" s="66"/>
    </row>
    <row r="98" spans="2:14">
      <c r="B98" s="59" t="s">
        <v>414</v>
      </c>
      <c r="C98" s="66"/>
      <c r="D98" s="66"/>
      <c r="E98" s="66"/>
      <c r="F98" s="66"/>
      <c r="G98" s="66"/>
      <c r="H98" s="160"/>
      <c r="I98" s="66"/>
      <c r="J98" s="66"/>
      <c r="K98" s="66"/>
      <c r="L98" s="66"/>
      <c r="M98" s="66"/>
      <c r="N98" s="66"/>
    </row>
    <row r="99" spans="2:14">
      <c r="B99" s="59" t="s">
        <v>341</v>
      </c>
      <c r="C99" s="66">
        <f t="shared" ref="C99:M99" si="69">+C94-C95-C97-C98-C96</f>
        <v>0</v>
      </c>
      <c r="D99" s="66">
        <f t="shared" si="69"/>
        <v>1630508000</v>
      </c>
      <c r="E99" s="66">
        <f t="shared" si="69"/>
        <v>38726241000</v>
      </c>
      <c r="F99" s="66">
        <f t="shared" si="69"/>
        <v>25714457000</v>
      </c>
      <c r="G99" s="66">
        <f t="shared" si="69"/>
        <v>15202023000</v>
      </c>
      <c r="H99" s="66">
        <f t="shared" si="69"/>
        <v>6686000</v>
      </c>
      <c r="I99" s="66">
        <f t="shared" si="69"/>
        <v>6409000</v>
      </c>
      <c r="J99" s="66">
        <f t="shared" si="69"/>
        <v>0</v>
      </c>
      <c r="K99" s="66">
        <f t="shared" si="69"/>
        <v>0</v>
      </c>
      <c r="L99" s="66">
        <f t="shared" si="69"/>
        <v>0</v>
      </c>
      <c r="M99" s="66">
        <f t="shared" si="69"/>
        <v>0</v>
      </c>
      <c r="N99" s="66"/>
    </row>
    <row r="100" spans="2:14" ht="14.65" thickBot="1">
      <c r="B100" s="60" t="s">
        <v>342</v>
      </c>
      <c r="C100" s="70">
        <f t="shared" ref="C100:I100" si="70">+C94+C84</f>
        <v>0</v>
      </c>
      <c r="D100" s="70">
        <f t="shared" si="70"/>
        <v>31197606000</v>
      </c>
      <c r="E100" s="70">
        <f t="shared" si="70"/>
        <v>82637956000</v>
      </c>
      <c r="F100" s="70">
        <f t="shared" si="70"/>
        <v>63488796000</v>
      </c>
      <c r="G100" s="70">
        <f t="shared" si="70"/>
        <v>79661811000</v>
      </c>
      <c r="H100" s="162">
        <f t="shared" si="70"/>
        <v>90897899000</v>
      </c>
      <c r="I100" s="162">
        <f t="shared" si="70"/>
        <v>90962989000</v>
      </c>
      <c r="J100" s="70"/>
      <c r="K100" s="70"/>
      <c r="L100" s="70"/>
      <c r="M100" s="70"/>
      <c r="N100" s="70"/>
    </row>
    <row r="101" spans="2:14" ht="14.65" thickBot="1">
      <c r="B101" s="61"/>
      <c r="C101" s="61"/>
      <c r="D101" s="61"/>
      <c r="E101" s="61"/>
      <c r="F101" s="61"/>
      <c r="G101" s="61"/>
      <c r="H101" s="61"/>
      <c r="I101" s="61"/>
      <c r="J101" s="61"/>
      <c r="K101" s="61"/>
      <c r="L101" s="61"/>
      <c r="M101" s="61"/>
      <c r="N101" s="61"/>
    </row>
    <row r="102" spans="2:14">
      <c r="B102" s="57" t="s">
        <v>343</v>
      </c>
      <c r="C102" s="62"/>
      <c r="D102" s="62"/>
      <c r="E102" s="62"/>
      <c r="F102" s="62"/>
      <c r="G102" s="62"/>
      <c r="H102" s="164"/>
      <c r="I102" s="62"/>
      <c r="J102" s="62"/>
      <c r="K102" s="62"/>
      <c r="L102" s="62"/>
      <c r="M102" s="62"/>
      <c r="N102" s="62"/>
    </row>
    <row r="103" spans="2:14">
      <c r="B103" s="59" t="s">
        <v>415</v>
      </c>
      <c r="C103" s="160"/>
      <c r="D103" s="160">
        <v>24242787000</v>
      </c>
      <c r="E103" s="160">
        <v>24242787000</v>
      </c>
      <c r="F103" s="160">
        <v>24242787000</v>
      </c>
      <c r="G103" s="160">
        <v>24242787000</v>
      </c>
      <c r="H103" s="160">
        <v>24242787000</v>
      </c>
      <c r="I103" s="160">
        <v>24242787000</v>
      </c>
      <c r="J103" s="160"/>
      <c r="K103" s="160"/>
      <c r="L103" s="160"/>
      <c r="M103" s="160"/>
      <c r="N103" s="160"/>
    </row>
    <row r="104" spans="2:14">
      <c r="B104" s="59" t="s">
        <v>416</v>
      </c>
      <c r="C104" s="66"/>
      <c r="D104" s="66">
        <v>179742259000</v>
      </c>
      <c r="E104" s="66">
        <v>193569192000</v>
      </c>
      <c r="F104" s="66">
        <v>196543828000</v>
      </c>
      <c r="G104" s="66">
        <v>153796111000</v>
      </c>
      <c r="H104" s="160">
        <v>156946425000</v>
      </c>
      <c r="I104" s="66">
        <v>171097656000</v>
      </c>
      <c r="J104" s="66"/>
      <c r="K104" s="66"/>
      <c r="L104" s="66"/>
      <c r="M104" s="66"/>
      <c r="N104" s="66"/>
    </row>
    <row r="105" spans="2:14">
      <c r="B105" s="59" t="s">
        <v>753</v>
      </c>
      <c r="C105" s="66"/>
      <c r="D105" s="160">
        <v>17386164000</v>
      </c>
      <c r="E105" s="160">
        <v>17386164000</v>
      </c>
      <c r="F105" s="160">
        <v>17386164000</v>
      </c>
      <c r="G105" s="160">
        <v>17386164000</v>
      </c>
      <c r="H105" s="160">
        <v>17386164000</v>
      </c>
      <c r="I105" s="66">
        <v>17386164000</v>
      </c>
      <c r="J105" s="66"/>
      <c r="K105" s="66"/>
      <c r="L105" s="66"/>
      <c r="M105" s="66"/>
      <c r="N105" s="66"/>
    </row>
    <row r="106" spans="2:14">
      <c r="B106" s="59" t="s">
        <v>345</v>
      </c>
      <c r="C106" s="66"/>
      <c r="D106" s="66">
        <v>-1465344000</v>
      </c>
      <c r="E106" s="66">
        <v>-1039351000</v>
      </c>
      <c r="F106" s="66">
        <v>-5952504000</v>
      </c>
      <c r="G106" s="66">
        <v>-2951896000</v>
      </c>
      <c r="H106" s="160">
        <v>-1853180000</v>
      </c>
      <c r="I106" s="66">
        <v>3571099000</v>
      </c>
      <c r="J106" s="66"/>
      <c r="K106" s="66"/>
      <c r="L106" s="66"/>
      <c r="M106" s="66"/>
      <c r="N106" s="66"/>
    </row>
    <row r="107" spans="2:14">
      <c r="B107" s="59" t="s">
        <v>419</v>
      </c>
      <c r="C107" s="66"/>
      <c r="D107" s="66">
        <v>866981000</v>
      </c>
      <c r="E107" s="66">
        <v>930723000</v>
      </c>
      <c r="F107" s="66">
        <v>671313000</v>
      </c>
      <c r="G107" s="66">
        <v>722086000</v>
      </c>
      <c r="H107" s="160">
        <v>788000</v>
      </c>
      <c r="I107" s="160">
        <v>438290000</v>
      </c>
      <c r="J107" s="66"/>
      <c r="K107" s="66"/>
      <c r="L107" s="66"/>
      <c r="M107" s="66"/>
      <c r="N107" s="66"/>
    </row>
    <row r="108" spans="2:14" ht="14.65" thickBot="1">
      <c r="B108" s="60" t="s">
        <v>420</v>
      </c>
      <c r="C108" s="70">
        <f t="shared" ref="C108:H108" si="71">+C103+C106+C104+C105</f>
        <v>0</v>
      </c>
      <c r="D108" s="70">
        <f t="shared" si="71"/>
        <v>219905866000</v>
      </c>
      <c r="E108" s="70">
        <f t="shared" si="71"/>
        <v>234158792000</v>
      </c>
      <c r="F108" s="70">
        <f t="shared" si="71"/>
        <v>232220275000</v>
      </c>
      <c r="G108" s="70">
        <f t="shared" si="71"/>
        <v>192473166000</v>
      </c>
      <c r="H108" s="70">
        <f t="shared" si="71"/>
        <v>196722196000</v>
      </c>
      <c r="I108" s="70">
        <f t="shared" ref="I108:M108" si="72">+I103+I106+I104+I105</f>
        <v>216297706000</v>
      </c>
      <c r="J108" s="70">
        <f t="shared" si="72"/>
        <v>0</v>
      </c>
      <c r="K108" s="70">
        <f t="shared" si="72"/>
        <v>0</v>
      </c>
      <c r="L108" s="70">
        <f t="shared" si="72"/>
        <v>0</v>
      </c>
      <c r="M108" s="70">
        <f t="shared" si="72"/>
        <v>0</v>
      </c>
      <c r="N108" s="70"/>
    </row>
    <row r="109" spans="2:14" ht="14.65" thickBot="1">
      <c r="B109" s="60" t="s">
        <v>347</v>
      </c>
      <c r="C109" s="70">
        <f>+C108+C107</f>
        <v>0</v>
      </c>
      <c r="D109" s="70">
        <f t="shared" ref="D109:I109" si="73">+D108+D107</f>
        <v>220772847000</v>
      </c>
      <c r="E109" s="70">
        <f t="shared" si="73"/>
        <v>235089515000</v>
      </c>
      <c r="F109" s="70">
        <f t="shared" si="73"/>
        <v>232891588000</v>
      </c>
      <c r="G109" s="70">
        <f t="shared" si="73"/>
        <v>193195252000</v>
      </c>
      <c r="H109" s="70">
        <f t="shared" si="73"/>
        <v>196722984000</v>
      </c>
      <c r="I109" s="70">
        <f t="shared" si="73"/>
        <v>216735996000</v>
      </c>
      <c r="J109" s="70">
        <f t="shared" ref="J109:N109" si="74">+J108+J107</f>
        <v>0</v>
      </c>
      <c r="K109" s="70">
        <f t="shared" si="74"/>
        <v>0</v>
      </c>
      <c r="L109" s="70">
        <f t="shared" si="74"/>
        <v>0</v>
      </c>
      <c r="M109" s="70">
        <f t="shared" si="74"/>
        <v>0</v>
      </c>
      <c r="N109" s="70">
        <f t="shared" si="74"/>
        <v>0</v>
      </c>
    </row>
    <row r="111" spans="2:14" ht="14.65" thickBot="1">
      <c r="B111" s="75" t="s">
        <v>348</v>
      </c>
    </row>
    <row r="112" spans="2:14" ht="14.65" thickBot="1">
      <c r="B112" s="82" t="s">
        <v>308</v>
      </c>
      <c r="C112" s="88">
        <v>2017</v>
      </c>
      <c r="D112" s="88">
        <v>2018</v>
      </c>
      <c r="E112" s="88">
        <v>2019</v>
      </c>
      <c r="F112" s="88">
        <v>2020</v>
      </c>
      <c r="G112" s="88">
        <v>2021</v>
      </c>
      <c r="H112" s="88">
        <v>2022</v>
      </c>
      <c r="I112" s="88">
        <v>2023</v>
      </c>
      <c r="J112" s="88">
        <v>2024</v>
      </c>
      <c r="K112" s="88">
        <v>2025</v>
      </c>
      <c r="L112" s="88">
        <v>2026</v>
      </c>
      <c r="M112" s="88">
        <v>2027</v>
      </c>
      <c r="N112" s="88">
        <v>2028</v>
      </c>
    </row>
    <row r="113" spans="2:14">
      <c r="B113" s="83" t="s">
        <v>349</v>
      </c>
      <c r="C113" s="90"/>
      <c r="D113" s="90">
        <v>247711908000</v>
      </c>
      <c r="E113" s="90">
        <v>237560015000</v>
      </c>
      <c r="F113" s="90">
        <v>184449186000</v>
      </c>
      <c r="G113" s="90">
        <v>294690496000</v>
      </c>
      <c r="H113" s="90">
        <v>315055264000</v>
      </c>
      <c r="I113" s="90">
        <v>326554888000</v>
      </c>
      <c r="J113" s="90"/>
      <c r="K113" s="90"/>
      <c r="L113" s="90"/>
      <c r="M113" s="90"/>
      <c r="N113" s="90"/>
    </row>
    <row r="114" spans="2:14">
      <c r="B114" s="85" t="s">
        <v>534</v>
      </c>
      <c r="C114" s="66"/>
      <c r="D114" s="66">
        <v>-111862334000</v>
      </c>
      <c r="E114" s="66">
        <v>-112311911000</v>
      </c>
      <c r="F114" s="66">
        <v>-92216598000</v>
      </c>
      <c r="G114" s="66">
        <v>-131606883000</v>
      </c>
      <c r="H114" s="66">
        <v>-143643087000</v>
      </c>
      <c r="I114" s="66">
        <v>-148856031000</v>
      </c>
      <c r="J114" s="66"/>
      <c r="K114" s="66"/>
      <c r="L114" s="66"/>
      <c r="M114" s="66"/>
      <c r="N114" s="66"/>
    </row>
    <row r="115" spans="2:14">
      <c r="B115" s="86" t="s">
        <v>422</v>
      </c>
      <c r="C115" s="64">
        <f t="shared" ref="C115:F115" si="75">+C113+C114</f>
        <v>0</v>
      </c>
      <c r="D115" s="64">
        <f>+D113+D114</f>
        <v>135849574000</v>
      </c>
      <c r="E115" s="64">
        <f t="shared" si="75"/>
        <v>125248104000</v>
      </c>
      <c r="F115" s="64">
        <f t="shared" si="75"/>
        <v>92232588000</v>
      </c>
      <c r="G115" s="64">
        <f>+G113+G114</f>
        <v>163083613000</v>
      </c>
      <c r="H115" s="64">
        <f t="shared" ref="H115:I115" si="76">+H113+H114</f>
        <v>171412177000</v>
      </c>
      <c r="I115" s="64">
        <f t="shared" si="76"/>
        <v>177698857000</v>
      </c>
      <c r="J115" s="64"/>
      <c r="K115" s="64"/>
      <c r="L115" s="64"/>
      <c r="M115" s="64"/>
      <c r="N115" s="64"/>
    </row>
    <row r="116" spans="2:14">
      <c r="B116" s="85" t="s">
        <v>592</v>
      </c>
      <c r="C116" s="117"/>
      <c r="D116" s="117">
        <v>411947000</v>
      </c>
      <c r="E116" s="117">
        <v>15287159000</v>
      </c>
      <c r="F116" s="117">
        <v>799192000</v>
      </c>
      <c r="G116" s="117">
        <v>952663000</v>
      </c>
      <c r="H116" s="117">
        <v>1713045000</v>
      </c>
      <c r="I116" s="117">
        <v>1061520000</v>
      </c>
      <c r="J116" s="117"/>
      <c r="K116" s="117"/>
      <c r="L116" s="117"/>
      <c r="M116" s="117"/>
      <c r="N116" s="117"/>
    </row>
    <row r="117" spans="2:14">
      <c r="B117" s="85" t="s">
        <v>536</v>
      </c>
      <c r="C117" s="117"/>
      <c r="D117" s="117">
        <v>-2859732000</v>
      </c>
      <c r="E117" s="117">
        <v>-2883104000</v>
      </c>
      <c r="F117" s="117">
        <v>-2477999000</v>
      </c>
      <c r="G117" s="117">
        <v>-2818622000</v>
      </c>
      <c r="H117" s="117">
        <v>-3602452000</v>
      </c>
      <c r="I117" s="117">
        <v>-3498600000</v>
      </c>
      <c r="J117" s="117"/>
      <c r="K117" s="117"/>
      <c r="L117" s="117"/>
      <c r="M117" s="117"/>
      <c r="N117" s="117"/>
    </row>
    <row r="118" spans="2:14">
      <c r="B118" s="85" t="s">
        <v>537</v>
      </c>
      <c r="C118" s="117"/>
      <c r="D118" s="117">
        <v>-101745240000</v>
      </c>
      <c r="E118" s="117">
        <v>-103767169000</v>
      </c>
      <c r="F118" s="117">
        <v>-83435789000</v>
      </c>
      <c r="G118" s="117">
        <v>-107893817000</v>
      </c>
      <c r="H118" s="117">
        <v>-135799063000</v>
      </c>
      <c r="I118" s="117">
        <v>-141669544000</v>
      </c>
      <c r="J118" s="117"/>
      <c r="K118" s="117"/>
      <c r="L118" s="117"/>
      <c r="M118" s="117"/>
      <c r="N118" s="117"/>
    </row>
    <row r="119" spans="2:14">
      <c r="B119" s="85" t="s">
        <v>510</v>
      </c>
      <c r="C119" s="117"/>
      <c r="D119" s="117">
        <v>-83909000</v>
      </c>
      <c r="E119" s="117">
        <v>-4447118000</v>
      </c>
      <c r="F119" s="117">
        <v>-212808000</v>
      </c>
      <c r="G119" s="117">
        <v>-281360000</v>
      </c>
      <c r="H119" s="117">
        <v>-575420000</v>
      </c>
      <c r="I119" s="117">
        <v>-182106000</v>
      </c>
      <c r="J119" s="117"/>
      <c r="K119" s="117"/>
      <c r="L119" s="117"/>
      <c r="M119" s="117"/>
      <c r="N119" s="117"/>
    </row>
    <row r="120" spans="2:14">
      <c r="B120" s="85" t="s">
        <v>427</v>
      </c>
      <c r="C120" s="117"/>
      <c r="D120" s="117">
        <v>578097000</v>
      </c>
      <c r="E120" s="117">
        <v>303955000</v>
      </c>
      <c r="F120" s="117">
        <v>-635463000</v>
      </c>
      <c r="G120" s="117">
        <v>-3043982000</v>
      </c>
      <c r="H120" s="117">
        <v>4503280000</v>
      </c>
      <c r="I120" s="117">
        <v>1401288000</v>
      </c>
      <c r="J120" s="117"/>
      <c r="K120" s="117"/>
      <c r="L120" s="117"/>
      <c r="M120" s="117"/>
      <c r="N120" s="117"/>
    </row>
    <row r="121" spans="2:14">
      <c r="B121" s="86" t="s">
        <v>428</v>
      </c>
      <c r="C121" s="64">
        <f t="shared" ref="C121:F121" si="77">+C115+C120+C116+C117+C118+C119</f>
        <v>0</v>
      </c>
      <c r="D121" s="64">
        <f t="shared" si="77"/>
        <v>32150737000</v>
      </c>
      <c r="E121" s="64">
        <f t="shared" si="77"/>
        <v>29741827000</v>
      </c>
      <c r="F121" s="64">
        <f t="shared" si="77"/>
        <v>6269721000</v>
      </c>
      <c r="G121" s="64">
        <f>+G115+G120+G116+G117+G118+G119</f>
        <v>49998495000</v>
      </c>
      <c r="H121" s="64">
        <f t="shared" ref="H121:N121" si="78">+H115+H120+H116+H117+H118+H119</f>
        <v>37651567000</v>
      </c>
      <c r="I121" s="64">
        <f t="shared" si="78"/>
        <v>34811415000</v>
      </c>
      <c r="J121" s="64">
        <f t="shared" si="78"/>
        <v>0</v>
      </c>
      <c r="K121" s="64">
        <f t="shared" si="78"/>
        <v>0</v>
      </c>
      <c r="L121" s="64">
        <f t="shared" si="78"/>
        <v>0</v>
      </c>
      <c r="M121" s="64">
        <f t="shared" si="78"/>
        <v>0</v>
      </c>
      <c r="N121" s="64">
        <f t="shared" si="78"/>
        <v>0</v>
      </c>
    </row>
    <row r="122" spans="2:14">
      <c r="B122" s="85" t="s">
        <v>429</v>
      </c>
      <c r="C122" s="66"/>
      <c r="D122" s="66">
        <v>1207960000</v>
      </c>
      <c r="E122" s="66">
        <v>3608113000</v>
      </c>
      <c r="F122" s="66">
        <v>-58569000</v>
      </c>
      <c r="G122" s="131">
        <v>1591730000</v>
      </c>
      <c r="H122" s="131">
        <v>-347070000</v>
      </c>
      <c r="I122" s="131">
        <v>4327510000</v>
      </c>
      <c r="J122" s="131"/>
      <c r="K122" s="131"/>
      <c r="L122" s="131"/>
      <c r="M122" s="131"/>
      <c r="N122" s="131"/>
    </row>
    <row r="123" spans="2:14">
      <c r="B123" s="85" t="s">
        <v>430</v>
      </c>
      <c r="C123" s="66"/>
      <c r="D123" s="66">
        <v>-403611000</v>
      </c>
      <c r="E123" s="66">
        <v>-2713804000</v>
      </c>
      <c r="F123" s="66">
        <v>-2107823000</v>
      </c>
      <c r="G123" s="131">
        <v>-1589534000</v>
      </c>
      <c r="H123" s="131">
        <v>-2388418000</v>
      </c>
      <c r="I123" s="131">
        <v>-3996537000</v>
      </c>
      <c r="J123" s="131"/>
      <c r="K123" s="131"/>
      <c r="L123" s="131"/>
      <c r="M123" s="131"/>
      <c r="N123" s="131"/>
    </row>
    <row r="124" spans="2:14">
      <c r="B124" s="85" t="s">
        <v>431</v>
      </c>
      <c r="C124" s="66"/>
      <c r="D124" s="66">
        <v>-257584000</v>
      </c>
      <c r="E124" s="66">
        <v>7856000</v>
      </c>
      <c r="F124" s="66">
        <v>-47238000</v>
      </c>
      <c r="G124" s="131">
        <v>160461000</v>
      </c>
      <c r="H124" s="131"/>
      <c r="I124" s="131"/>
      <c r="J124" s="131"/>
      <c r="K124" s="131"/>
      <c r="L124" s="131"/>
      <c r="M124" s="131"/>
      <c r="N124" s="131"/>
    </row>
    <row r="125" spans="2:14">
      <c r="B125" s="85" t="s">
        <v>432</v>
      </c>
      <c r="C125" s="66"/>
      <c r="D125" s="66">
        <v>1729477000</v>
      </c>
      <c r="E125" s="66">
        <v>384606000</v>
      </c>
      <c r="F125" s="66">
        <v>-1035915000</v>
      </c>
      <c r="G125" s="131">
        <v>2902328000</v>
      </c>
      <c r="H125" s="131">
        <v>-763095000</v>
      </c>
      <c r="I125" s="131">
        <v>172403000</v>
      </c>
      <c r="J125" s="131"/>
      <c r="K125" s="131"/>
      <c r="L125" s="131"/>
      <c r="M125" s="131"/>
      <c r="N125" s="131"/>
    </row>
    <row r="126" spans="2:14">
      <c r="B126" s="85" t="s">
        <v>433</v>
      </c>
      <c r="C126" s="66"/>
      <c r="D126" s="66">
        <v>42186000</v>
      </c>
      <c r="E126" s="66">
        <v>41783000</v>
      </c>
      <c r="F126" s="66">
        <v>669577000</v>
      </c>
      <c r="G126" s="131">
        <v>422200000</v>
      </c>
      <c r="H126" s="131">
        <v>1820696000</v>
      </c>
      <c r="I126" s="131">
        <v>1262420000</v>
      </c>
      <c r="J126" s="131"/>
      <c r="K126" s="131"/>
      <c r="L126" s="131"/>
      <c r="M126" s="131"/>
      <c r="N126" s="131"/>
    </row>
    <row r="127" spans="2:14">
      <c r="B127" s="86" t="s">
        <v>362</v>
      </c>
      <c r="C127" s="64">
        <f t="shared" ref="C127:E127" si="79">+C121+C122+C123+C124+C125+C126</f>
        <v>0</v>
      </c>
      <c r="D127" s="64">
        <f t="shared" si="79"/>
        <v>34469165000</v>
      </c>
      <c r="E127" s="64">
        <f t="shared" si="79"/>
        <v>31070381000</v>
      </c>
      <c r="F127" s="64">
        <f>+F121+F122+F123+F124+F125+F126</f>
        <v>3689753000</v>
      </c>
      <c r="G127" s="64">
        <f t="shared" ref="G127:I127" si="80">+G121+G122+G123+G124+G125+G126</f>
        <v>53485680000</v>
      </c>
      <c r="H127" s="64">
        <f t="shared" si="80"/>
        <v>35973680000</v>
      </c>
      <c r="I127" s="64">
        <f t="shared" si="80"/>
        <v>36577211000</v>
      </c>
      <c r="J127" s="64"/>
      <c r="K127" s="64"/>
      <c r="L127" s="64"/>
      <c r="M127" s="64"/>
      <c r="N127" s="64"/>
    </row>
    <row r="128" spans="2:14">
      <c r="B128" s="85" t="s">
        <v>363</v>
      </c>
      <c r="C128" s="66"/>
      <c r="D128" s="66">
        <v>-8918974000</v>
      </c>
      <c r="E128" s="66">
        <v>-7666853000</v>
      </c>
      <c r="F128" s="66">
        <v>848541000</v>
      </c>
      <c r="G128" s="91">
        <v>-14100315000</v>
      </c>
      <c r="H128" s="91">
        <v>-4430748000</v>
      </c>
      <c r="I128" s="91">
        <v>-7734673000</v>
      </c>
      <c r="J128" s="91"/>
      <c r="K128" s="91"/>
      <c r="L128" s="91"/>
      <c r="M128" s="91"/>
      <c r="N128" s="91"/>
    </row>
    <row r="129" spans="2:14">
      <c r="B129" s="84" t="s">
        <v>365</v>
      </c>
      <c r="C129" s="130">
        <f t="shared" ref="C129:G129" si="81">+C127+C128</f>
        <v>0</v>
      </c>
      <c r="D129" s="130">
        <f t="shared" si="81"/>
        <v>25550191000</v>
      </c>
      <c r="E129" s="130">
        <f t="shared" si="81"/>
        <v>23403528000</v>
      </c>
      <c r="F129" s="130">
        <f t="shared" si="81"/>
        <v>4538294000</v>
      </c>
      <c r="G129" s="130">
        <f t="shared" si="81"/>
        <v>39385365000</v>
      </c>
      <c r="H129" s="130">
        <f>+H127+H128</f>
        <v>31542932000</v>
      </c>
      <c r="I129" s="130">
        <f>+I127+I128</f>
        <v>28842538000</v>
      </c>
      <c r="J129" s="130"/>
      <c r="K129" s="130"/>
      <c r="L129" s="130"/>
      <c r="M129" s="130"/>
      <c r="N129" s="130"/>
    </row>
    <row r="130" spans="2:14" ht="28.5">
      <c r="B130" s="87" t="s">
        <v>435</v>
      </c>
      <c r="C130" s="66"/>
      <c r="D130" s="66">
        <v>-37784000</v>
      </c>
      <c r="E130" s="66">
        <v>15027000</v>
      </c>
      <c r="F130" s="66">
        <v>-181325000</v>
      </c>
      <c r="G130" s="91">
        <v>35749000</v>
      </c>
      <c r="H130" s="91">
        <v>191000</v>
      </c>
      <c r="I130" s="91">
        <v>-17565000</v>
      </c>
      <c r="J130" s="91"/>
      <c r="K130" s="91"/>
      <c r="L130" s="91"/>
      <c r="M130" s="91"/>
      <c r="N130" s="91"/>
    </row>
    <row r="131" spans="2:14">
      <c r="B131" s="84" t="s">
        <v>436</v>
      </c>
      <c r="C131" s="66">
        <f>+C129-C130</f>
        <v>0</v>
      </c>
      <c r="D131" s="66">
        <f t="shared" ref="D131:I131" si="82">+D129-D130</f>
        <v>25587975000</v>
      </c>
      <c r="E131" s="66">
        <f t="shared" si="82"/>
        <v>23388501000</v>
      </c>
      <c r="F131" s="66">
        <f t="shared" si="82"/>
        <v>4719619000</v>
      </c>
      <c r="G131" s="66">
        <f t="shared" si="82"/>
        <v>39349616000</v>
      </c>
      <c r="H131" s="66">
        <f t="shared" si="82"/>
        <v>31542741000</v>
      </c>
      <c r="I131" s="66">
        <f t="shared" si="82"/>
        <v>28860103000</v>
      </c>
      <c r="J131" s="66">
        <f t="shared" ref="J131:N131" si="83">+J129-J130</f>
        <v>0</v>
      </c>
      <c r="K131" s="66">
        <f t="shared" si="83"/>
        <v>0</v>
      </c>
      <c r="L131" s="66">
        <f t="shared" si="83"/>
        <v>0</v>
      </c>
      <c r="M131" s="66">
        <f t="shared" si="83"/>
        <v>0</v>
      </c>
      <c r="N131" s="66">
        <f t="shared" si="83"/>
        <v>0</v>
      </c>
    </row>
    <row r="132" spans="2:14">
      <c r="B132" s="84" t="s">
        <v>366</v>
      </c>
      <c r="C132" s="111"/>
      <c r="D132" s="111">
        <v>98.852099999999993</v>
      </c>
      <c r="E132" s="111">
        <v>90.546800000000005</v>
      </c>
      <c r="F132" s="134">
        <v>17.558399999999999</v>
      </c>
      <c r="G132" s="134">
        <v>152.37950000000001</v>
      </c>
      <c r="H132" s="134">
        <v>122.0376</v>
      </c>
      <c r="I132" s="134">
        <v>111.5899</v>
      </c>
      <c r="J132" s="134"/>
      <c r="K132" s="134"/>
      <c r="L132" s="134"/>
      <c r="M132" s="134"/>
      <c r="N132" s="134"/>
    </row>
    <row r="134" spans="2:14" ht="14.65" thickBot="1">
      <c r="B134" s="75" t="s">
        <v>367</v>
      </c>
    </row>
    <row r="135" spans="2:14" ht="14.65" thickBot="1">
      <c r="B135" s="82" t="s">
        <v>308</v>
      </c>
      <c r="C135" s="88">
        <v>2017</v>
      </c>
      <c r="D135" s="88">
        <v>2018</v>
      </c>
      <c r="E135" s="88">
        <v>2019</v>
      </c>
      <c r="F135" s="88">
        <v>2020</v>
      </c>
      <c r="G135" s="88">
        <v>2021</v>
      </c>
      <c r="H135" s="88">
        <v>2022</v>
      </c>
      <c r="I135" s="88">
        <v>2023</v>
      </c>
      <c r="J135" s="88">
        <v>2024</v>
      </c>
      <c r="K135" s="88">
        <v>2025</v>
      </c>
      <c r="L135" s="88">
        <v>2026</v>
      </c>
      <c r="M135" s="88">
        <v>2027</v>
      </c>
      <c r="N135" s="88">
        <v>2028</v>
      </c>
    </row>
    <row r="136" spans="2:14">
      <c r="B136" s="83" t="s">
        <v>368</v>
      </c>
      <c r="C136" s="90"/>
      <c r="D136" s="90">
        <v>52460957000</v>
      </c>
      <c r="E136" s="90">
        <v>29955036000</v>
      </c>
      <c r="F136" s="90">
        <v>44825693000</v>
      </c>
      <c r="G136" s="90">
        <v>98640231000</v>
      </c>
      <c r="H136" s="90">
        <v>-3378306000</v>
      </c>
      <c r="I136" s="90">
        <v>67815709000</v>
      </c>
      <c r="J136" s="90"/>
      <c r="K136" s="90"/>
      <c r="L136" s="90"/>
      <c r="M136" s="90"/>
      <c r="N136" s="90"/>
    </row>
    <row r="137" spans="2:14">
      <c r="B137" s="86" t="s">
        <v>369</v>
      </c>
      <c r="C137" s="91"/>
      <c r="D137" s="93">
        <v>-35441017000</v>
      </c>
      <c r="E137" s="91">
        <v>3673736000</v>
      </c>
      <c r="F137" s="66">
        <v>-23391646000</v>
      </c>
      <c r="G137" s="198">
        <v>6211948000</v>
      </c>
      <c r="H137" s="66">
        <v>48137658000</v>
      </c>
      <c r="I137" s="66">
        <v>-12832319000</v>
      </c>
      <c r="J137" s="66"/>
      <c r="K137" s="66"/>
      <c r="L137" s="66"/>
      <c r="M137" s="66"/>
      <c r="N137" s="66"/>
    </row>
    <row r="138" spans="2:14">
      <c r="B138" s="85" t="s">
        <v>370</v>
      </c>
      <c r="C138" s="93"/>
      <c r="D138" s="93">
        <v>-17181067000</v>
      </c>
      <c r="E138" s="93">
        <v>-16494581000</v>
      </c>
      <c r="F138" s="93">
        <v>-3548476000</v>
      </c>
      <c r="G138" s="93">
        <v>-7171001000</v>
      </c>
      <c r="H138" s="93">
        <v>-7272614000</v>
      </c>
      <c r="I138" s="93">
        <v>-10815764000</v>
      </c>
      <c r="J138" s="93"/>
      <c r="K138" s="93"/>
      <c r="L138" s="93"/>
      <c r="M138" s="93"/>
      <c r="N138" s="93"/>
    </row>
    <row r="139" spans="2:14">
      <c r="B139" s="86" t="s">
        <v>372</v>
      </c>
      <c r="C139" s="120"/>
      <c r="D139" s="120">
        <v>-16325994000</v>
      </c>
      <c r="E139" s="64">
        <v>-28554390000</v>
      </c>
      <c r="F139" s="120">
        <v>-17129821000</v>
      </c>
      <c r="G139" s="120">
        <v>-99627404000</v>
      </c>
      <c r="H139" s="120">
        <v>-41011842000</v>
      </c>
      <c r="I139" s="120">
        <v>-58357274000</v>
      </c>
      <c r="J139" s="120"/>
      <c r="K139" s="120"/>
      <c r="L139" s="120"/>
      <c r="M139" s="120"/>
      <c r="N139" s="120"/>
    </row>
    <row r="140" spans="2:14">
      <c r="B140" s="85" t="s">
        <v>373</v>
      </c>
      <c r="C140" s="93"/>
      <c r="D140" s="93">
        <v>-10678611000</v>
      </c>
      <c r="E140" s="66">
        <v>-10220076000</v>
      </c>
      <c r="F140" s="93">
        <v>-3618566000</v>
      </c>
      <c r="G140" s="93">
        <v>-75542091000</v>
      </c>
      <c r="H140" s="93">
        <v>-26868313000</v>
      </c>
      <c r="I140" s="93">
        <v>-16623442000</v>
      </c>
      <c r="J140" s="93"/>
      <c r="K140" s="93"/>
      <c r="L140" s="93"/>
      <c r="M140" s="93"/>
      <c r="N140" s="93"/>
    </row>
    <row r="141" spans="2:14">
      <c r="B141" s="85" t="s">
        <v>437</v>
      </c>
      <c r="C141" s="93"/>
      <c r="D141" s="93">
        <v>-65361000</v>
      </c>
      <c r="E141" s="66">
        <v>-40574000</v>
      </c>
      <c r="F141" s="93">
        <v>-50449000</v>
      </c>
      <c r="G141" s="93">
        <v>-1361000</v>
      </c>
      <c r="H141" s="93">
        <v>-30410000</v>
      </c>
      <c r="I141" s="93">
        <v>-1241252000</v>
      </c>
      <c r="J141" s="93"/>
      <c r="K141" s="93"/>
      <c r="L141" s="93"/>
      <c r="M141" s="93"/>
      <c r="N141" s="93"/>
    </row>
    <row r="142" spans="2:14">
      <c r="B142" s="86" t="s">
        <v>375</v>
      </c>
      <c r="C142" s="64"/>
      <c r="D142" s="64">
        <v>893836000</v>
      </c>
      <c r="E142" s="64">
        <v>5498894000</v>
      </c>
      <c r="F142" s="64">
        <v>3996596000</v>
      </c>
      <c r="G142" s="64">
        <v>6770891000</v>
      </c>
      <c r="H142" s="64">
        <v>5325581000</v>
      </c>
      <c r="I142" s="64">
        <v>-124647000</v>
      </c>
      <c r="J142" s="64"/>
      <c r="K142" s="64"/>
      <c r="L142" s="64"/>
      <c r="M142" s="64"/>
      <c r="N142" s="64"/>
    </row>
    <row r="143" spans="2:14">
      <c r="B143" s="85"/>
      <c r="C143" s="66"/>
      <c r="D143" s="66"/>
      <c r="E143" s="66"/>
      <c r="F143" s="66"/>
      <c r="G143" s="66"/>
      <c r="H143" s="66"/>
      <c r="I143" s="66"/>
      <c r="J143" s="66"/>
      <c r="K143" s="66"/>
      <c r="L143" s="66"/>
      <c r="M143" s="66"/>
      <c r="N143" s="66"/>
    </row>
    <row r="144" spans="2:14">
      <c r="B144" s="84" t="s">
        <v>376</v>
      </c>
      <c r="C144" s="131">
        <f t="shared" ref="C144:G144" si="84">+C136+C138+C141</f>
        <v>0</v>
      </c>
      <c r="D144" s="131">
        <f t="shared" si="84"/>
        <v>35214529000</v>
      </c>
      <c r="E144" s="131">
        <f t="shared" si="84"/>
        <v>13419881000</v>
      </c>
      <c r="F144" s="131">
        <f t="shared" si="84"/>
        <v>41226768000</v>
      </c>
      <c r="G144" s="131">
        <f t="shared" si="84"/>
        <v>91467869000</v>
      </c>
      <c r="H144" s="131">
        <f>+H136+H138+H141</f>
        <v>-10681330000</v>
      </c>
      <c r="I144" s="131">
        <f>+I136+I138+I141</f>
        <v>55758693000</v>
      </c>
      <c r="J144" s="131"/>
      <c r="K144" s="131"/>
      <c r="L144" s="131"/>
      <c r="M144" s="131"/>
      <c r="N144" s="131"/>
    </row>
  </sheetData>
  <conditionalFormatting sqref="C60:H66 D67:H67 C68:H100">
    <cfRule type="cellIs" dxfId="135" priority="21" operator="lessThan">
      <formula>0</formula>
    </cfRule>
  </conditionalFormatting>
  <conditionalFormatting sqref="C113:N132">
    <cfRule type="cellIs" dxfId="134" priority="2" operator="lessThan">
      <formula>0</formula>
    </cfRule>
  </conditionalFormatting>
  <conditionalFormatting sqref="C136:N144">
    <cfRule type="cellIs" dxfId="133" priority="1" operator="lessThan">
      <formula>0</formula>
    </cfRule>
  </conditionalFormatting>
  <conditionalFormatting sqref="I60:N100 C102:N109">
    <cfRule type="cellIs" dxfId="132" priority="3" operator="lessThan">
      <formula>0</formula>
    </cfRule>
  </conditionalFormatting>
  <pageMargins left="0.7" right="0.7" top="0.75" bottom="0.75" header="0.3" footer="0.3"/>
  <pageSetup paperSize="9" orientation="portrait" r:id="rId1"/>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490DB-3426-4ACD-A66C-3C679CDC7BCD}">
  <dimension ref="B2:P143"/>
  <sheetViews>
    <sheetView zoomScale="70" zoomScaleNormal="70" workbookViewId="0">
      <pane xSplit="2" ySplit="6" topLeftCell="C50" activePane="bottomRight" state="frozen"/>
      <selection pane="bottomRight" activeCell="B50" sqref="B50"/>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6" width="33.28515625" customWidth="1"/>
    <col min="7" max="7" width="36.28515625" customWidth="1"/>
    <col min="8" max="8" width="35.7109375" customWidth="1"/>
    <col min="9" max="9" width="33.5703125" bestFit="1" customWidth="1"/>
    <col min="10" max="14" width="25.42578125" bestFit="1" customWidth="1"/>
  </cols>
  <sheetData>
    <row r="2" spans="2:14" ht="21">
      <c r="B2" s="313">
        <f ca="1">TODAY()-1</f>
        <v>46105</v>
      </c>
      <c r="C2" s="314"/>
      <c r="D2" s="344" t="s">
        <v>518</v>
      </c>
      <c r="E2" s="345" t="s">
        <v>266</v>
      </c>
    </row>
    <row r="3" spans="2:14" ht="25.5">
      <c r="B3" s="376" cm="1">
        <f t="array" aca="1" ref="B3" ca="1">_FV(B6,"Precio")</f>
        <v>360</v>
      </c>
      <c r="C3" s="316"/>
      <c r="D3" s="346">
        <f>AVERAGE(G45:I45)</f>
        <v>17.957999999999998</v>
      </c>
      <c r="E3" s="346">
        <f>AVERAGE(G44:I44)</f>
        <v>17.957999999999998</v>
      </c>
    </row>
    <row r="4" spans="2:14" ht="28.5">
      <c r="B4" s="319"/>
      <c r="C4" s="320"/>
      <c r="D4" s="328"/>
      <c r="E4" s="328"/>
    </row>
    <row r="6" spans="2:14" ht="33.4">
      <c r="B6" s="3" t="e" vm="35">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42689768000</v>
      </c>
      <c r="D7" s="5">
        <f t="shared" ref="D7:I7" si="0">+D61</f>
        <v>37137625000</v>
      </c>
      <c r="E7" s="5">
        <f t="shared" si="0"/>
        <v>26640902000</v>
      </c>
      <c r="F7" s="5">
        <f t="shared" si="0"/>
        <v>22742771000</v>
      </c>
      <c r="G7" s="5">
        <f t="shared" si="0"/>
        <v>22183786000</v>
      </c>
      <c r="H7" s="5">
        <f t="shared" si="0"/>
        <v>28739684000</v>
      </c>
      <c r="I7" s="5">
        <f t="shared" si="0"/>
        <v>28261202000</v>
      </c>
      <c r="J7" s="5">
        <f t="shared" ref="J7:N7" si="1">+J61</f>
        <v>0</v>
      </c>
      <c r="K7" s="5">
        <f t="shared" si="1"/>
        <v>0</v>
      </c>
      <c r="L7" s="5">
        <f t="shared" si="1"/>
        <v>0</v>
      </c>
      <c r="M7" s="5">
        <f t="shared" si="1"/>
        <v>0</v>
      </c>
      <c r="N7" s="5">
        <f t="shared" si="1"/>
        <v>0</v>
      </c>
    </row>
    <row r="8" spans="2:14" ht="25.5">
      <c r="B8" s="146" t="s">
        <v>377</v>
      </c>
      <c r="C8" s="147">
        <f>+C65</f>
        <v>4909185000</v>
      </c>
      <c r="D8" s="147">
        <f t="shared" ref="D8:I8" si="2">+D65</f>
        <v>5046648000</v>
      </c>
      <c r="E8" s="147">
        <f t="shared" si="2"/>
        <v>6446433000</v>
      </c>
      <c r="F8" s="147">
        <f t="shared" si="2"/>
        <v>5811078000</v>
      </c>
      <c r="G8" s="147">
        <f t="shared" si="2"/>
        <v>8097313000</v>
      </c>
      <c r="H8" s="147">
        <f t="shared" si="2"/>
        <v>12909057000</v>
      </c>
      <c r="I8" s="147">
        <f t="shared" si="2"/>
        <v>10810909000</v>
      </c>
      <c r="J8" s="147">
        <f t="shared" ref="J8:N8" si="3">+J65</f>
        <v>0</v>
      </c>
      <c r="K8" s="147">
        <f t="shared" si="3"/>
        <v>0</v>
      </c>
      <c r="L8" s="147">
        <f t="shared" si="3"/>
        <v>0</v>
      </c>
      <c r="M8" s="147">
        <f t="shared" si="3"/>
        <v>0</v>
      </c>
      <c r="N8" s="147">
        <f t="shared" si="3"/>
        <v>0</v>
      </c>
    </row>
    <row r="9" spans="2:14" ht="25.5">
      <c r="B9" s="146" t="s">
        <v>378</v>
      </c>
      <c r="C9" s="147">
        <f>+C67</f>
        <v>3843916000</v>
      </c>
      <c r="D9" s="147">
        <f t="shared" ref="D9:I9" si="4">+D67</f>
        <v>4856537000</v>
      </c>
      <c r="E9" s="147">
        <f t="shared" si="4"/>
        <v>5400620000</v>
      </c>
      <c r="F9" s="147">
        <f t="shared" si="4"/>
        <v>5558672000</v>
      </c>
      <c r="G9" s="147">
        <f t="shared" si="4"/>
        <v>7394022000</v>
      </c>
      <c r="H9" s="147">
        <f t="shared" si="4"/>
        <v>9691161000</v>
      </c>
      <c r="I9" s="147">
        <f t="shared" si="4"/>
        <v>12486470000</v>
      </c>
      <c r="J9" s="147">
        <f t="shared" ref="J9:N9" si="5">+J67</f>
        <v>0</v>
      </c>
      <c r="K9" s="147">
        <f t="shared" si="5"/>
        <v>0</v>
      </c>
      <c r="L9" s="147">
        <f t="shared" si="5"/>
        <v>0</v>
      </c>
      <c r="M9" s="147">
        <f t="shared" si="5"/>
        <v>0</v>
      </c>
      <c r="N9" s="147">
        <f t="shared" si="5"/>
        <v>0</v>
      </c>
    </row>
    <row r="10" spans="2:14" ht="25.5">
      <c r="B10" s="4" t="s">
        <v>379</v>
      </c>
      <c r="C10" s="5">
        <f>+C70</f>
        <v>39729564000</v>
      </c>
      <c r="D10" s="5">
        <f t="shared" ref="D10:I10" si="6">+D70</f>
        <v>43441778000</v>
      </c>
      <c r="E10" s="5">
        <f t="shared" si="6"/>
        <v>50387667000</v>
      </c>
      <c r="F10" s="5">
        <f t="shared" si="6"/>
        <v>58375084000</v>
      </c>
      <c r="G10" s="5">
        <f t="shared" si="6"/>
        <v>64301233000</v>
      </c>
      <c r="H10" s="5">
        <f t="shared" si="6"/>
        <v>70292982000</v>
      </c>
      <c r="I10" s="5">
        <f t="shared" si="6"/>
        <v>138441740000</v>
      </c>
      <c r="J10" s="5">
        <f t="shared" ref="J10:N10" si="7">+J70</f>
        <v>0</v>
      </c>
      <c r="K10" s="5">
        <f t="shared" si="7"/>
        <v>0</v>
      </c>
      <c r="L10" s="5">
        <f t="shared" si="7"/>
        <v>0</v>
      </c>
      <c r="M10" s="5">
        <f t="shared" si="7"/>
        <v>0</v>
      </c>
      <c r="N10" s="5">
        <f t="shared" si="7"/>
        <v>0</v>
      </c>
    </row>
    <row r="11" spans="2:14" ht="25.5">
      <c r="B11" s="8" t="s">
        <v>272</v>
      </c>
      <c r="C11" s="9">
        <f>+C10+C7</f>
        <v>82419332000</v>
      </c>
      <c r="D11" s="9">
        <f t="shared" ref="D11:I11" si="8">+D10+D7</f>
        <v>80579403000</v>
      </c>
      <c r="E11" s="9">
        <f t="shared" si="8"/>
        <v>77028569000</v>
      </c>
      <c r="F11" s="9">
        <f t="shared" si="8"/>
        <v>81117855000</v>
      </c>
      <c r="G11" s="9">
        <f t="shared" si="8"/>
        <v>86485019000</v>
      </c>
      <c r="H11" s="9">
        <f t="shared" si="8"/>
        <v>99032666000</v>
      </c>
      <c r="I11" s="9">
        <f t="shared" si="8"/>
        <v>166702942000</v>
      </c>
      <c r="J11" s="9">
        <f t="shared" ref="J11:N11" si="9">+J10+J7</f>
        <v>0</v>
      </c>
      <c r="K11" s="9">
        <f t="shared" si="9"/>
        <v>0</v>
      </c>
      <c r="L11" s="9">
        <f t="shared" si="9"/>
        <v>0</v>
      </c>
      <c r="M11" s="9">
        <f t="shared" si="9"/>
        <v>0</v>
      </c>
      <c r="N11" s="9">
        <f t="shared" si="9"/>
        <v>0</v>
      </c>
    </row>
    <row r="12" spans="2:14" ht="25.5">
      <c r="B12" s="10" t="s">
        <v>273</v>
      </c>
      <c r="C12" s="11">
        <f>+C84</f>
        <v>6480104000</v>
      </c>
      <c r="D12" s="11">
        <f t="shared" ref="D12:I12" si="10">+D84</f>
        <v>7380792000</v>
      </c>
      <c r="E12" s="11">
        <f t="shared" si="10"/>
        <v>7790582000</v>
      </c>
      <c r="F12" s="11">
        <f t="shared" si="10"/>
        <v>8682995000</v>
      </c>
      <c r="G12" s="11">
        <f t="shared" si="10"/>
        <v>14477804000</v>
      </c>
      <c r="H12" s="11">
        <f t="shared" si="10"/>
        <v>22441247000</v>
      </c>
      <c r="I12" s="11">
        <f t="shared" si="10"/>
        <v>24114039000</v>
      </c>
      <c r="J12" s="11">
        <f t="shared" ref="J12:N12" si="11">+J84</f>
        <v>0</v>
      </c>
      <c r="K12" s="11">
        <f t="shared" si="11"/>
        <v>0</v>
      </c>
      <c r="L12" s="11">
        <f t="shared" si="11"/>
        <v>0</v>
      </c>
      <c r="M12" s="11">
        <f t="shared" si="11"/>
        <v>0</v>
      </c>
      <c r="N12" s="11">
        <f t="shared" si="11"/>
        <v>0</v>
      </c>
    </row>
    <row r="13" spans="2:14" ht="25.5">
      <c r="B13" s="10" t="s">
        <v>274</v>
      </c>
      <c r="C13" s="11">
        <f>+C94</f>
        <v>7256385000</v>
      </c>
      <c r="D13" s="11">
        <f t="shared" ref="D13:I13" si="12">+D94</f>
        <v>5383020000</v>
      </c>
      <c r="E13" s="11">
        <f t="shared" si="12"/>
        <v>5196505000</v>
      </c>
      <c r="F13" s="11">
        <f t="shared" si="12"/>
        <v>8747832000</v>
      </c>
      <c r="G13" s="11">
        <f t="shared" si="12"/>
        <v>8224653000</v>
      </c>
      <c r="H13" s="11">
        <f t="shared" si="12"/>
        <v>12509185000</v>
      </c>
      <c r="I13" s="11">
        <f t="shared" si="12"/>
        <v>34684575000</v>
      </c>
      <c r="J13" s="11">
        <f t="shared" ref="J13:N13" si="13">+J94</f>
        <v>0</v>
      </c>
      <c r="K13" s="11">
        <f t="shared" si="13"/>
        <v>0</v>
      </c>
      <c r="L13" s="11">
        <f t="shared" si="13"/>
        <v>0</v>
      </c>
      <c r="M13" s="11">
        <f t="shared" si="13"/>
        <v>0</v>
      </c>
      <c r="N13" s="11">
        <f t="shared" si="13"/>
        <v>0</v>
      </c>
    </row>
    <row r="14" spans="2:14" ht="25.5">
      <c r="B14" s="12" t="s">
        <v>275</v>
      </c>
      <c r="C14" s="13">
        <f>+C12+C13</f>
        <v>13736489000</v>
      </c>
      <c r="D14" s="13">
        <f t="shared" ref="D14:I14" si="14">+D12+D13</f>
        <v>12763812000</v>
      </c>
      <c r="E14" s="13">
        <f t="shared" si="14"/>
        <v>12987087000</v>
      </c>
      <c r="F14" s="13">
        <f t="shared" si="14"/>
        <v>17430827000</v>
      </c>
      <c r="G14" s="13">
        <f t="shared" si="14"/>
        <v>22702457000</v>
      </c>
      <c r="H14" s="13">
        <f t="shared" si="14"/>
        <v>34950432000</v>
      </c>
      <c r="I14" s="13">
        <f t="shared" si="14"/>
        <v>58798614000</v>
      </c>
      <c r="J14" s="13">
        <f t="shared" ref="J14:N14" si="15">+J12+J13</f>
        <v>0</v>
      </c>
      <c r="K14" s="13">
        <f t="shared" si="15"/>
        <v>0</v>
      </c>
      <c r="L14" s="13">
        <f t="shared" si="15"/>
        <v>0</v>
      </c>
      <c r="M14" s="13">
        <f t="shared" si="15"/>
        <v>0</v>
      </c>
      <c r="N14" s="13">
        <f t="shared" si="15"/>
        <v>0</v>
      </c>
    </row>
    <row r="15" spans="2:14" ht="25.5">
      <c r="B15" s="14" t="s">
        <v>276</v>
      </c>
      <c r="C15" s="15">
        <f>+C107</f>
        <v>68613588000</v>
      </c>
      <c r="D15" s="15">
        <f t="shared" ref="D15:I15" si="16">+D107</f>
        <v>67757091000</v>
      </c>
      <c r="E15" s="15">
        <f t="shared" si="16"/>
        <v>63975618000</v>
      </c>
      <c r="F15" s="15">
        <f t="shared" si="16"/>
        <v>63516235000</v>
      </c>
      <c r="G15" s="15">
        <f t="shared" si="16"/>
        <v>63732602000</v>
      </c>
      <c r="H15" s="15">
        <f t="shared" si="16"/>
        <v>63988551000</v>
      </c>
      <c r="I15" s="15">
        <f t="shared" si="16"/>
        <v>107813809000</v>
      </c>
      <c r="J15" s="15">
        <f t="shared" ref="J15:N15" si="17">+J107</f>
        <v>0</v>
      </c>
      <c r="K15" s="15">
        <f t="shared" si="17"/>
        <v>0</v>
      </c>
      <c r="L15" s="15">
        <f t="shared" si="17"/>
        <v>0</v>
      </c>
      <c r="M15" s="15">
        <f t="shared" si="17"/>
        <v>0</v>
      </c>
      <c r="N15" s="15">
        <f t="shared" si="17"/>
        <v>0</v>
      </c>
    </row>
    <row r="16" spans="2:14" ht="25.5">
      <c r="B16" s="79" t="s">
        <v>278</v>
      </c>
      <c r="C16" s="80">
        <v>61500000</v>
      </c>
      <c r="D16" s="80">
        <v>61500000</v>
      </c>
      <c r="E16" s="80">
        <v>61500000</v>
      </c>
      <c r="F16" s="80">
        <v>61500000</v>
      </c>
      <c r="G16" s="80">
        <v>61500000</v>
      </c>
      <c r="H16" s="80">
        <v>61500000</v>
      </c>
      <c r="I16" s="80">
        <v>61500000</v>
      </c>
      <c r="J16" s="80"/>
      <c r="K16" s="80"/>
      <c r="L16" s="80"/>
      <c r="M16" s="80"/>
      <c r="N16" s="80"/>
    </row>
    <row r="18" spans="2:14" ht="25.5">
      <c r="B18" s="18" t="s">
        <v>279</v>
      </c>
      <c r="C18" s="19">
        <f t="shared" ref="C18:I18" si="18">(C15/C16)</f>
        <v>1115.6680975609756</v>
      </c>
      <c r="D18" s="19">
        <f t="shared" si="18"/>
        <v>1101.7413170731706</v>
      </c>
      <c r="E18" s="19">
        <f t="shared" si="18"/>
        <v>1040.2539512195121</v>
      </c>
      <c r="F18" s="19">
        <f t="shared" si="18"/>
        <v>1032.7843089430894</v>
      </c>
      <c r="G18" s="19">
        <f t="shared" si="18"/>
        <v>1036.3024715447154</v>
      </c>
      <c r="H18" s="19">
        <f t="shared" si="18"/>
        <v>1040.464243902439</v>
      </c>
      <c r="I18" s="19">
        <f t="shared" si="18"/>
        <v>1753.0700650406504</v>
      </c>
      <c r="J18" s="19" t="e">
        <f t="shared" ref="J18:N18" si="19">(J15/J16)</f>
        <v>#DIV/0!</v>
      </c>
      <c r="K18" s="19" t="e">
        <f t="shared" si="19"/>
        <v>#DIV/0!</v>
      </c>
      <c r="L18" s="19" t="e">
        <f t="shared" si="19"/>
        <v>#DIV/0!</v>
      </c>
      <c r="M18" s="19" t="e">
        <f t="shared" si="19"/>
        <v>#DIV/0!</v>
      </c>
      <c r="N18" s="19" t="e">
        <f t="shared" si="19"/>
        <v>#DIV/0!</v>
      </c>
    </row>
    <row r="19" spans="2:14" ht="25.5">
      <c r="B19" s="76" t="s">
        <v>282</v>
      </c>
      <c r="C19" s="77">
        <v>1250</v>
      </c>
      <c r="D19" s="77">
        <v>1140</v>
      </c>
      <c r="E19" s="77">
        <v>1071</v>
      </c>
      <c r="F19" s="77">
        <v>1040</v>
      </c>
      <c r="G19" s="77">
        <v>1000</v>
      </c>
      <c r="H19" s="101">
        <v>1002</v>
      </c>
      <c r="I19" s="101">
        <v>580</v>
      </c>
      <c r="J19" s="101"/>
      <c r="K19" s="101"/>
      <c r="L19" s="101"/>
      <c r="M19" s="101"/>
      <c r="N19" s="101"/>
    </row>
    <row r="20" spans="2:14" ht="25.5">
      <c r="B20" s="18" t="s">
        <v>283</v>
      </c>
      <c r="C20" s="22">
        <f>+C19/C40</f>
        <v>12.935941219083102</v>
      </c>
      <c r="D20" s="22">
        <f t="shared" ref="D20:I20" si="20">+D19/D40</f>
        <v>20.886771711249544</v>
      </c>
      <c r="E20" s="22">
        <f t="shared" si="20"/>
        <v>29.618362831858409</v>
      </c>
      <c r="F20" s="22">
        <f t="shared" si="20"/>
        <v>37.076648841354725</v>
      </c>
      <c r="G20" s="22">
        <f t="shared" si="20"/>
        <v>36.995930447650757</v>
      </c>
      <c r="H20" s="22">
        <f t="shared" si="20"/>
        <v>30.660954712362301</v>
      </c>
      <c r="I20" s="22">
        <f t="shared" si="20"/>
        <v>66.590126291618816</v>
      </c>
      <c r="J20" s="22" t="e">
        <f t="shared" ref="J20:N20" si="21">+J19/J40</f>
        <v>#DIV/0!</v>
      </c>
      <c r="K20" s="22" t="e">
        <f t="shared" si="21"/>
        <v>#DIV/0!</v>
      </c>
      <c r="L20" s="22" t="e">
        <f t="shared" si="21"/>
        <v>#DIV/0!</v>
      </c>
      <c r="M20" s="22" t="e">
        <f t="shared" si="21"/>
        <v>#DIV/0!</v>
      </c>
      <c r="N20" s="22" t="e">
        <f t="shared" si="21"/>
        <v>#DIV/0!</v>
      </c>
    </row>
    <row r="21" spans="2:14" ht="25.5">
      <c r="B21" s="18" t="s">
        <v>380</v>
      </c>
      <c r="C21" s="22">
        <f t="shared" ref="C21:I21" si="22">+C19/C18</f>
        <v>1.1204048970591656</v>
      </c>
      <c r="D21" s="22">
        <f t="shared" si="22"/>
        <v>1.0347256496002759</v>
      </c>
      <c r="E21" s="22">
        <f t="shared" si="22"/>
        <v>1.0295562912733411</v>
      </c>
      <c r="F21" s="22">
        <f t="shared" si="22"/>
        <v>1.0069866389278268</v>
      </c>
      <c r="G21" s="22">
        <f t="shared" si="22"/>
        <v>0.96496923191681394</v>
      </c>
      <c r="H21" s="22">
        <f t="shared" si="22"/>
        <v>0.96303165233418087</v>
      </c>
      <c r="I21" s="22">
        <f t="shared" si="22"/>
        <v>0.33084815693692815</v>
      </c>
      <c r="J21" s="22" t="e">
        <f t="shared" ref="J21:N21" si="23">+J19/J18</f>
        <v>#DIV/0!</v>
      </c>
      <c r="K21" s="22" t="e">
        <f t="shared" si="23"/>
        <v>#DIV/0!</v>
      </c>
      <c r="L21" s="22" t="e">
        <f t="shared" si="23"/>
        <v>#DIV/0!</v>
      </c>
      <c r="M21" s="22" t="e">
        <f t="shared" si="23"/>
        <v>#DIV/0!</v>
      </c>
      <c r="N21" s="22" t="e">
        <f t="shared" si="23"/>
        <v>#DIV/0!</v>
      </c>
    </row>
    <row r="22" spans="2:14" ht="25.5">
      <c r="B22" s="18" t="s">
        <v>285</v>
      </c>
      <c r="C22" s="22">
        <f>+C20*C21</f>
        <v>14.493491889930219</v>
      </c>
      <c r="D22" s="22">
        <f t="shared" ref="D22:I22" si="24">+D20*D21</f>
        <v>21.612078426975351</v>
      </c>
      <c r="E22" s="22">
        <f t="shared" si="24"/>
        <v>30.493771790756316</v>
      </c>
      <c r="F22" s="22">
        <f t="shared" si="24"/>
        <v>37.335689999463099</v>
      </c>
      <c r="G22" s="22">
        <f t="shared" si="24"/>
        <v>35.699934588117422</v>
      </c>
      <c r="H22" s="22">
        <f t="shared" si="24"/>
        <v>29.527469878789756</v>
      </c>
      <c r="I22" s="22">
        <f t="shared" si="24"/>
        <v>22.031220553779367</v>
      </c>
      <c r="J22" s="22" t="e">
        <f t="shared" ref="J22:N22" si="25">+J20*J21</f>
        <v>#DIV/0!</v>
      </c>
      <c r="K22" s="22" t="e">
        <f t="shared" si="25"/>
        <v>#DIV/0!</v>
      </c>
      <c r="L22" s="22" t="e">
        <f t="shared" si="25"/>
        <v>#DIV/0!</v>
      </c>
      <c r="M22" s="22" t="e">
        <f t="shared" si="25"/>
        <v>#DIV/0!</v>
      </c>
      <c r="N22" s="22" t="e">
        <f t="shared" si="25"/>
        <v>#DIV/0!</v>
      </c>
    </row>
    <row r="23" spans="2:14" ht="25.5">
      <c r="B23" s="23" t="s">
        <v>286</v>
      </c>
      <c r="C23" s="24">
        <f>IF(C41&lt;10%,0,IF(15%&lt;C41,2,1))</f>
        <v>0</v>
      </c>
      <c r="D23" s="24">
        <f>IF(D41&lt;10%,0,IF(15%&lt;D41,2,1))</f>
        <v>0</v>
      </c>
      <c r="E23" s="24">
        <f t="shared" ref="E23:I23" si="26">IF(E41&lt;10%,0,IF(15%&lt;E41,2,1))</f>
        <v>0</v>
      </c>
      <c r="F23" s="24">
        <f t="shared" si="26"/>
        <v>0</v>
      </c>
      <c r="G23" s="24">
        <f t="shared" si="26"/>
        <v>0</v>
      </c>
      <c r="H23" s="24">
        <f t="shared" si="26"/>
        <v>0</v>
      </c>
      <c r="I23" s="24">
        <f t="shared" si="26"/>
        <v>0</v>
      </c>
      <c r="J23" s="24" t="e">
        <f t="shared" ref="J23:N23" si="27">IF(J41&lt;10%,0,IF(15%&lt;J41,2,1))</f>
        <v>#DIV/0!</v>
      </c>
      <c r="K23" s="24" t="e">
        <f t="shared" si="27"/>
        <v>#DIV/0!</v>
      </c>
      <c r="L23" s="24" t="e">
        <f t="shared" si="27"/>
        <v>#DIV/0!</v>
      </c>
      <c r="M23" s="24" t="e">
        <f t="shared" si="27"/>
        <v>#DIV/0!</v>
      </c>
      <c r="N23" s="24" t="e">
        <f t="shared" si="27"/>
        <v>#DIV/0!</v>
      </c>
    </row>
    <row r="24" spans="2:14" ht="25.5">
      <c r="B24" s="23" t="s">
        <v>287</v>
      </c>
      <c r="C24" s="24">
        <f>IF(C41&lt;10%,1,IF(15%&lt;C41,2.5,2))</f>
        <v>1</v>
      </c>
      <c r="D24" s="24">
        <f t="shared" ref="D24:I24" si="28">IF(D41&lt;10%,1,IF(15%&lt;D41,2.5,2))</f>
        <v>1</v>
      </c>
      <c r="E24" s="24">
        <f t="shared" si="28"/>
        <v>1</v>
      </c>
      <c r="F24" s="24">
        <f t="shared" si="28"/>
        <v>1</v>
      </c>
      <c r="G24" s="24">
        <f t="shared" si="28"/>
        <v>1</v>
      </c>
      <c r="H24" s="24">
        <f t="shared" si="28"/>
        <v>1</v>
      </c>
      <c r="I24" s="24">
        <f t="shared" si="28"/>
        <v>1</v>
      </c>
      <c r="J24" s="24" t="e">
        <f t="shared" ref="J24:N24" si="29">IF(J41&lt;10%,1,IF(15%&lt;J41,2.5,2))</f>
        <v>#DIV/0!</v>
      </c>
      <c r="K24" s="24" t="e">
        <f t="shared" si="29"/>
        <v>#DIV/0!</v>
      </c>
      <c r="L24" s="24" t="e">
        <f t="shared" si="29"/>
        <v>#DIV/0!</v>
      </c>
      <c r="M24" s="24" t="e">
        <f t="shared" si="29"/>
        <v>#DIV/0!</v>
      </c>
      <c r="N24" s="24" t="e">
        <f t="shared" si="29"/>
        <v>#DIV/0!</v>
      </c>
    </row>
    <row r="25" spans="2:14" ht="25.5">
      <c r="B25" s="25" t="s">
        <v>288</v>
      </c>
      <c r="C25" s="26">
        <f t="shared" ref="C25:I25" si="30">+C23*C18</f>
        <v>0</v>
      </c>
      <c r="D25" s="26">
        <f t="shared" si="30"/>
        <v>0</v>
      </c>
      <c r="E25" s="26">
        <f t="shared" si="30"/>
        <v>0</v>
      </c>
      <c r="F25" s="26">
        <f t="shared" si="30"/>
        <v>0</v>
      </c>
      <c r="G25" s="26">
        <f t="shared" si="30"/>
        <v>0</v>
      </c>
      <c r="H25" s="26">
        <f t="shared" si="30"/>
        <v>0</v>
      </c>
      <c r="I25" s="26">
        <f t="shared" si="30"/>
        <v>0</v>
      </c>
      <c r="J25" s="26" t="e">
        <f t="shared" ref="J25:N25" si="31">+J23*J18</f>
        <v>#DIV/0!</v>
      </c>
      <c r="K25" s="26" t="e">
        <f t="shared" si="31"/>
        <v>#DIV/0!</v>
      </c>
      <c r="L25" s="26" t="e">
        <f t="shared" si="31"/>
        <v>#DIV/0!</v>
      </c>
      <c r="M25" s="26" t="e">
        <f t="shared" si="31"/>
        <v>#DIV/0!</v>
      </c>
      <c r="N25" s="26" t="e">
        <f t="shared" si="31"/>
        <v>#DIV/0!</v>
      </c>
    </row>
    <row r="26" spans="2:14" ht="25.5">
      <c r="B26" s="25" t="s">
        <v>289</v>
      </c>
      <c r="C26" s="26">
        <f>AVERAGE(C25,C27)</f>
        <v>557.83404878048782</v>
      </c>
      <c r="D26" s="26">
        <f t="shared" ref="D26:I26" si="32">AVERAGE(D25,D27)</f>
        <v>550.87065853658532</v>
      </c>
      <c r="E26" s="26">
        <f t="shared" si="32"/>
        <v>520.12697560975607</v>
      </c>
      <c r="F26" s="26">
        <f t="shared" si="32"/>
        <v>516.3921544715447</v>
      </c>
      <c r="G26" s="26">
        <f t="shared" si="32"/>
        <v>518.15123577235772</v>
      </c>
      <c r="H26" s="26">
        <f t="shared" si="32"/>
        <v>520.23212195121948</v>
      </c>
      <c r="I26" s="26">
        <f t="shared" si="32"/>
        <v>876.53503252032522</v>
      </c>
      <c r="J26" s="26" t="e">
        <f t="shared" ref="J26:N26" si="33">AVERAGE(J25,J27)</f>
        <v>#DIV/0!</v>
      </c>
      <c r="K26" s="26" t="e">
        <f t="shared" si="33"/>
        <v>#DIV/0!</v>
      </c>
      <c r="L26" s="26" t="e">
        <f t="shared" si="33"/>
        <v>#DIV/0!</v>
      </c>
      <c r="M26" s="26" t="e">
        <f t="shared" si="33"/>
        <v>#DIV/0!</v>
      </c>
      <c r="N26" s="26" t="e">
        <f t="shared" si="33"/>
        <v>#DIV/0!</v>
      </c>
    </row>
    <row r="27" spans="2:14" ht="25.5">
      <c r="B27" s="25" t="s">
        <v>290</v>
      </c>
      <c r="C27" s="26">
        <f t="shared" ref="C27:I27" si="34">+C18*C24</f>
        <v>1115.6680975609756</v>
      </c>
      <c r="D27" s="26">
        <f t="shared" si="34"/>
        <v>1101.7413170731706</v>
      </c>
      <c r="E27" s="26">
        <f t="shared" si="34"/>
        <v>1040.2539512195121</v>
      </c>
      <c r="F27" s="26">
        <f t="shared" si="34"/>
        <v>1032.7843089430894</v>
      </c>
      <c r="G27" s="26">
        <f t="shared" si="34"/>
        <v>1036.3024715447154</v>
      </c>
      <c r="H27" s="26">
        <f t="shared" si="34"/>
        <v>1040.464243902439</v>
      </c>
      <c r="I27" s="26">
        <f t="shared" si="34"/>
        <v>1753.0700650406504</v>
      </c>
      <c r="J27" s="26" t="e">
        <f t="shared" ref="J27:N27" si="35">+J18*J24</f>
        <v>#DIV/0!</v>
      </c>
      <c r="K27" s="26" t="e">
        <f t="shared" si="35"/>
        <v>#DIV/0!</v>
      </c>
      <c r="L27" s="26" t="e">
        <f t="shared" si="35"/>
        <v>#DIV/0!</v>
      </c>
      <c r="M27" s="26" t="e">
        <f t="shared" si="35"/>
        <v>#DIV/0!</v>
      </c>
      <c r="N27" s="26" t="e">
        <f t="shared" si="35"/>
        <v>#DIV/0!</v>
      </c>
    </row>
    <row r="29" spans="2:14" ht="25.5">
      <c r="B29" s="243" t="s">
        <v>291</v>
      </c>
      <c r="C29" s="81">
        <f t="shared" ref="C29:I29" si="36">C7-C12</f>
        <v>36209664000</v>
      </c>
      <c r="D29" s="81">
        <f t="shared" si="36"/>
        <v>29756833000</v>
      </c>
      <c r="E29" s="81">
        <f t="shared" si="36"/>
        <v>18850320000</v>
      </c>
      <c r="F29" s="81">
        <f t="shared" si="36"/>
        <v>14059776000</v>
      </c>
      <c r="G29" s="81">
        <f t="shared" si="36"/>
        <v>7705982000</v>
      </c>
      <c r="H29" s="81">
        <f t="shared" si="36"/>
        <v>6298437000</v>
      </c>
      <c r="I29" s="81">
        <f t="shared" si="36"/>
        <v>4147163000</v>
      </c>
      <c r="J29" s="81">
        <f t="shared" ref="J29:N29" si="37">J7-J12</f>
        <v>0</v>
      </c>
      <c r="K29" s="81">
        <f t="shared" si="37"/>
        <v>0</v>
      </c>
      <c r="L29" s="81">
        <f t="shared" si="37"/>
        <v>0</v>
      </c>
      <c r="M29" s="81">
        <f t="shared" si="37"/>
        <v>0</v>
      </c>
      <c r="N29" s="81">
        <f t="shared" si="37"/>
        <v>0</v>
      </c>
    </row>
    <row r="30" spans="2:14" ht="25.5">
      <c r="B30" s="30" t="s">
        <v>149</v>
      </c>
      <c r="C30" s="241">
        <f t="shared" ref="C30:I30" si="38">C7/C12</f>
        <v>6.5878214300264313</v>
      </c>
      <c r="D30" s="241">
        <f t="shared" si="38"/>
        <v>5.0316585266188234</v>
      </c>
      <c r="E30" s="241">
        <f t="shared" si="38"/>
        <v>3.4196292395099621</v>
      </c>
      <c r="F30" s="241">
        <f t="shared" si="38"/>
        <v>2.6192311523846321</v>
      </c>
      <c r="G30" s="241">
        <f t="shared" si="38"/>
        <v>1.5322617988197658</v>
      </c>
      <c r="H30" s="242">
        <f t="shared" si="38"/>
        <v>1.2806634141141979</v>
      </c>
      <c r="I30" s="242">
        <f t="shared" si="38"/>
        <v>1.1719812678415258</v>
      </c>
      <c r="J30" s="242" t="e">
        <f t="shared" ref="J30:N30" si="39">J7/J12</f>
        <v>#DIV/0!</v>
      </c>
      <c r="K30" s="242" t="e">
        <f t="shared" si="39"/>
        <v>#DIV/0!</v>
      </c>
      <c r="L30" s="242" t="e">
        <f t="shared" si="39"/>
        <v>#DIV/0!</v>
      </c>
      <c r="M30" s="242" t="e">
        <f t="shared" si="39"/>
        <v>#DIV/0!</v>
      </c>
      <c r="N30" s="242" t="e">
        <f t="shared" si="39"/>
        <v>#DIV/0!</v>
      </c>
    </row>
    <row r="31" spans="2:14" ht="25.5">
      <c r="B31" s="30" t="s">
        <v>292</v>
      </c>
      <c r="C31" s="241">
        <f t="shared" ref="C31:I31" si="40">+(C7-C9)/C12</f>
        <v>5.9946340367376818</v>
      </c>
      <c r="D31" s="241">
        <f t="shared" si="40"/>
        <v>4.3736617967285891</v>
      </c>
      <c r="E31" s="241">
        <f t="shared" si="40"/>
        <v>2.7264050362347767</v>
      </c>
      <c r="F31" s="241">
        <f t="shared" si="40"/>
        <v>1.9790520436784773</v>
      </c>
      <c r="G31" s="241">
        <f t="shared" si="40"/>
        <v>1.0215474667290703</v>
      </c>
      <c r="H31" s="241">
        <f t="shared" si="40"/>
        <v>0.84881749218303248</v>
      </c>
      <c r="I31" s="241">
        <f t="shared" si="40"/>
        <v>0.65417211940314102</v>
      </c>
      <c r="J31" s="241" t="e">
        <f t="shared" ref="J31:N31" si="41">+(J7-J9)/J12</f>
        <v>#DIV/0!</v>
      </c>
      <c r="K31" s="241" t="e">
        <f t="shared" si="41"/>
        <v>#DIV/0!</v>
      </c>
      <c r="L31" s="241" t="e">
        <f t="shared" si="41"/>
        <v>#DIV/0!</v>
      </c>
      <c r="M31" s="241" t="e">
        <f t="shared" si="41"/>
        <v>#DIV/0!</v>
      </c>
      <c r="N31" s="241" t="e">
        <f t="shared" si="41"/>
        <v>#DIV/0!</v>
      </c>
    </row>
    <row r="32" spans="2:14" ht="25.5">
      <c r="B32" s="32" t="s">
        <v>153</v>
      </c>
      <c r="C32" s="33">
        <f t="shared" ref="C32:I32" si="42">C14/C11</f>
        <v>0.16666586183930732</v>
      </c>
      <c r="D32" s="33">
        <f t="shared" si="42"/>
        <v>0.15840042895328971</v>
      </c>
      <c r="E32" s="33">
        <f t="shared" si="42"/>
        <v>0.16860091221479137</v>
      </c>
      <c r="F32" s="33">
        <f t="shared" si="42"/>
        <v>0.21488274067404767</v>
      </c>
      <c r="G32" s="33">
        <f t="shared" si="42"/>
        <v>0.26250161314065273</v>
      </c>
      <c r="H32" s="33">
        <f t="shared" si="42"/>
        <v>0.35291821791407696</v>
      </c>
      <c r="I32" s="33">
        <f t="shared" si="42"/>
        <v>0.35271491489334361</v>
      </c>
      <c r="J32" s="33" t="e">
        <f t="shared" ref="J32:N32" si="43">J14/J11</f>
        <v>#DIV/0!</v>
      </c>
      <c r="K32" s="33" t="e">
        <f t="shared" si="43"/>
        <v>#DIV/0!</v>
      </c>
      <c r="L32" s="33" t="e">
        <f t="shared" si="43"/>
        <v>#DIV/0!</v>
      </c>
      <c r="M32" s="33" t="e">
        <f t="shared" si="43"/>
        <v>#DIV/0!</v>
      </c>
      <c r="N32" s="33" t="e">
        <f t="shared" si="43"/>
        <v>#DIV/0!</v>
      </c>
    </row>
    <row r="35" spans="2:14" ht="25.5">
      <c r="B35" s="35" t="s">
        <v>293</v>
      </c>
      <c r="C35" s="36">
        <f>+C112</f>
        <v>24017319000</v>
      </c>
      <c r="D35" s="36">
        <f t="shared" ref="D35:I35" si="44">+D112</f>
        <v>25880206000</v>
      </c>
      <c r="E35" s="36">
        <f t="shared" si="44"/>
        <v>25915654000</v>
      </c>
      <c r="F35" s="36">
        <f t="shared" si="44"/>
        <v>28258004000</v>
      </c>
      <c r="G35" s="36">
        <f t="shared" si="44"/>
        <v>31053631000</v>
      </c>
      <c r="H35" s="36">
        <f t="shared" si="44"/>
        <v>40838576000</v>
      </c>
      <c r="I35" s="36">
        <f t="shared" si="44"/>
        <v>36913239000</v>
      </c>
      <c r="J35" s="36">
        <f t="shared" ref="J35:N35" si="45">+J112</f>
        <v>0</v>
      </c>
      <c r="K35" s="36">
        <f t="shared" si="45"/>
        <v>0</v>
      </c>
      <c r="L35" s="36">
        <f t="shared" si="45"/>
        <v>0</v>
      </c>
      <c r="M35" s="36">
        <f t="shared" si="45"/>
        <v>0</v>
      </c>
      <c r="N35" s="36">
        <f t="shared" si="45"/>
        <v>0</v>
      </c>
    </row>
    <row r="36" spans="2:14" ht="25.5">
      <c r="B36" s="39" t="s">
        <v>156</v>
      </c>
      <c r="C36" s="40">
        <f>+C120</f>
        <v>6594699000</v>
      </c>
      <c r="D36" s="40">
        <f t="shared" ref="D36:I36" si="46">+D120</f>
        <v>3565005000</v>
      </c>
      <c r="E36" s="40">
        <f t="shared" si="46"/>
        <v>2386352000</v>
      </c>
      <c r="F36" s="40">
        <f t="shared" si="46"/>
        <v>2131940000</v>
      </c>
      <c r="G36" s="40">
        <f t="shared" si="46"/>
        <v>1210011000</v>
      </c>
      <c r="H36" s="40">
        <f t="shared" si="46"/>
        <v>2162150000</v>
      </c>
      <c r="I36" s="40">
        <f t="shared" si="46"/>
        <v>1743261000</v>
      </c>
      <c r="J36" s="40">
        <f t="shared" ref="J36:N36" si="47">+J120</f>
        <v>0</v>
      </c>
      <c r="K36" s="40">
        <f t="shared" si="47"/>
        <v>0</v>
      </c>
      <c r="L36" s="40">
        <f t="shared" si="47"/>
        <v>0</v>
      </c>
      <c r="M36" s="40">
        <f t="shared" si="47"/>
        <v>0</v>
      </c>
      <c r="N36" s="40">
        <f t="shared" si="47"/>
        <v>0</v>
      </c>
    </row>
    <row r="37" spans="2:14" ht="25.5">
      <c r="B37" s="35" t="s">
        <v>381</v>
      </c>
      <c r="C37" s="41">
        <f>C36/C35</f>
        <v>0.27458098049994673</v>
      </c>
      <c r="D37" s="41">
        <f t="shared" ref="D37:I37" si="48">D36/D35</f>
        <v>0.13775025592918388</v>
      </c>
      <c r="E37" s="41">
        <f t="shared" si="48"/>
        <v>9.2081488663184038E-2</v>
      </c>
      <c r="F37" s="41">
        <f t="shared" si="48"/>
        <v>7.5445526867361196E-2</v>
      </c>
      <c r="G37" s="41">
        <f t="shared" si="48"/>
        <v>3.8965201847088349E-2</v>
      </c>
      <c r="H37" s="41">
        <f t="shared" si="48"/>
        <v>5.2943814691286006E-2</v>
      </c>
      <c r="I37" s="41">
        <f t="shared" si="48"/>
        <v>4.7225901796371754E-2</v>
      </c>
      <c r="J37" s="41" t="e">
        <f t="shared" ref="J37:N37" si="49">J36/J35</f>
        <v>#DIV/0!</v>
      </c>
      <c r="K37" s="41" t="e">
        <f t="shared" si="49"/>
        <v>#DIV/0!</v>
      </c>
      <c r="L37" s="41" t="e">
        <f t="shared" si="49"/>
        <v>#DIV/0!</v>
      </c>
      <c r="M37" s="41" t="e">
        <f t="shared" si="49"/>
        <v>#DIV/0!</v>
      </c>
      <c r="N37" s="41" t="e">
        <f t="shared" si="49"/>
        <v>#DIV/0!</v>
      </c>
    </row>
    <row r="38" spans="2:14" ht="25.5">
      <c r="B38" s="43" t="s">
        <v>295</v>
      </c>
      <c r="C38" s="44">
        <f>+C130</f>
        <v>5942736000</v>
      </c>
      <c r="D38" s="44">
        <f t="shared" ref="D38:I38" si="50">+D130</f>
        <v>3356567000</v>
      </c>
      <c r="E38" s="44">
        <f t="shared" si="50"/>
        <v>2224063000</v>
      </c>
      <c r="F38" s="44">
        <f t="shared" si="50"/>
        <v>1725344000</v>
      </c>
      <c r="G38" s="44">
        <f t="shared" si="50"/>
        <v>1662526000</v>
      </c>
      <c r="H38" s="44">
        <f t="shared" si="50"/>
        <v>2009878000</v>
      </c>
      <c r="I38" s="44">
        <f t="shared" si="50"/>
        <v>535646000</v>
      </c>
      <c r="J38" s="44">
        <f t="shared" ref="J38:N38" si="51">+J130</f>
        <v>0</v>
      </c>
      <c r="K38" s="44">
        <f t="shared" si="51"/>
        <v>0</v>
      </c>
      <c r="L38" s="44">
        <f t="shared" si="51"/>
        <v>0</v>
      </c>
      <c r="M38" s="44">
        <f t="shared" si="51"/>
        <v>0</v>
      </c>
      <c r="N38" s="44">
        <f t="shared" si="51"/>
        <v>0</v>
      </c>
    </row>
    <row r="39" spans="2:14" ht="25.5">
      <c r="B39" s="30" t="s">
        <v>296</v>
      </c>
      <c r="C39" s="45">
        <f>C38/C35</f>
        <v>0.2474354443974367</v>
      </c>
      <c r="D39" s="45">
        <f t="shared" ref="D39:I39" si="52">D38/D35</f>
        <v>0.12969630149002678</v>
      </c>
      <c r="E39" s="45">
        <f t="shared" si="52"/>
        <v>8.5819288990353085E-2</v>
      </c>
      <c r="F39" s="45">
        <f t="shared" si="52"/>
        <v>6.1056824820323471E-2</v>
      </c>
      <c r="G39" s="45">
        <f t="shared" si="52"/>
        <v>5.3537249798582327E-2</v>
      </c>
      <c r="H39" s="45">
        <f t="shared" si="52"/>
        <v>4.9215183213048366E-2</v>
      </c>
      <c r="I39" s="45">
        <f t="shared" si="52"/>
        <v>1.451094551740637E-2</v>
      </c>
      <c r="J39" s="45" t="e">
        <f t="shared" ref="J39:N39" si="53">J38/J35</f>
        <v>#DIV/0!</v>
      </c>
      <c r="K39" s="45" t="e">
        <f t="shared" si="53"/>
        <v>#DIV/0!</v>
      </c>
      <c r="L39" s="45" t="e">
        <f t="shared" si="53"/>
        <v>#DIV/0!</v>
      </c>
      <c r="M39" s="45" t="e">
        <f t="shared" si="53"/>
        <v>#DIV/0!</v>
      </c>
      <c r="N39" s="45" t="e">
        <f t="shared" si="53"/>
        <v>#DIV/0!</v>
      </c>
    </row>
    <row r="40" spans="2:14" ht="25.5">
      <c r="B40" s="46" t="s">
        <v>159</v>
      </c>
      <c r="C40" s="121">
        <f>+C131</f>
        <v>96.63</v>
      </c>
      <c r="D40" s="121">
        <f t="shared" ref="D40:I40" si="54">+D131</f>
        <v>54.58</v>
      </c>
      <c r="E40" s="121">
        <f t="shared" si="54"/>
        <v>36.159999999999997</v>
      </c>
      <c r="F40" s="121">
        <f t="shared" si="54"/>
        <v>28.05</v>
      </c>
      <c r="G40" s="121">
        <f t="shared" si="54"/>
        <v>27.03</v>
      </c>
      <c r="H40" s="121">
        <f t="shared" si="54"/>
        <v>32.68</v>
      </c>
      <c r="I40" s="121">
        <f t="shared" si="54"/>
        <v>8.7100000000000009</v>
      </c>
      <c r="J40" s="121">
        <f t="shared" ref="J40:N40" si="55">+J131</f>
        <v>0</v>
      </c>
      <c r="K40" s="121">
        <f t="shared" si="55"/>
        <v>0</v>
      </c>
      <c r="L40" s="121">
        <f t="shared" si="55"/>
        <v>0</v>
      </c>
      <c r="M40" s="121">
        <f t="shared" si="55"/>
        <v>0</v>
      </c>
      <c r="N40" s="121">
        <f t="shared" si="55"/>
        <v>0</v>
      </c>
    </row>
    <row r="41" spans="2:14" ht="25.5">
      <c r="B41" s="48" t="s">
        <v>160</v>
      </c>
      <c r="C41" s="49">
        <f t="shared" ref="C41:I41" si="56">C38/C15</f>
        <v>8.6611648992907936E-2</v>
      </c>
      <c r="D41" s="49">
        <f t="shared" si="56"/>
        <v>4.9538239473710582E-2</v>
      </c>
      <c r="E41" s="49">
        <f t="shared" si="56"/>
        <v>3.4764228459660991E-2</v>
      </c>
      <c r="F41" s="49">
        <f t="shared" si="56"/>
        <v>2.7163826697221585E-2</v>
      </c>
      <c r="G41" s="49">
        <f t="shared" si="56"/>
        <v>2.6085958329459074E-2</v>
      </c>
      <c r="H41" s="49">
        <f t="shared" si="56"/>
        <v>3.140996269785825E-2</v>
      </c>
      <c r="I41" s="49">
        <f t="shared" si="56"/>
        <v>4.9682504028774272E-3</v>
      </c>
      <c r="J41" s="49" t="e">
        <f t="shared" ref="J41:N41" si="57">J38/J15</f>
        <v>#DIV/0!</v>
      </c>
      <c r="K41" s="49" t="e">
        <f t="shared" si="57"/>
        <v>#DIV/0!</v>
      </c>
      <c r="L41" s="49" t="e">
        <f t="shared" si="57"/>
        <v>#DIV/0!</v>
      </c>
      <c r="M41" s="49" t="e">
        <f t="shared" si="57"/>
        <v>#DIV/0!</v>
      </c>
      <c r="N41" s="49" t="e">
        <f t="shared" si="57"/>
        <v>#DIV/0!</v>
      </c>
    </row>
    <row r="42" spans="2:14" ht="25.5">
      <c r="B42" s="48" t="s">
        <v>382</v>
      </c>
      <c r="C42" s="49">
        <f>AVERAGE(G41:I41)</f>
        <v>2.0821390476731583E-2</v>
      </c>
      <c r="D42" s="49"/>
      <c r="E42" s="49"/>
      <c r="F42" s="49"/>
      <c r="G42" s="49"/>
      <c r="H42" s="49"/>
      <c r="I42" s="49"/>
      <c r="J42" s="49"/>
      <c r="K42" s="49"/>
      <c r="L42" s="49"/>
      <c r="M42" s="49"/>
      <c r="N42" s="49"/>
    </row>
    <row r="43" spans="2:14" ht="25.5">
      <c r="B43" s="48" t="s">
        <v>298</v>
      </c>
      <c r="C43" s="50">
        <f>+C143</f>
        <v>372250000</v>
      </c>
      <c r="D43" s="50">
        <f t="shared" ref="D43:I43" si="58">+D143</f>
        <v>-2193858000</v>
      </c>
      <c r="E43" s="50">
        <f t="shared" si="58"/>
        <v>-6437217000</v>
      </c>
      <c r="F43" s="50">
        <f t="shared" si="58"/>
        <v>-6736282000</v>
      </c>
      <c r="G43" s="50">
        <f t="shared" si="58"/>
        <v>-8429406000</v>
      </c>
      <c r="H43" s="50">
        <f t="shared" si="58"/>
        <v>-10174213000</v>
      </c>
      <c r="I43" s="50">
        <f t="shared" si="58"/>
        <v>-5286063000</v>
      </c>
      <c r="J43" s="50">
        <f t="shared" ref="J43:N43" si="59">+J143</f>
        <v>0</v>
      </c>
      <c r="K43" s="50">
        <f t="shared" si="59"/>
        <v>0</v>
      </c>
      <c r="L43" s="50">
        <f t="shared" si="59"/>
        <v>0</v>
      </c>
      <c r="M43" s="50">
        <f t="shared" si="59"/>
        <v>0</v>
      </c>
      <c r="N43" s="50">
        <f t="shared" si="59"/>
        <v>0</v>
      </c>
    </row>
    <row r="44" spans="2:14" ht="25.5">
      <c r="B44" s="51" t="s">
        <v>119</v>
      </c>
      <c r="C44" s="51">
        <f>SUM(C46:C49)</f>
        <v>28</v>
      </c>
      <c r="D44" s="51">
        <f t="shared" ref="D44:F44" si="60">SUM(D46:D49)</f>
        <v>77.66</v>
      </c>
      <c r="E44" s="51">
        <f t="shared" si="60"/>
        <v>103</v>
      </c>
      <c r="F44" s="51">
        <f t="shared" si="60"/>
        <v>36</v>
      </c>
      <c r="G44" s="51">
        <f>SUM(G46:G49)</f>
        <v>22.439999999999998</v>
      </c>
      <c r="H44" s="51">
        <f>SUM(H46:H49)</f>
        <v>21.63</v>
      </c>
      <c r="I44" s="51">
        <f t="shared" ref="I44:N44" si="61">SUM(I46:I48)</f>
        <v>9.8040000000000003</v>
      </c>
      <c r="J44" s="51">
        <f t="shared" si="61"/>
        <v>2.61</v>
      </c>
      <c r="K44" s="51">
        <f t="shared" si="61"/>
        <v>0</v>
      </c>
      <c r="L44" s="51">
        <f t="shared" si="61"/>
        <v>0</v>
      </c>
      <c r="M44" s="51">
        <f t="shared" si="61"/>
        <v>0</v>
      </c>
      <c r="N44" s="51">
        <f t="shared" si="61"/>
        <v>0</v>
      </c>
    </row>
    <row r="45" spans="2:14" ht="25.5">
      <c r="B45" s="51" t="s">
        <v>383</v>
      </c>
      <c r="C45" s="51">
        <f>+C46+C47+C48</f>
        <v>28</v>
      </c>
      <c r="D45" s="51">
        <f t="shared" ref="D45:I45" si="62">+D46+D47+D48</f>
        <v>77.66</v>
      </c>
      <c r="E45" s="51">
        <f t="shared" si="62"/>
        <v>38</v>
      </c>
      <c r="F45" s="51">
        <f t="shared" si="62"/>
        <v>36</v>
      </c>
      <c r="G45" s="51">
        <f t="shared" si="62"/>
        <v>22.439999999999998</v>
      </c>
      <c r="H45" s="51">
        <f t="shared" si="62"/>
        <v>21.63</v>
      </c>
      <c r="I45" s="51">
        <f t="shared" si="62"/>
        <v>9.8040000000000003</v>
      </c>
      <c r="J45" s="51">
        <f t="shared" ref="J45:N45" si="63">+J46+J47+J48</f>
        <v>2.61</v>
      </c>
      <c r="K45" s="51">
        <f t="shared" si="63"/>
        <v>0</v>
      </c>
      <c r="L45" s="51">
        <f t="shared" si="63"/>
        <v>0</v>
      </c>
      <c r="M45" s="51">
        <f t="shared" si="63"/>
        <v>0</v>
      </c>
      <c r="N45" s="51">
        <f t="shared" si="63"/>
        <v>0</v>
      </c>
    </row>
    <row r="46" spans="2:14" ht="18">
      <c r="B46" s="135" t="s">
        <v>121</v>
      </c>
      <c r="C46" s="94">
        <v>12.97</v>
      </c>
      <c r="D46" s="94">
        <v>28.99</v>
      </c>
      <c r="E46" s="94">
        <v>16.37</v>
      </c>
      <c r="F46" s="94">
        <v>10.85</v>
      </c>
      <c r="G46" s="94">
        <v>8.42</v>
      </c>
      <c r="H46" s="94">
        <v>8.11</v>
      </c>
      <c r="I46" s="155">
        <v>9.8040000000000003</v>
      </c>
      <c r="J46" s="155">
        <v>2.61</v>
      </c>
      <c r="K46" s="155"/>
      <c r="L46" s="155"/>
      <c r="M46" s="155"/>
      <c r="N46" s="155"/>
    </row>
    <row r="47" spans="2:14" ht="18">
      <c r="B47" s="135" t="s">
        <v>122</v>
      </c>
      <c r="C47" s="94"/>
      <c r="D47" s="94"/>
      <c r="E47" s="94"/>
      <c r="F47" s="94"/>
      <c r="G47" s="94"/>
      <c r="H47" s="94"/>
      <c r="I47" s="155"/>
      <c r="J47" s="155"/>
      <c r="K47" s="155"/>
      <c r="L47" s="155"/>
      <c r="M47" s="155"/>
      <c r="N47" s="155"/>
    </row>
    <row r="48" spans="2:14" ht="18">
      <c r="B48" s="135" t="s">
        <v>123</v>
      </c>
      <c r="C48" s="94">
        <v>15.03</v>
      </c>
      <c r="D48" s="94">
        <v>48.67</v>
      </c>
      <c r="E48" s="94">
        <v>21.63</v>
      </c>
      <c r="F48" s="94">
        <v>25.15</v>
      </c>
      <c r="G48" s="94">
        <v>14.02</v>
      </c>
      <c r="H48" s="94">
        <v>13.52</v>
      </c>
      <c r="I48" s="155"/>
      <c r="J48" s="155"/>
      <c r="K48" s="155"/>
      <c r="L48" s="155"/>
      <c r="M48" s="155"/>
      <c r="N48" s="155"/>
    </row>
    <row r="49" spans="2:16" ht="18">
      <c r="B49" s="135" t="s">
        <v>124</v>
      </c>
      <c r="C49" s="94"/>
      <c r="D49" s="94"/>
      <c r="E49" s="94">
        <v>65</v>
      </c>
      <c r="F49" s="94"/>
      <c r="G49" s="94"/>
      <c r="H49" s="94"/>
      <c r="I49" s="94"/>
      <c r="J49" s="94"/>
      <c r="K49" s="94"/>
      <c r="L49" s="94"/>
      <c r="M49" s="94"/>
      <c r="N49" s="94"/>
    </row>
    <row r="50" spans="2:16" ht="25.5">
      <c r="B50" s="541" t="s">
        <v>167</v>
      </c>
      <c r="C50" s="99">
        <f>(C47+C48+D46)/C40</f>
        <v>0.45555210597123047</v>
      </c>
      <c r="D50" s="99">
        <f t="shared" ref="D50:N50" si="64">(D47+D48+E46)/D40</f>
        <v>1.1916452913155002</v>
      </c>
      <c r="E50" s="99">
        <f t="shared" si="64"/>
        <v>0.89823008849557517</v>
      </c>
      <c r="F50" s="99">
        <f t="shared" si="64"/>
        <v>1.1967914438502674</v>
      </c>
      <c r="G50" s="99">
        <f t="shared" si="64"/>
        <v>0.81871994080651123</v>
      </c>
      <c r="H50" s="99">
        <f t="shared" si="64"/>
        <v>0.71370869033047735</v>
      </c>
      <c r="I50" s="99">
        <f t="shared" si="64"/>
        <v>0.29965556831228468</v>
      </c>
      <c r="J50" s="99" t="e">
        <f t="shared" si="64"/>
        <v>#DIV/0!</v>
      </c>
      <c r="K50" s="99" t="e">
        <f t="shared" si="64"/>
        <v>#DIV/0!</v>
      </c>
      <c r="L50" s="99" t="e">
        <f t="shared" si="64"/>
        <v>#DIV/0!</v>
      </c>
      <c r="M50" s="99" t="e">
        <f t="shared" si="64"/>
        <v>#DIV/0!</v>
      </c>
      <c r="N50" s="99" t="e">
        <f t="shared" si="64"/>
        <v>#DIV/0!</v>
      </c>
    </row>
    <row r="51" spans="2:16" ht="28.5">
      <c r="B51" s="540" t="s">
        <v>303</v>
      </c>
      <c r="C51" s="54">
        <f>AVERAGE(G50:I50)</f>
        <v>0.61069473314975775</v>
      </c>
      <c r="D51" s="54"/>
      <c r="E51" s="54"/>
      <c r="F51" s="54"/>
      <c r="G51" s="54"/>
      <c r="H51" s="54"/>
      <c r="I51" s="54"/>
      <c r="J51" s="54"/>
      <c r="K51" s="54"/>
      <c r="L51" s="54"/>
      <c r="M51" s="54"/>
      <c r="N51" s="54"/>
    </row>
    <row r="52" spans="2:16" ht="25.5">
      <c r="B52" s="541" t="s">
        <v>299</v>
      </c>
      <c r="C52" s="99">
        <f t="shared" ref="C52:I52" si="65">+C44/C19</f>
        <v>2.24E-2</v>
      </c>
      <c r="D52" s="99">
        <f t="shared" si="65"/>
        <v>6.8122807017543863E-2</v>
      </c>
      <c r="E52" s="99">
        <f t="shared" si="65"/>
        <v>9.6171802054155001E-2</v>
      </c>
      <c r="F52" s="99">
        <f t="shared" si="65"/>
        <v>3.4615384615384617E-2</v>
      </c>
      <c r="G52" s="99">
        <f t="shared" si="65"/>
        <v>2.2439999999999998E-2</v>
      </c>
      <c r="H52" s="99">
        <f t="shared" si="65"/>
        <v>2.1586826347305389E-2</v>
      </c>
      <c r="I52" s="99">
        <f t="shared" si="65"/>
        <v>1.6903448275862071E-2</v>
      </c>
      <c r="J52" s="99" t="e">
        <f t="shared" ref="J52:N52" si="66">+J44/J19</f>
        <v>#DIV/0!</v>
      </c>
      <c r="K52" s="99" t="e">
        <f t="shared" si="66"/>
        <v>#DIV/0!</v>
      </c>
      <c r="L52" s="99" t="e">
        <f t="shared" si="66"/>
        <v>#DIV/0!</v>
      </c>
      <c r="M52" s="99" t="e">
        <f t="shared" si="66"/>
        <v>#DIV/0!</v>
      </c>
      <c r="N52" s="99" t="e">
        <f t="shared" si="66"/>
        <v>#DIV/0!</v>
      </c>
    </row>
    <row r="53" spans="2:16" ht="25.5">
      <c r="B53" s="542" t="s">
        <v>384</v>
      </c>
      <c r="C53" s="534">
        <f>AVERAGE(G52:I52)</f>
        <v>2.0310091541055817E-2</v>
      </c>
      <c r="D53" s="534"/>
      <c r="E53" s="534"/>
      <c r="F53" s="534"/>
      <c r="G53" s="534"/>
      <c r="H53" s="534"/>
      <c r="I53" s="534"/>
      <c r="J53" s="534"/>
      <c r="K53" s="534"/>
      <c r="L53" s="534"/>
      <c r="M53" s="534"/>
      <c r="N53" s="534"/>
      <c r="O53" s="534"/>
      <c r="P53" s="534"/>
    </row>
    <row r="54" spans="2:16" ht="25.5">
      <c r="B54" s="543" t="s">
        <v>176</v>
      </c>
      <c r="C54" s="355">
        <f>+C41*(100%-C50)</f>
        <v>4.7155529892547725E-2</v>
      </c>
      <c r="D54" s="355">
        <f t="shared" ref="D54:I54" si="67">+D41*(100%-D50)</f>
        <v>-9.4937703351962773E-3</v>
      </c>
      <c r="E54" s="355">
        <f t="shared" si="67"/>
        <v>3.5379524538593061E-3</v>
      </c>
      <c r="F54" s="549">
        <f t="shared" si="67"/>
        <v>-5.3456086762446748E-3</v>
      </c>
      <c r="G54" s="355">
        <f t="shared" si="67"/>
        <v>4.7288640700832224E-3</v>
      </c>
      <c r="H54" s="355">
        <f t="shared" si="67"/>
        <v>8.9923993574406915E-3</v>
      </c>
      <c r="I54" s="355">
        <f t="shared" si="67"/>
        <v>3.4794865048854546E-3</v>
      </c>
      <c r="J54" s="355" t="e">
        <f t="shared" ref="J54:N54" si="68">+J41*(100%-J50)</f>
        <v>#DIV/0!</v>
      </c>
      <c r="K54" s="355" t="e">
        <f t="shared" si="68"/>
        <v>#DIV/0!</v>
      </c>
      <c r="L54" s="355" t="e">
        <f t="shared" si="68"/>
        <v>#DIV/0!</v>
      </c>
      <c r="M54" s="355" t="e">
        <f t="shared" si="68"/>
        <v>#DIV/0!</v>
      </c>
      <c r="N54" s="355" t="e">
        <f t="shared" si="68"/>
        <v>#DIV/0!</v>
      </c>
    </row>
    <row r="55" spans="2:16" ht="25.5">
      <c r="B55" s="542" t="s">
        <v>306</v>
      </c>
      <c r="C55" s="534">
        <f>AVERAGE(G54:I54)</f>
        <v>5.7335833108031224E-3</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v>42689768000</v>
      </c>
      <c r="D61" s="64">
        <v>37137625000</v>
      </c>
      <c r="E61" s="64">
        <v>26640902000</v>
      </c>
      <c r="F61" s="159">
        <v>22742771000</v>
      </c>
      <c r="G61" s="64">
        <v>22183786000</v>
      </c>
      <c r="H61" s="141">
        <v>28739684000</v>
      </c>
      <c r="I61" s="64">
        <v>28261202000</v>
      </c>
      <c r="J61" s="64"/>
      <c r="K61" s="64"/>
      <c r="L61" s="64"/>
      <c r="M61" s="64"/>
      <c r="N61" s="64"/>
    </row>
    <row r="62" spans="2:16">
      <c r="B62" s="59" t="s">
        <v>386</v>
      </c>
      <c r="C62" s="66"/>
      <c r="D62" s="66"/>
      <c r="E62" s="66"/>
      <c r="F62" s="66"/>
      <c r="G62" s="66"/>
      <c r="H62" s="160"/>
      <c r="I62" s="66"/>
      <c r="J62" s="66"/>
      <c r="K62" s="66"/>
      <c r="L62" s="66"/>
      <c r="M62" s="66"/>
      <c r="N62" s="66"/>
    </row>
    <row r="63" spans="2:16">
      <c r="B63" s="59" t="s">
        <v>387</v>
      </c>
      <c r="C63" s="66">
        <v>28353821000</v>
      </c>
      <c r="D63" s="66">
        <v>18630267000</v>
      </c>
      <c r="E63" s="66">
        <v>11864902000</v>
      </c>
      <c r="F63" s="66">
        <v>8718151000</v>
      </c>
      <c r="G63" s="66"/>
      <c r="H63" s="160"/>
      <c r="I63" s="66"/>
      <c r="J63" s="66"/>
      <c r="K63" s="66"/>
      <c r="L63" s="66"/>
      <c r="M63" s="66"/>
      <c r="N63" s="66"/>
    </row>
    <row r="64" spans="2:16">
      <c r="B64" s="59" t="s">
        <v>388</v>
      </c>
      <c r="C64" s="66"/>
      <c r="D64" s="66"/>
      <c r="E64" s="66"/>
      <c r="F64" s="66"/>
      <c r="G64" s="66"/>
      <c r="H64" s="160"/>
      <c r="I64" s="66"/>
      <c r="J64" s="66"/>
      <c r="K64" s="66"/>
      <c r="L64" s="66"/>
      <c r="M64" s="66"/>
      <c r="N64" s="66"/>
    </row>
    <row r="65" spans="2:14">
      <c r="B65" s="59" t="s">
        <v>389</v>
      </c>
      <c r="C65" s="66">
        <v>4909185000</v>
      </c>
      <c r="D65" s="66">
        <v>5046648000</v>
      </c>
      <c r="E65" s="66">
        <v>6446433000</v>
      </c>
      <c r="F65" s="66">
        <v>5811078000</v>
      </c>
      <c r="G65" s="66">
        <v>8097313000</v>
      </c>
      <c r="H65" s="160">
        <v>12909057000</v>
      </c>
      <c r="I65" s="66">
        <v>10810909000</v>
      </c>
      <c r="J65" s="66"/>
      <c r="K65" s="66"/>
      <c r="L65" s="66"/>
      <c r="M65" s="66"/>
      <c r="N65" s="66"/>
    </row>
    <row r="66" spans="2:14">
      <c r="B66" s="59" t="s">
        <v>390</v>
      </c>
      <c r="C66" s="66"/>
      <c r="D66" s="66"/>
      <c r="E66" s="66"/>
      <c r="F66" s="66"/>
      <c r="G66" s="66"/>
      <c r="H66" s="160"/>
      <c r="I66" s="66"/>
      <c r="J66" s="66"/>
      <c r="K66" s="66"/>
      <c r="L66" s="66"/>
      <c r="M66" s="66"/>
      <c r="N66" s="66"/>
    </row>
    <row r="67" spans="2:14">
      <c r="B67" s="59" t="s">
        <v>391</v>
      </c>
      <c r="C67" s="161">
        <v>3843916000</v>
      </c>
      <c r="D67" s="66">
        <v>4856537000</v>
      </c>
      <c r="E67" s="66">
        <v>5400620000</v>
      </c>
      <c r="F67" s="66">
        <v>5558672000</v>
      </c>
      <c r="G67" s="66">
        <v>7394022000</v>
      </c>
      <c r="H67" s="160">
        <v>9691161000</v>
      </c>
      <c r="I67" s="66">
        <v>12486470000</v>
      </c>
      <c r="J67" s="66"/>
      <c r="K67" s="66"/>
      <c r="L67" s="66"/>
      <c r="M67" s="66"/>
      <c r="N67" s="66"/>
    </row>
    <row r="68" spans="2:14">
      <c r="B68" s="59" t="s">
        <v>392</v>
      </c>
      <c r="C68" s="66"/>
      <c r="D68" s="66"/>
      <c r="E68" s="66"/>
      <c r="F68" s="66"/>
      <c r="G68" s="66"/>
      <c r="H68" s="160"/>
      <c r="I68" s="66"/>
      <c r="J68" s="66"/>
      <c r="K68" s="66"/>
      <c r="L68" s="66"/>
      <c r="M68" s="66"/>
      <c r="N68" s="66"/>
    </row>
    <row r="69" spans="2:14">
      <c r="B69" s="59" t="s">
        <v>318</v>
      </c>
      <c r="C69" s="66">
        <f t="shared" ref="C69:L69" si="69">+C61-C62-C67-C68-C66-C65-C64-C63</f>
        <v>5582846000</v>
      </c>
      <c r="D69" s="66">
        <f t="shared" si="69"/>
        <v>8604173000</v>
      </c>
      <c r="E69" s="66">
        <f t="shared" si="69"/>
        <v>2928947000</v>
      </c>
      <c r="F69" s="66">
        <f t="shared" si="69"/>
        <v>2654870000</v>
      </c>
      <c r="G69" s="66">
        <f t="shared" si="69"/>
        <v>6692451000</v>
      </c>
      <c r="H69" s="66">
        <f t="shared" si="69"/>
        <v>6139466000</v>
      </c>
      <c r="I69" s="66">
        <f t="shared" si="69"/>
        <v>4963823000</v>
      </c>
      <c r="J69" s="66">
        <f t="shared" si="69"/>
        <v>0</v>
      </c>
      <c r="K69" s="66">
        <f t="shared" si="69"/>
        <v>0</v>
      </c>
      <c r="L69" s="66">
        <f t="shared" si="69"/>
        <v>0</v>
      </c>
      <c r="M69" s="66"/>
      <c r="N69" s="66"/>
    </row>
    <row r="70" spans="2:14">
      <c r="B70" s="58" t="s">
        <v>319</v>
      </c>
      <c r="C70" s="64">
        <v>39729564000</v>
      </c>
      <c r="D70" s="64">
        <v>43441778000</v>
      </c>
      <c r="E70" s="64">
        <v>50387667000</v>
      </c>
      <c r="F70" s="159">
        <v>58375084000</v>
      </c>
      <c r="G70" s="64">
        <v>64301233000</v>
      </c>
      <c r="H70" s="141">
        <v>70292982000</v>
      </c>
      <c r="I70" s="64">
        <v>138441740000</v>
      </c>
      <c r="J70" s="64"/>
      <c r="K70" s="64"/>
      <c r="L70" s="64"/>
      <c r="M70" s="64"/>
      <c r="N70" s="64"/>
    </row>
    <row r="71" spans="2:14">
      <c r="B71" s="59" t="s">
        <v>393</v>
      </c>
      <c r="C71" s="66"/>
      <c r="D71" s="66"/>
      <c r="E71" s="66"/>
      <c r="F71" s="66"/>
      <c r="G71" s="66"/>
      <c r="H71" s="160"/>
      <c r="I71" s="66"/>
      <c r="J71" s="66"/>
      <c r="K71" s="66"/>
      <c r="L71" s="66"/>
      <c r="M71" s="66"/>
      <c r="N71" s="66"/>
    </row>
    <row r="72" spans="2:14">
      <c r="B72" s="59" t="s">
        <v>394</v>
      </c>
      <c r="C72" s="66"/>
      <c r="D72" s="66"/>
      <c r="E72" s="66"/>
      <c r="F72" s="66"/>
      <c r="G72" s="66"/>
      <c r="H72" s="160"/>
      <c r="I72" s="66"/>
      <c r="J72" s="66"/>
      <c r="K72" s="66"/>
      <c r="L72" s="66"/>
      <c r="M72" s="66"/>
      <c r="N72" s="66"/>
    </row>
    <row r="73" spans="2:14">
      <c r="B73" s="59" t="s">
        <v>395</v>
      </c>
      <c r="C73" s="66"/>
      <c r="D73" s="66"/>
      <c r="E73" s="66"/>
      <c r="F73" s="66"/>
      <c r="G73" s="66"/>
      <c r="H73" s="160"/>
      <c r="I73" s="66"/>
      <c r="J73" s="66"/>
      <c r="K73" s="66"/>
      <c r="L73" s="66"/>
      <c r="M73" s="66"/>
      <c r="N73" s="66"/>
    </row>
    <row r="74" spans="2:14">
      <c r="B74" s="59" t="s">
        <v>396</v>
      </c>
      <c r="C74" s="66"/>
      <c r="D74" s="66"/>
      <c r="E74" s="66"/>
      <c r="F74" s="66"/>
      <c r="G74" s="66"/>
      <c r="H74" s="160"/>
      <c r="I74" s="66"/>
      <c r="J74" s="66"/>
      <c r="K74" s="66"/>
      <c r="L74" s="66"/>
      <c r="M74" s="66"/>
      <c r="N74" s="66"/>
    </row>
    <row r="75" spans="2:14">
      <c r="B75" s="59" t="s">
        <v>397</v>
      </c>
      <c r="C75" s="66"/>
      <c r="D75" s="66"/>
      <c r="E75" s="66"/>
      <c r="F75" s="66"/>
      <c r="G75" s="66"/>
      <c r="H75" s="160"/>
      <c r="I75" s="66"/>
      <c r="J75" s="66"/>
      <c r="K75" s="66"/>
      <c r="L75" s="66"/>
      <c r="M75" s="66"/>
      <c r="N75" s="66"/>
    </row>
    <row r="76" spans="2:14">
      <c r="B76" s="59" t="s">
        <v>398</v>
      </c>
      <c r="C76" s="66">
        <v>32341746000</v>
      </c>
      <c r="D76" s="66">
        <v>35616016000</v>
      </c>
      <c r="E76" s="66">
        <v>41664308000</v>
      </c>
      <c r="F76" s="66">
        <v>49642324000</v>
      </c>
      <c r="G76" s="66">
        <v>54488226000</v>
      </c>
      <c r="H76" s="160">
        <v>59017264000</v>
      </c>
      <c r="I76" s="66">
        <v>125414095000</v>
      </c>
      <c r="J76" s="66"/>
      <c r="K76" s="66"/>
      <c r="L76" s="66"/>
      <c r="M76" s="66"/>
      <c r="N76" s="66"/>
    </row>
    <row r="77" spans="2:14">
      <c r="B77" s="59" t="s">
        <v>399</v>
      </c>
      <c r="C77" s="66"/>
      <c r="D77" s="66"/>
      <c r="E77" s="66"/>
      <c r="F77" s="66"/>
      <c r="G77" s="66"/>
      <c r="H77" s="160"/>
      <c r="I77" s="66"/>
      <c r="J77" s="66"/>
      <c r="K77" s="66"/>
      <c r="L77" s="66"/>
      <c r="M77" s="66"/>
      <c r="N77" s="66"/>
    </row>
    <row r="78" spans="2:14">
      <c r="B78" s="59" t="s">
        <v>400</v>
      </c>
      <c r="C78" s="66"/>
      <c r="D78" s="66"/>
      <c r="E78" s="66"/>
      <c r="F78" s="161"/>
      <c r="G78" s="66"/>
      <c r="H78" s="160"/>
      <c r="I78" s="66"/>
      <c r="J78" s="66"/>
      <c r="K78" s="66"/>
      <c r="L78" s="66"/>
      <c r="M78" s="66"/>
      <c r="N78" s="66"/>
    </row>
    <row r="79" spans="2:14">
      <c r="B79" s="59" t="s">
        <v>401</v>
      </c>
      <c r="C79" s="66"/>
      <c r="D79" s="66"/>
      <c r="E79" s="66"/>
      <c r="F79" s="66"/>
      <c r="G79" s="66"/>
      <c r="H79" s="160"/>
      <c r="I79" s="66"/>
      <c r="J79" s="66"/>
      <c r="K79" s="66"/>
      <c r="L79" s="66"/>
      <c r="M79" s="66"/>
      <c r="N79" s="66"/>
    </row>
    <row r="80" spans="2:14">
      <c r="B80" s="59" t="s">
        <v>328</v>
      </c>
      <c r="C80" s="66">
        <f t="shared" ref="C80:I80" si="70">+C70-C77-C78-C76-C71-C79-C75-C74-C73-C72</f>
        <v>7387818000</v>
      </c>
      <c r="D80" s="66">
        <f t="shared" si="70"/>
        <v>7825762000</v>
      </c>
      <c r="E80" s="66">
        <f t="shared" si="70"/>
        <v>8723359000</v>
      </c>
      <c r="F80" s="66">
        <f t="shared" si="70"/>
        <v>8732760000</v>
      </c>
      <c r="G80" s="66">
        <f t="shared" si="70"/>
        <v>9813007000</v>
      </c>
      <c r="H80" s="66">
        <f t="shared" si="70"/>
        <v>11275718000</v>
      </c>
      <c r="I80" s="66">
        <f t="shared" si="70"/>
        <v>13027645000</v>
      </c>
      <c r="J80" s="66"/>
      <c r="K80" s="66"/>
      <c r="L80" s="66"/>
      <c r="M80" s="66"/>
      <c r="N80" s="66"/>
    </row>
    <row r="81" spans="2:14" ht="14.65" thickBot="1">
      <c r="B81" s="60" t="s">
        <v>329</v>
      </c>
      <c r="C81" s="70">
        <f t="shared" ref="C81:I81" si="71">+C70+C61</f>
        <v>82419332000</v>
      </c>
      <c r="D81" s="70">
        <f t="shared" si="71"/>
        <v>80579403000</v>
      </c>
      <c r="E81" s="70">
        <f t="shared" si="71"/>
        <v>77028569000</v>
      </c>
      <c r="F81" s="70">
        <f t="shared" si="71"/>
        <v>81117855000</v>
      </c>
      <c r="G81" s="70">
        <f t="shared" si="71"/>
        <v>86485019000</v>
      </c>
      <c r="H81" s="162">
        <f t="shared" si="71"/>
        <v>99032666000</v>
      </c>
      <c r="I81" s="162">
        <f t="shared" si="71"/>
        <v>166702942000</v>
      </c>
      <c r="J81" s="70"/>
      <c r="K81" s="70"/>
      <c r="L81" s="70"/>
      <c r="M81" s="70"/>
      <c r="N81" s="70"/>
    </row>
    <row r="82" spans="2:14" ht="14.65" thickBot="1">
      <c r="B82" s="61"/>
      <c r="C82" s="72"/>
      <c r="D82" s="72"/>
      <c r="E82" s="72"/>
      <c r="F82" s="72"/>
      <c r="G82" s="72"/>
      <c r="H82" s="163"/>
      <c r="I82" s="72"/>
      <c r="J82" s="72"/>
      <c r="K82" s="72"/>
      <c r="L82" s="72"/>
      <c r="M82" s="72"/>
      <c r="N82" s="72"/>
    </row>
    <row r="83" spans="2:14">
      <c r="B83" s="57" t="s">
        <v>330</v>
      </c>
      <c r="C83" s="62"/>
      <c r="D83" s="62"/>
      <c r="E83" s="62"/>
      <c r="F83" s="62"/>
      <c r="G83" s="62"/>
      <c r="H83" s="164"/>
      <c r="I83" s="62"/>
      <c r="J83" s="62"/>
      <c r="K83" s="62"/>
      <c r="L83" s="62"/>
      <c r="M83" s="62"/>
      <c r="N83" s="62"/>
    </row>
    <row r="84" spans="2:14">
      <c r="B84" s="58" t="s">
        <v>310</v>
      </c>
      <c r="C84" s="64">
        <v>6480104000</v>
      </c>
      <c r="D84" s="64">
        <v>7380792000</v>
      </c>
      <c r="E84" s="64">
        <v>7790582000</v>
      </c>
      <c r="F84" s="64">
        <v>8682995000</v>
      </c>
      <c r="G84" s="64">
        <v>14477804000</v>
      </c>
      <c r="H84" s="141">
        <v>22441247000</v>
      </c>
      <c r="I84" s="64">
        <v>24114039000</v>
      </c>
      <c r="J84" s="64"/>
      <c r="K84" s="64"/>
      <c r="L84" s="64"/>
      <c r="M84" s="64"/>
      <c r="N84" s="64"/>
    </row>
    <row r="85" spans="2:14">
      <c r="B85" s="59" t="s">
        <v>402</v>
      </c>
      <c r="C85" s="66"/>
      <c r="D85" s="66"/>
      <c r="E85" s="66">
        <v>1879067000</v>
      </c>
      <c r="F85" s="66">
        <v>3173055000</v>
      </c>
      <c r="G85" s="66">
        <v>7602083000</v>
      </c>
      <c r="H85" s="160">
        <v>14088942000</v>
      </c>
      <c r="I85" s="66">
        <v>14581128000</v>
      </c>
      <c r="J85" s="66"/>
      <c r="K85" s="66"/>
      <c r="L85" s="66"/>
      <c r="M85" s="66"/>
      <c r="N85" s="66"/>
    </row>
    <row r="86" spans="2:14">
      <c r="B86" s="59" t="s">
        <v>403</v>
      </c>
      <c r="C86" s="66"/>
      <c r="D86" s="66"/>
      <c r="E86" s="66"/>
      <c r="F86" s="66"/>
      <c r="G86" s="66"/>
      <c r="H86" s="160"/>
      <c r="I86" s="66"/>
      <c r="J86" s="66"/>
      <c r="K86" s="66"/>
      <c r="L86" s="66"/>
      <c r="M86" s="66"/>
      <c r="N86" s="66"/>
    </row>
    <row r="87" spans="2:14">
      <c r="B87" s="59" t="s">
        <v>404</v>
      </c>
      <c r="C87" s="66"/>
      <c r="D87" s="66"/>
      <c r="E87" s="66"/>
      <c r="F87" s="66"/>
      <c r="G87" s="66"/>
      <c r="H87" s="160"/>
      <c r="I87" s="66"/>
      <c r="J87" s="66"/>
      <c r="K87" s="66"/>
      <c r="L87" s="66"/>
      <c r="M87" s="66"/>
      <c r="N87" s="66"/>
    </row>
    <row r="88" spans="2:14">
      <c r="B88" s="59" t="s">
        <v>405</v>
      </c>
      <c r="C88" s="66">
        <v>3443727000</v>
      </c>
      <c r="D88" s="66">
        <v>4082149000</v>
      </c>
      <c r="E88" s="66"/>
      <c r="F88" s="66"/>
      <c r="G88" s="66"/>
      <c r="H88" s="160"/>
      <c r="I88" s="66"/>
      <c r="J88" s="66"/>
      <c r="K88" s="66"/>
      <c r="L88" s="66"/>
      <c r="M88" s="66"/>
      <c r="N88" s="66"/>
    </row>
    <row r="89" spans="2:14">
      <c r="B89" s="59" t="s">
        <v>406</v>
      </c>
      <c r="C89" s="66"/>
      <c r="D89" s="66"/>
      <c r="E89" s="66"/>
      <c r="F89" s="66"/>
      <c r="G89" s="66"/>
      <c r="H89" s="160"/>
      <c r="I89" s="66"/>
      <c r="J89" s="66"/>
      <c r="K89" s="66"/>
      <c r="L89" s="66"/>
      <c r="M89" s="66"/>
      <c r="N89" s="66"/>
    </row>
    <row r="90" spans="2:14">
      <c r="B90" s="59" t="s">
        <v>407</v>
      </c>
      <c r="C90" s="66"/>
      <c r="D90" s="66"/>
      <c r="E90" s="66"/>
      <c r="F90" s="66"/>
      <c r="G90" s="66"/>
      <c r="H90" s="160"/>
      <c r="I90" s="66"/>
      <c r="J90" s="66"/>
      <c r="K90" s="66"/>
      <c r="L90" s="66"/>
      <c r="M90" s="66"/>
      <c r="N90" s="66"/>
    </row>
    <row r="91" spans="2:14">
      <c r="B91" s="59" t="s">
        <v>408</v>
      </c>
      <c r="C91" s="66"/>
      <c r="D91" s="66"/>
      <c r="E91" s="66"/>
      <c r="F91" s="66"/>
      <c r="G91" s="66"/>
      <c r="H91" s="160"/>
      <c r="I91" s="66"/>
      <c r="J91" s="66"/>
      <c r="K91" s="66"/>
      <c r="L91" s="66"/>
      <c r="M91" s="66"/>
      <c r="N91" s="66"/>
    </row>
    <row r="92" spans="2:14">
      <c r="B92" s="59" t="s">
        <v>409</v>
      </c>
      <c r="C92" s="66"/>
      <c r="D92" s="66"/>
      <c r="E92" s="66"/>
      <c r="F92" s="66"/>
      <c r="G92" s="66"/>
      <c r="H92" s="160"/>
      <c r="I92" s="66"/>
      <c r="J92" s="66"/>
      <c r="K92" s="66"/>
      <c r="L92" s="66"/>
      <c r="M92" s="66"/>
      <c r="N92" s="66"/>
    </row>
    <row r="93" spans="2:14">
      <c r="B93" s="59" t="s">
        <v>410</v>
      </c>
      <c r="C93" s="66">
        <f t="shared" ref="C93:L93" si="72">+C84-C85-C91-C92-C90-C89-C88-C87-C86</f>
        <v>3036377000</v>
      </c>
      <c r="D93" s="66">
        <f t="shared" si="72"/>
        <v>3298643000</v>
      </c>
      <c r="E93" s="66">
        <f t="shared" si="72"/>
        <v>5911515000</v>
      </c>
      <c r="F93" s="66">
        <f t="shared" si="72"/>
        <v>5509940000</v>
      </c>
      <c r="G93" s="66">
        <f t="shared" si="72"/>
        <v>6875721000</v>
      </c>
      <c r="H93" s="66">
        <f t="shared" si="72"/>
        <v>8352305000</v>
      </c>
      <c r="I93" s="66">
        <f t="shared" si="72"/>
        <v>9532911000</v>
      </c>
      <c r="J93" s="66">
        <f t="shared" si="72"/>
        <v>0</v>
      </c>
      <c r="K93" s="66">
        <f t="shared" si="72"/>
        <v>0</v>
      </c>
      <c r="L93" s="66">
        <f t="shared" si="72"/>
        <v>0</v>
      </c>
      <c r="M93" s="66"/>
      <c r="N93" s="66"/>
    </row>
    <row r="94" spans="2:14">
      <c r="B94" s="58" t="s">
        <v>319</v>
      </c>
      <c r="C94" s="64">
        <v>7256385000</v>
      </c>
      <c r="D94" s="64">
        <v>5383020000</v>
      </c>
      <c r="E94" s="64">
        <v>5196505000</v>
      </c>
      <c r="F94" s="64">
        <v>8747832000</v>
      </c>
      <c r="G94" s="64">
        <v>8224653000</v>
      </c>
      <c r="H94" s="141">
        <v>12509185000</v>
      </c>
      <c r="I94" s="64">
        <v>34684575000</v>
      </c>
      <c r="J94" s="64"/>
      <c r="K94" s="64"/>
      <c r="L94" s="64"/>
      <c r="M94" s="64"/>
      <c r="N94" s="64"/>
    </row>
    <row r="95" spans="2:14">
      <c r="B95" s="59" t="s">
        <v>411</v>
      </c>
      <c r="C95" s="66"/>
      <c r="D95" s="66"/>
      <c r="E95" s="66"/>
      <c r="F95" s="66"/>
      <c r="G95" s="66"/>
      <c r="H95" s="160"/>
      <c r="I95" s="66"/>
      <c r="J95" s="66"/>
      <c r="K95" s="66"/>
      <c r="L95" s="66"/>
      <c r="M95" s="66"/>
      <c r="N95" s="66"/>
    </row>
    <row r="96" spans="2:14">
      <c r="B96" s="59" t="s">
        <v>412</v>
      </c>
      <c r="C96" s="66"/>
      <c r="D96" s="66"/>
      <c r="E96" s="66"/>
      <c r="F96" s="66"/>
      <c r="G96" s="66"/>
      <c r="H96" s="160"/>
      <c r="I96" s="66"/>
      <c r="J96" s="66"/>
      <c r="K96" s="66"/>
      <c r="L96" s="66"/>
      <c r="M96" s="66"/>
      <c r="N96" s="66"/>
    </row>
    <row r="97" spans="2:14">
      <c r="B97" s="59" t="s">
        <v>413</v>
      </c>
      <c r="C97" s="66"/>
      <c r="D97" s="66"/>
      <c r="E97" s="66"/>
      <c r="F97" s="66"/>
      <c r="G97" s="66"/>
      <c r="H97" s="160"/>
      <c r="I97" s="66"/>
      <c r="J97" s="66"/>
      <c r="K97" s="66"/>
      <c r="L97" s="66"/>
      <c r="M97" s="66"/>
      <c r="N97" s="66"/>
    </row>
    <row r="98" spans="2:14">
      <c r="B98" s="59" t="s">
        <v>414</v>
      </c>
      <c r="C98" s="66"/>
      <c r="D98" s="66"/>
      <c r="E98" s="66"/>
      <c r="F98" s="66"/>
      <c r="G98" s="66"/>
      <c r="H98" s="160"/>
      <c r="I98" s="66"/>
      <c r="J98" s="66"/>
      <c r="K98" s="66"/>
      <c r="L98" s="66"/>
      <c r="M98" s="66"/>
      <c r="N98" s="66"/>
    </row>
    <row r="99" spans="2:14">
      <c r="B99" s="59" t="s">
        <v>341</v>
      </c>
      <c r="C99" s="66">
        <f t="shared" ref="C99:I99" si="73">+C94-C95-C97-C98-C96</f>
        <v>7256385000</v>
      </c>
      <c r="D99" s="66">
        <f t="shared" si="73"/>
        <v>5383020000</v>
      </c>
      <c r="E99" s="66">
        <f t="shared" si="73"/>
        <v>5196505000</v>
      </c>
      <c r="F99" s="66">
        <f t="shared" si="73"/>
        <v>8747832000</v>
      </c>
      <c r="G99" s="66">
        <f t="shared" si="73"/>
        <v>8224653000</v>
      </c>
      <c r="H99" s="66">
        <f t="shared" si="73"/>
        <v>12509185000</v>
      </c>
      <c r="I99" s="66">
        <f t="shared" si="73"/>
        <v>34684575000</v>
      </c>
      <c r="J99" s="66"/>
      <c r="K99" s="66"/>
      <c r="L99" s="66"/>
      <c r="M99" s="66"/>
      <c r="N99" s="66"/>
    </row>
    <row r="100" spans="2:14" ht="14.65" thickBot="1">
      <c r="B100" s="60" t="s">
        <v>342</v>
      </c>
      <c r="C100" s="70">
        <f t="shared" ref="C100:I100" si="74">+C94+C84</f>
        <v>13736489000</v>
      </c>
      <c r="D100" s="70">
        <f t="shared" si="74"/>
        <v>12763812000</v>
      </c>
      <c r="E100" s="70">
        <f t="shared" si="74"/>
        <v>12987087000</v>
      </c>
      <c r="F100" s="70">
        <f t="shared" si="74"/>
        <v>17430827000</v>
      </c>
      <c r="G100" s="70">
        <f t="shared" si="74"/>
        <v>22702457000</v>
      </c>
      <c r="H100" s="162">
        <f t="shared" si="74"/>
        <v>34950432000</v>
      </c>
      <c r="I100" s="162">
        <f t="shared" si="74"/>
        <v>58798614000</v>
      </c>
      <c r="J100" s="70"/>
      <c r="K100" s="70"/>
      <c r="L100" s="70"/>
      <c r="M100" s="70"/>
      <c r="N100" s="70"/>
    </row>
    <row r="101" spans="2:14" ht="14.65" thickBot="1">
      <c r="B101" s="61"/>
      <c r="C101" s="61"/>
      <c r="D101" s="61"/>
      <c r="E101" s="61"/>
      <c r="F101" s="61"/>
      <c r="G101" s="61"/>
      <c r="H101" s="61"/>
      <c r="I101" s="61"/>
      <c r="J101" s="61"/>
      <c r="K101" s="61"/>
      <c r="L101" s="61"/>
      <c r="M101" s="61"/>
      <c r="N101" s="61"/>
    </row>
    <row r="102" spans="2:14">
      <c r="B102" s="57" t="s">
        <v>343</v>
      </c>
      <c r="C102" s="62"/>
      <c r="D102" s="62"/>
      <c r="E102" s="62"/>
      <c r="F102" s="62"/>
      <c r="G102" s="62"/>
      <c r="H102" s="164"/>
      <c r="I102" s="62"/>
      <c r="J102" s="62"/>
      <c r="K102" s="62"/>
      <c r="L102" s="62"/>
      <c r="M102" s="62"/>
      <c r="N102" s="62"/>
    </row>
    <row r="103" spans="2:14">
      <c r="B103" s="59" t="s">
        <v>415</v>
      </c>
      <c r="C103" s="160">
        <v>24992489000</v>
      </c>
      <c r="D103" s="160">
        <v>24992489000</v>
      </c>
      <c r="E103" s="160">
        <v>24992489000</v>
      </c>
      <c r="F103" s="160">
        <v>24992489000</v>
      </c>
      <c r="G103" s="160">
        <v>24992489000</v>
      </c>
      <c r="H103" s="160">
        <v>24992489000</v>
      </c>
      <c r="I103" s="160">
        <v>24992489000</v>
      </c>
      <c r="J103" s="160"/>
      <c r="K103" s="160"/>
      <c r="L103" s="160"/>
      <c r="M103" s="160"/>
      <c r="N103" s="160"/>
    </row>
    <row r="104" spans="2:14">
      <c r="B104" s="59" t="s">
        <v>416</v>
      </c>
      <c r="C104" s="66">
        <v>39934569000</v>
      </c>
      <c r="D104" s="66">
        <v>38756839000</v>
      </c>
      <c r="E104" s="66">
        <v>34988818000</v>
      </c>
      <c r="F104" s="66">
        <v>34649784000</v>
      </c>
      <c r="G104" s="66">
        <v>34951117000</v>
      </c>
      <c r="H104" s="160">
        <v>35526542000</v>
      </c>
      <c r="I104" s="66">
        <v>35901495000</v>
      </c>
      <c r="J104" s="66"/>
      <c r="K104" s="66"/>
      <c r="L104" s="66"/>
      <c r="M104" s="66"/>
      <c r="N104" s="66"/>
    </row>
    <row r="105" spans="2:14">
      <c r="B105" s="59" t="s">
        <v>345</v>
      </c>
      <c r="C105" s="66">
        <v>3686530000</v>
      </c>
      <c r="D105" s="66">
        <v>4007763000</v>
      </c>
      <c r="E105" s="66">
        <v>3994311000</v>
      </c>
      <c r="F105" s="66">
        <v>3873962000</v>
      </c>
      <c r="G105" s="66">
        <v>3788996000</v>
      </c>
      <c r="H105" s="160">
        <v>3469520000</v>
      </c>
      <c r="I105" s="66">
        <v>46919825000</v>
      </c>
      <c r="J105" s="66"/>
      <c r="K105" s="66"/>
      <c r="L105" s="66"/>
      <c r="M105" s="66"/>
      <c r="N105" s="66"/>
    </row>
    <row r="106" spans="2:14">
      <c r="B106" s="59" t="s">
        <v>419</v>
      </c>
      <c r="C106" s="66">
        <v>69255000</v>
      </c>
      <c r="D106" s="66">
        <v>58500000</v>
      </c>
      <c r="E106" s="66">
        <v>65864000</v>
      </c>
      <c r="F106" s="66">
        <v>170793000</v>
      </c>
      <c r="G106" s="66">
        <v>59960000</v>
      </c>
      <c r="H106" s="160">
        <v>93683000</v>
      </c>
      <c r="I106" s="66">
        <v>90519000</v>
      </c>
      <c r="J106" s="66"/>
      <c r="K106" s="66"/>
      <c r="L106" s="66"/>
      <c r="M106" s="66"/>
      <c r="N106" s="66"/>
    </row>
    <row r="107" spans="2:14" ht="14.65" thickBot="1">
      <c r="B107" s="60" t="s">
        <v>420</v>
      </c>
      <c r="C107" s="70">
        <f t="shared" ref="C107:F107" si="75">+C103+C105+C104</f>
        <v>68613588000</v>
      </c>
      <c r="D107" s="70">
        <f t="shared" si="75"/>
        <v>67757091000</v>
      </c>
      <c r="E107" s="70">
        <f t="shared" si="75"/>
        <v>63975618000</v>
      </c>
      <c r="F107" s="70">
        <f t="shared" si="75"/>
        <v>63516235000</v>
      </c>
      <c r="G107" s="70">
        <f>+G103+G105+G104</f>
        <v>63732602000</v>
      </c>
      <c r="H107" s="70">
        <f>+H103+H105+H104</f>
        <v>63988551000</v>
      </c>
      <c r="I107" s="70">
        <f>+I103+I105+I104</f>
        <v>107813809000</v>
      </c>
      <c r="J107" s="70"/>
      <c r="K107" s="70"/>
      <c r="L107" s="70"/>
      <c r="M107" s="70"/>
      <c r="N107" s="70"/>
    </row>
    <row r="108" spans="2:14" ht="14.65" thickBot="1">
      <c r="B108" s="60" t="s">
        <v>347</v>
      </c>
      <c r="C108" s="70">
        <f>+C107+C106</f>
        <v>68682843000</v>
      </c>
      <c r="D108" s="70">
        <f t="shared" ref="D108:I108" si="76">+D107+D106</f>
        <v>67815591000</v>
      </c>
      <c r="E108" s="70">
        <f t="shared" si="76"/>
        <v>64041482000</v>
      </c>
      <c r="F108" s="70">
        <f t="shared" si="76"/>
        <v>63687028000</v>
      </c>
      <c r="G108" s="70">
        <f t="shared" si="76"/>
        <v>63792562000</v>
      </c>
      <c r="H108" s="70">
        <f t="shared" si="76"/>
        <v>64082234000</v>
      </c>
      <c r="I108" s="70">
        <f t="shared" si="76"/>
        <v>107904328000</v>
      </c>
      <c r="J108" s="70">
        <f t="shared" ref="J108:N108" si="77">+J107+J106</f>
        <v>0</v>
      </c>
      <c r="K108" s="70">
        <f t="shared" si="77"/>
        <v>0</v>
      </c>
      <c r="L108" s="70">
        <f t="shared" si="77"/>
        <v>0</v>
      </c>
      <c r="M108" s="70">
        <f t="shared" si="77"/>
        <v>0</v>
      </c>
      <c r="N108" s="70">
        <f t="shared" si="77"/>
        <v>0</v>
      </c>
    </row>
    <row r="110" spans="2:14" ht="14.65" thickBot="1">
      <c r="B110" s="75" t="s">
        <v>348</v>
      </c>
    </row>
    <row r="111" spans="2:14" ht="14.65" thickBot="1">
      <c r="B111" s="82" t="s">
        <v>308</v>
      </c>
      <c r="C111" s="88">
        <v>2017</v>
      </c>
      <c r="D111" s="88">
        <v>2018</v>
      </c>
      <c r="E111" s="88">
        <v>2019</v>
      </c>
      <c r="F111" s="88">
        <v>2020</v>
      </c>
      <c r="G111" s="88">
        <v>2021</v>
      </c>
      <c r="H111" s="88">
        <v>2022</v>
      </c>
      <c r="I111" s="88">
        <v>2023</v>
      </c>
      <c r="J111" s="88">
        <v>2024</v>
      </c>
      <c r="K111" s="88">
        <v>2025</v>
      </c>
      <c r="L111" s="88">
        <v>2026</v>
      </c>
      <c r="M111" s="88">
        <v>2027</v>
      </c>
      <c r="N111" s="88">
        <v>2028</v>
      </c>
    </row>
    <row r="112" spans="2:14">
      <c r="B112" s="83" t="s">
        <v>349</v>
      </c>
      <c r="C112" s="90">
        <v>24017319000</v>
      </c>
      <c r="D112" s="90">
        <v>25880206000</v>
      </c>
      <c r="E112" s="90">
        <v>25915654000</v>
      </c>
      <c r="F112" s="90">
        <v>28258004000</v>
      </c>
      <c r="G112" s="90">
        <v>31053631000</v>
      </c>
      <c r="H112" s="90">
        <v>40838576000</v>
      </c>
      <c r="I112" s="90">
        <v>36913239000</v>
      </c>
      <c r="J112" s="90"/>
      <c r="K112" s="90"/>
      <c r="L112" s="90"/>
      <c r="M112" s="90"/>
      <c r="N112" s="90"/>
    </row>
    <row r="113" spans="2:14">
      <c r="B113" s="85" t="s">
        <v>534</v>
      </c>
      <c r="C113" s="66">
        <v>-13250446000</v>
      </c>
      <c r="D113" s="66">
        <v>-15239901000</v>
      </c>
      <c r="E113" s="66">
        <v>-15561279000</v>
      </c>
      <c r="F113" s="66">
        <v>-16549513000</v>
      </c>
      <c r="G113" s="66">
        <v>-18962795000</v>
      </c>
      <c r="H113" s="66">
        <v>-26062510000</v>
      </c>
      <c r="I113" s="66">
        <f>-23788825000+1432677000</f>
        <v>-22356148000</v>
      </c>
      <c r="J113" s="66"/>
      <c r="K113" s="66"/>
      <c r="L113" s="66"/>
      <c r="M113" s="66"/>
      <c r="N113" s="66"/>
    </row>
    <row r="114" spans="2:14">
      <c r="B114" s="86" t="s">
        <v>422</v>
      </c>
      <c r="C114" s="64">
        <f t="shared" ref="C114:F114" si="78">+C112+C113</f>
        <v>10766873000</v>
      </c>
      <c r="D114" s="64">
        <f>+D112+D113</f>
        <v>10640305000</v>
      </c>
      <c r="E114" s="64">
        <f t="shared" si="78"/>
        <v>10354375000</v>
      </c>
      <c r="F114" s="64">
        <f t="shared" si="78"/>
        <v>11708491000</v>
      </c>
      <c r="G114" s="64">
        <f>+G112+G113</f>
        <v>12090836000</v>
      </c>
      <c r="H114" s="64">
        <f t="shared" ref="H114:I114" si="79">+H112+H113</f>
        <v>14776066000</v>
      </c>
      <c r="I114" s="64">
        <f t="shared" si="79"/>
        <v>14557091000</v>
      </c>
      <c r="J114" s="64"/>
      <c r="K114" s="64"/>
      <c r="L114" s="64"/>
      <c r="M114" s="64"/>
      <c r="N114" s="64"/>
    </row>
    <row r="115" spans="2:14">
      <c r="B115" s="85" t="s">
        <v>592</v>
      </c>
      <c r="C115" s="117">
        <v>171047000</v>
      </c>
      <c r="D115" s="117">
        <v>389126000</v>
      </c>
      <c r="E115" s="117">
        <v>90421000</v>
      </c>
      <c r="F115" s="117">
        <v>117509000</v>
      </c>
      <c r="G115" s="117">
        <v>396229000</v>
      </c>
      <c r="H115" s="117">
        <v>28181000</v>
      </c>
      <c r="I115" s="117">
        <v>20488000</v>
      </c>
      <c r="J115" s="117"/>
      <c r="K115" s="117"/>
      <c r="L115" s="117"/>
      <c r="M115" s="117"/>
      <c r="N115" s="117"/>
    </row>
    <row r="116" spans="2:14">
      <c r="B116" s="85" t="s">
        <v>510</v>
      </c>
      <c r="C116" s="117">
        <v>-457768000</v>
      </c>
      <c r="D116" s="117">
        <v>-533040000</v>
      </c>
      <c r="E116" s="117">
        <v>-566103000</v>
      </c>
      <c r="F116" s="117">
        <v>-672369000</v>
      </c>
      <c r="G116" s="117">
        <v>-641942000</v>
      </c>
      <c r="H116" s="117">
        <v>-564823000</v>
      </c>
      <c r="I116" s="117">
        <v>-566225000</v>
      </c>
      <c r="J116" s="117"/>
      <c r="K116" s="117"/>
      <c r="L116" s="117"/>
      <c r="M116" s="117"/>
      <c r="N116" s="117"/>
    </row>
    <row r="117" spans="2:14">
      <c r="B117" s="85" t="s">
        <v>536</v>
      </c>
      <c r="C117" s="117">
        <v>-814172000</v>
      </c>
      <c r="D117" s="117">
        <v>-859801000</v>
      </c>
      <c r="E117" s="117">
        <v>-922688000</v>
      </c>
      <c r="F117" s="117">
        <v>-1010254000</v>
      </c>
      <c r="G117" s="117">
        <v>-1389984000</v>
      </c>
      <c r="H117" s="117">
        <v>-1703809000</v>
      </c>
      <c r="I117" s="117">
        <v>-1572302000</v>
      </c>
      <c r="J117" s="117"/>
      <c r="K117" s="117"/>
      <c r="L117" s="117"/>
      <c r="M117" s="117"/>
      <c r="N117" s="117"/>
    </row>
    <row r="118" spans="2:14">
      <c r="B118" s="85" t="s">
        <v>537</v>
      </c>
      <c r="C118" s="117">
        <v>-6451906000</v>
      </c>
      <c r="D118" s="117">
        <v>-6549716000</v>
      </c>
      <c r="E118" s="117">
        <v>-6959314000</v>
      </c>
      <c r="F118" s="117">
        <v>-8445076000</v>
      </c>
      <c r="G118" s="117">
        <v>-8981589000</v>
      </c>
      <c r="H118" s="117">
        <v>-10568204000</v>
      </c>
      <c r="I118" s="117">
        <v>-10914391000</v>
      </c>
      <c r="J118" s="117"/>
      <c r="K118" s="117"/>
      <c r="L118" s="117"/>
      <c r="M118" s="117"/>
      <c r="N118" s="117"/>
    </row>
    <row r="119" spans="2:14">
      <c r="B119" s="85" t="s">
        <v>593</v>
      </c>
      <c r="C119" s="66">
        <v>3380625000</v>
      </c>
      <c r="D119" s="66">
        <v>478131000</v>
      </c>
      <c r="E119" s="66">
        <v>389661000</v>
      </c>
      <c r="F119" s="117">
        <v>433639000</v>
      </c>
      <c r="G119" s="117">
        <v>-263539000</v>
      </c>
      <c r="H119" s="117">
        <v>194739000</v>
      </c>
      <c r="I119" s="117">
        <v>218600000</v>
      </c>
      <c r="J119" s="117"/>
      <c r="K119" s="117"/>
      <c r="L119" s="117"/>
      <c r="M119" s="117"/>
      <c r="N119" s="117"/>
    </row>
    <row r="120" spans="2:14">
      <c r="B120" s="86" t="s">
        <v>428</v>
      </c>
      <c r="C120" s="64">
        <f t="shared" ref="C120:G120" si="80">+C114+C119+C115+C117+C118+C116</f>
        <v>6594699000</v>
      </c>
      <c r="D120" s="64">
        <f t="shared" si="80"/>
        <v>3565005000</v>
      </c>
      <c r="E120" s="64">
        <f t="shared" si="80"/>
        <v>2386352000</v>
      </c>
      <c r="F120" s="64">
        <f t="shared" si="80"/>
        <v>2131940000</v>
      </c>
      <c r="G120" s="64">
        <f t="shared" si="80"/>
        <v>1210011000</v>
      </c>
      <c r="H120" s="64">
        <f t="shared" ref="H120:N120" si="81">+H114+H119+H115+H117+H118+H116</f>
        <v>2162150000</v>
      </c>
      <c r="I120" s="64">
        <f t="shared" si="81"/>
        <v>1743261000</v>
      </c>
      <c r="J120" s="64">
        <f t="shared" si="81"/>
        <v>0</v>
      </c>
      <c r="K120" s="64">
        <f t="shared" si="81"/>
        <v>0</v>
      </c>
      <c r="L120" s="64">
        <f t="shared" si="81"/>
        <v>0</v>
      </c>
      <c r="M120" s="64">
        <f t="shared" si="81"/>
        <v>0</v>
      </c>
      <c r="N120" s="64">
        <f t="shared" si="81"/>
        <v>0</v>
      </c>
    </row>
    <row r="121" spans="2:14">
      <c r="B121" s="85" t="s">
        <v>429</v>
      </c>
      <c r="C121" s="66">
        <v>353175000</v>
      </c>
      <c r="D121" s="66">
        <v>526184000</v>
      </c>
      <c r="E121" s="66">
        <v>246195000</v>
      </c>
      <c r="F121" s="66">
        <v>1518000</v>
      </c>
      <c r="G121" s="131">
        <v>1728000</v>
      </c>
      <c r="H121" s="131">
        <v>118000</v>
      </c>
      <c r="I121" s="131">
        <v>10997000</v>
      </c>
      <c r="J121" s="131"/>
      <c r="K121" s="131"/>
      <c r="L121" s="131"/>
      <c r="M121" s="131"/>
      <c r="N121" s="131"/>
    </row>
    <row r="122" spans="2:14">
      <c r="B122" s="85" t="s">
        <v>430</v>
      </c>
      <c r="C122" s="66">
        <v>-161128000</v>
      </c>
      <c r="D122" s="66">
        <v>-102011000</v>
      </c>
      <c r="E122" s="66">
        <v>-82095000</v>
      </c>
      <c r="F122" s="66">
        <v>-246608000</v>
      </c>
      <c r="G122" s="131">
        <v>-177557000</v>
      </c>
      <c r="H122" s="131">
        <v>-1132625000</v>
      </c>
      <c r="I122" s="131">
        <v>-2247206000</v>
      </c>
      <c r="J122" s="131"/>
      <c r="K122" s="131"/>
      <c r="L122" s="131"/>
      <c r="M122" s="131"/>
      <c r="N122" s="131"/>
    </row>
    <row r="123" spans="2:14">
      <c r="B123" s="85" t="s">
        <v>431</v>
      </c>
      <c r="C123" s="66"/>
      <c r="D123" s="66"/>
      <c r="E123" s="66"/>
      <c r="F123" s="66"/>
      <c r="G123" s="131"/>
      <c r="H123" s="131"/>
      <c r="I123" s="131"/>
      <c r="J123" s="131"/>
      <c r="K123" s="131"/>
      <c r="L123" s="131"/>
      <c r="M123" s="131"/>
      <c r="N123" s="131"/>
    </row>
    <row r="124" spans="2:14">
      <c r="B124" s="85" t="s">
        <v>432</v>
      </c>
      <c r="C124" s="66">
        <v>-100729000</v>
      </c>
      <c r="D124" s="66">
        <v>59990000</v>
      </c>
      <c r="E124" s="66">
        <v>17448000</v>
      </c>
      <c r="F124" s="66">
        <v>56774000</v>
      </c>
      <c r="G124" s="131">
        <v>20675000</v>
      </c>
      <c r="H124" s="131">
        <v>-865701000</v>
      </c>
      <c r="I124" s="131">
        <v>-346189000</v>
      </c>
      <c r="J124" s="131"/>
      <c r="K124" s="131"/>
      <c r="L124" s="131"/>
      <c r="M124" s="131"/>
      <c r="N124" s="131"/>
    </row>
    <row r="125" spans="2:14">
      <c r="B125" s="85" t="s">
        <v>433</v>
      </c>
      <c r="C125" s="66">
        <v>11438000</v>
      </c>
      <c r="D125" s="66">
        <v>-111000</v>
      </c>
      <c r="E125" s="66">
        <v>24080000</v>
      </c>
      <c r="F125" s="66">
        <v>19355000</v>
      </c>
      <c r="G125" s="131">
        <v>32295000</v>
      </c>
      <c r="H125" s="131">
        <v>16499000</v>
      </c>
      <c r="I125" s="131">
        <v>-68158000</v>
      </c>
      <c r="J125" s="131"/>
      <c r="K125" s="131"/>
      <c r="L125" s="131"/>
      <c r="M125" s="131"/>
      <c r="N125" s="131"/>
    </row>
    <row r="126" spans="2:14">
      <c r="B126" s="86" t="s">
        <v>362</v>
      </c>
      <c r="C126" s="64">
        <f t="shared" ref="C126:E126" si="82">+C120+C121+C122+C123+C124+C125</f>
        <v>6697455000</v>
      </c>
      <c r="D126" s="64">
        <f t="shared" si="82"/>
        <v>4049057000</v>
      </c>
      <c r="E126" s="64">
        <f t="shared" si="82"/>
        <v>2591980000</v>
      </c>
      <c r="F126" s="64">
        <f>+F120+F121+F122+F123+F124+F125</f>
        <v>1962979000</v>
      </c>
      <c r="G126" s="64">
        <f t="shared" ref="G126:L126" si="83">+G120+G121+G122+G123+G124+G125</f>
        <v>1087152000</v>
      </c>
      <c r="H126" s="64">
        <f t="shared" si="83"/>
        <v>180441000</v>
      </c>
      <c r="I126" s="64">
        <f t="shared" si="83"/>
        <v>-907295000</v>
      </c>
      <c r="J126" s="64">
        <f t="shared" si="83"/>
        <v>0</v>
      </c>
      <c r="K126" s="64">
        <f t="shared" si="83"/>
        <v>0</v>
      </c>
      <c r="L126" s="64">
        <f t="shared" si="83"/>
        <v>0</v>
      </c>
      <c r="M126" s="64"/>
      <c r="N126" s="64"/>
    </row>
    <row r="127" spans="2:14">
      <c r="B127" s="85" t="s">
        <v>363</v>
      </c>
      <c r="C127" s="66">
        <v>-726320000</v>
      </c>
      <c r="D127" s="66">
        <v>-697835000</v>
      </c>
      <c r="E127" s="66">
        <v>-360591000</v>
      </c>
      <c r="F127" s="66">
        <v>-367038000</v>
      </c>
      <c r="G127" s="91">
        <v>495733000</v>
      </c>
      <c r="H127" s="91">
        <v>1793337000</v>
      </c>
      <c r="I127" s="91">
        <v>1415328000</v>
      </c>
      <c r="J127" s="91"/>
      <c r="K127" s="91"/>
      <c r="L127" s="91"/>
      <c r="M127" s="91"/>
      <c r="N127" s="91"/>
    </row>
    <row r="128" spans="2:14">
      <c r="B128" s="84" t="s">
        <v>365</v>
      </c>
      <c r="C128" s="130">
        <f t="shared" ref="C128:G128" si="84">+C126+C127</f>
        <v>5971135000</v>
      </c>
      <c r="D128" s="130">
        <f t="shared" si="84"/>
        <v>3351222000</v>
      </c>
      <c r="E128" s="130">
        <f t="shared" si="84"/>
        <v>2231389000</v>
      </c>
      <c r="F128" s="130">
        <f t="shared" si="84"/>
        <v>1595941000</v>
      </c>
      <c r="G128" s="130">
        <f t="shared" si="84"/>
        <v>1582885000</v>
      </c>
      <c r="H128" s="130">
        <f>+H126+H127</f>
        <v>1973778000</v>
      </c>
      <c r="I128" s="130">
        <f>+I126+I127</f>
        <v>508033000</v>
      </c>
      <c r="J128" s="130"/>
      <c r="K128" s="130"/>
      <c r="L128" s="130"/>
      <c r="M128" s="130"/>
      <c r="N128" s="130"/>
    </row>
    <row r="129" spans="2:14" ht="28.5">
      <c r="B129" s="87" t="s">
        <v>435</v>
      </c>
      <c r="C129" s="66">
        <v>28399000</v>
      </c>
      <c r="D129" s="66">
        <v>-5345000</v>
      </c>
      <c r="E129" s="66">
        <v>7326000</v>
      </c>
      <c r="F129" s="66">
        <v>-129403000</v>
      </c>
      <c r="G129" s="91">
        <v>-79641000</v>
      </c>
      <c r="H129" s="91">
        <v>-36100000</v>
      </c>
      <c r="I129" s="91">
        <v>-27613000</v>
      </c>
      <c r="J129" s="91"/>
      <c r="K129" s="91"/>
      <c r="L129" s="91"/>
      <c r="M129" s="91"/>
      <c r="N129" s="91"/>
    </row>
    <row r="130" spans="2:14">
      <c r="B130" s="84" t="s">
        <v>436</v>
      </c>
      <c r="C130" s="66">
        <f>+C128-C129</f>
        <v>5942736000</v>
      </c>
      <c r="D130" s="66">
        <f t="shared" ref="D130:I130" si="85">+D128-D129</f>
        <v>3356567000</v>
      </c>
      <c r="E130" s="66">
        <f t="shared" si="85"/>
        <v>2224063000</v>
      </c>
      <c r="F130" s="66">
        <f t="shared" si="85"/>
        <v>1725344000</v>
      </c>
      <c r="G130" s="66">
        <f t="shared" si="85"/>
        <v>1662526000</v>
      </c>
      <c r="H130" s="66">
        <f t="shared" si="85"/>
        <v>2009878000</v>
      </c>
      <c r="I130" s="66">
        <f t="shared" si="85"/>
        <v>535646000</v>
      </c>
      <c r="J130" s="66">
        <f t="shared" ref="J130:N130" si="86">+J128-J129</f>
        <v>0</v>
      </c>
      <c r="K130" s="66">
        <f t="shared" si="86"/>
        <v>0</v>
      </c>
      <c r="L130" s="66">
        <f t="shared" si="86"/>
        <v>0</v>
      </c>
      <c r="M130" s="66">
        <f t="shared" si="86"/>
        <v>0</v>
      </c>
      <c r="N130" s="66">
        <f t="shared" si="86"/>
        <v>0</v>
      </c>
    </row>
    <row r="131" spans="2:14">
      <c r="B131" s="84" t="s">
        <v>366</v>
      </c>
      <c r="C131" s="111">
        <v>96.63</v>
      </c>
      <c r="D131" s="111">
        <v>54.58</v>
      </c>
      <c r="E131" s="111">
        <v>36.159999999999997</v>
      </c>
      <c r="F131" s="134">
        <v>28.05</v>
      </c>
      <c r="G131" s="134">
        <v>27.03</v>
      </c>
      <c r="H131" s="134">
        <v>32.68</v>
      </c>
      <c r="I131" s="134">
        <v>8.7100000000000009</v>
      </c>
      <c r="J131" s="134"/>
      <c r="K131" s="134"/>
      <c r="L131" s="134"/>
      <c r="M131" s="134"/>
      <c r="N131" s="134"/>
    </row>
    <row r="133" spans="2:14" ht="14.65" thickBot="1">
      <c r="B133" s="75" t="s">
        <v>367</v>
      </c>
    </row>
    <row r="134" spans="2:14" ht="14.65" thickBot="1">
      <c r="B134" s="82" t="s">
        <v>308</v>
      </c>
      <c r="C134" s="88">
        <v>2017</v>
      </c>
      <c r="D134" s="88">
        <v>2018</v>
      </c>
      <c r="E134" s="88">
        <v>2019</v>
      </c>
      <c r="F134" s="88">
        <v>2020</v>
      </c>
      <c r="G134" s="88">
        <v>2021</v>
      </c>
      <c r="H134" s="88">
        <v>2022</v>
      </c>
      <c r="I134" s="88">
        <v>2023</v>
      </c>
      <c r="J134" s="88">
        <v>2024</v>
      </c>
      <c r="K134" s="88">
        <v>2025</v>
      </c>
      <c r="L134" s="88">
        <v>2026</v>
      </c>
      <c r="M134" s="88">
        <v>2027</v>
      </c>
      <c r="N134" s="88">
        <v>2028</v>
      </c>
    </row>
    <row r="135" spans="2:14">
      <c r="B135" s="83" t="s">
        <v>368</v>
      </c>
      <c r="C135" s="90">
        <v>4795247000</v>
      </c>
      <c r="D135" s="90">
        <v>2418717000</v>
      </c>
      <c r="E135" s="90">
        <v>1749074000</v>
      </c>
      <c r="F135" s="90">
        <v>3632548000</v>
      </c>
      <c r="G135" s="90">
        <v>-154061000</v>
      </c>
      <c r="H135" s="90">
        <v>-1591140000</v>
      </c>
      <c r="I135" s="90">
        <v>5375844000</v>
      </c>
      <c r="J135" s="90"/>
      <c r="K135" s="90"/>
      <c r="L135" s="90"/>
      <c r="M135" s="90"/>
      <c r="N135" s="90"/>
    </row>
    <row r="136" spans="2:14">
      <c r="B136" s="86" t="s">
        <v>369</v>
      </c>
      <c r="C136" s="91">
        <v>-9983065000</v>
      </c>
      <c r="D136" s="93">
        <v>5500388000</v>
      </c>
      <c r="E136" s="93">
        <v>-1428143000</v>
      </c>
      <c r="F136" s="66">
        <v>-5937862000</v>
      </c>
      <c r="G136" s="93">
        <v>-2287732000</v>
      </c>
      <c r="H136" s="66">
        <v>-7412662000</v>
      </c>
      <c r="I136" s="66">
        <v>-8493359000</v>
      </c>
      <c r="J136" s="66"/>
      <c r="K136" s="66"/>
      <c r="L136" s="66"/>
      <c r="M136" s="66"/>
      <c r="N136" s="66"/>
    </row>
    <row r="137" spans="2:14">
      <c r="B137" s="85" t="s">
        <v>370</v>
      </c>
      <c r="C137" s="93">
        <v>-4222017000</v>
      </c>
      <c r="D137" s="93">
        <v>-4518793000</v>
      </c>
      <c r="E137" s="93">
        <v>-8114593000</v>
      </c>
      <c r="F137" s="93">
        <v>-10199603000</v>
      </c>
      <c r="G137" s="93">
        <v>-8037590000</v>
      </c>
      <c r="H137" s="93">
        <v>-7842151000</v>
      </c>
      <c r="I137" s="93">
        <v>-8598731000</v>
      </c>
      <c r="J137" s="93"/>
      <c r="K137" s="93"/>
      <c r="L137" s="93"/>
      <c r="M137" s="93"/>
      <c r="N137" s="93"/>
    </row>
    <row r="138" spans="2:14">
      <c r="B138" s="86" t="s">
        <v>372</v>
      </c>
      <c r="C138" s="120">
        <v>-4472335000</v>
      </c>
      <c r="D138" s="120">
        <v>-5714384000</v>
      </c>
      <c r="E138" s="64">
        <v>-6424144000</v>
      </c>
      <c r="F138" s="114">
        <v>2501855000</v>
      </c>
      <c r="G138" s="114">
        <v>2136108000</v>
      </c>
      <c r="H138" s="114">
        <v>8272531000</v>
      </c>
      <c r="I138" s="120">
        <v>3437744000</v>
      </c>
      <c r="J138" s="120"/>
      <c r="K138" s="120"/>
      <c r="L138" s="120"/>
      <c r="M138" s="120"/>
      <c r="N138" s="120"/>
    </row>
    <row r="139" spans="2:14">
      <c r="B139" s="85" t="s">
        <v>373</v>
      </c>
      <c r="C139" s="93">
        <v>-1732030000</v>
      </c>
      <c r="D139" s="93">
        <v>-4754077000</v>
      </c>
      <c r="E139" s="66">
        <v>-6337446000</v>
      </c>
      <c r="F139" s="93">
        <v>-2281792000</v>
      </c>
      <c r="G139" s="93">
        <v>-1384711000</v>
      </c>
      <c r="H139" s="93">
        <v>-1331683000</v>
      </c>
      <c r="I139" s="93">
        <v>-616224000</v>
      </c>
      <c r="J139" s="93"/>
      <c r="K139" s="93"/>
      <c r="L139" s="93"/>
      <c r="M139" s="93"/>
      <c r="N139" s="93"/>
    </row>
    <row r="140" spans="2:14">
      <c r="B140" s="85" t="s">
        <v>437</v>
      </c>
      <c r="C140" s="93">
        <v>-200980000</v>
      </c>
      <c r="D140" s="93">
        <v>-93782000</v>
      </c>
      <c r="E140" s="66">
        <v>-71698000</v>
      </c>
      <c r="F140" s="93">
        <v>-169227000</v>
      </c>
      <c r="G140" s="93">
        <v>-237755000</v>
      </c>
      <c r="H140" s="93">
        <v>-740922000</v>
      </c>
      <c r="I140" s="93">
        <v>-2063176000</v>
      </c>
      <c r="J140" s="93"/>
      <c r="K140" s="93"/>
      <c r="L140" s="93"/>
      <c r="M140" s="93"/>
      <c r="N140" s="93"/>
    </row>
    <row r="141" spans="2:14">
      <c r="B141" s="86" t="s">
        <v>375</v>
      </c>
      <c r="C141" s="64"/>
      <c r="D141" s="64"/>
      <c r="E141" s="64"/>
      <c r="F141" s="64"/>
      <c r="G141" s="64"/>
      <c r="H141" s="64"/>
      <c r="I141" s="64"/>
      <c r="J141" s="64"/>
      <c r="K141" s="64"/>
      <c r="L141" s="64"/>
      <c r="M141" s="64"/>
      <c r="N141" s="64"/>
    </row>
    <row r="142" spans="2:14">
      <c r="B142" s="85"/>
      <c r="C142" s="66"/>
      <c r="D142" s="66"/>
      <c r="E142" s="66"/>
      <c r="F142" s="66"/>
      <c r="G142" s="66"/>
      <c r="H142" s="66"/>
      <c r="I142" s="66"/>
      <c r="J142" s="66"/>
      <c r="K142" s="66"/>
      <c r="L142" s="66"/>
      <c r="M142" s="66"/>
      <c r="N142" s="66"/>
    </row>
    <row r="143" spans="2:14">
      <c r="B143" s="84" t="s">
        <v>376</v>
      </c>
      <c r="C143" s="131">
        <f t="shared" ref="C143:G143" si="87">+C135+C137+C140</f>
        <v>372250000</v>
      </c>
      <c r="D143" s="131">
        <f t="shared" si="87"/>
        <v>-2193858000</v>
      </c>
      <c r="E143" s="131">
        <f t="shared" si="87"/>
        <v>-6437217000</v>
      </c>
      <c r="F143" s="131">
        <f t="shared" si="87"/>
        <v>-6736282000</v>
      </c>
      <c r="G143" s="131">
        <f t="shared" si="87"/>
        <v>-8429406000</v>
      </c>
      <c r="H143" s="131">
        <f>+H135+H137+H140</f>
        <v>-10174213000</v>
      </c>
      <c r="I143" s="131">
        <f>+I135+I137+I140</f>
        <v>-5286063000</v>
      </c>
      <c r="J143" s="131"/>
      <c r="K143" s="131"/>
      <c r="L143" s="131"/>
      <c r="M143" s="131"/>
      <c r="N143" s="131"/>
    </row>
  </sheetData>
  <conditionalFormatting sqref="C60:H66 D67:H67 C68:H100">
    <cfRule type="cellIs" dxfId="131" priority="18" operator="lessThan">
      <formula>0</formula>
    </cfRule>
  </conditionalFormatting>
  <conditionalFormatting sqref="C112:N131">
    <cfRule type="cellIs" dxfId="130" priority="2" operator="lessThan">
      <formula>0</formula>
    </cfRule>
  </conditionalFormatting>
  <conditionalFormatting sqref="C135:N143">
    <cfRule type="cellIs" dxfId="129" priority="1" operator="lessThan">
      <formula>0</formula>
    </cfRule>
  </conditionalFormatting>
  <conditionalFormatting sqref="I60:N100 C102:N108">
    <cfRule type="cellIs" dxfId="128" priority="3" operator="lessThan">
      <formula>0</formula>
    </cfRule>
  </conditionalFormatting>
  <pageMargins left="0.7" right="0.7" top="0.75" bottom="0.75" header="0.3" footer="0.3"/>
  <pageSetup paperSize="9" orientation="portrait" r:id="rId1"/>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1B601-908C-4306-AB76-3C76513CD0B7}">
  <dimension ref="B2:P150"/>
  <sheetViews>
    <sheetView zoomScale="85" zoomScaleNormal="85" workbookViewId="0">
      <pane xSplit="2" ySplit="6" topLeftCell="C19" activePane="bottomRight" state="frozen"/>
      <selection pane="bottomRight" activeCell="K54" sqref="K54"/>
      <selection pane="bottomLeft" activeCell="A7" sqref="A7"/>
      <selection pane="topRight" activeCell="C1" sqref="C1"/>
    </sheetView>
  </sheetViews>
  <sheetFormatPr defaultColWidth="10.7109375" defaultRowHeight="14.25"/>
  <cols>
    <col min="1" max="1" width="4.42578125" customWidth="1"/>
    <col min="2" max="2" width="56.5703125" customWidth="1"/>
    <col min="3" max="6" width="33.28515625" customWidth="1"/>
    <col min="7" max="7" width="36.28515625" customWidth="1"/>
    <col min="8" max="9" width="35.7109375" customWidth="1"/>
    <col min="10" max="10" width="39.42578125" customWidth="1"/>
    <col min="11" max="11" width="38.28515625" customWidth="1"/>
    <col min="12" max="14" width="25.42578125" bestFit="1" customWidth="1"/>
  </cols>
  <sheetData>
    <row r="2" spans="2:14" ht="21">
      <c r="B2" s="313">
        <f ca="1">TODAY()-1</f>
        <v>46105</v>
      </c>
      <c r="C2" s="314"/>
      <c r="D2" s="344" t="s">
        <v>518</v>
      </c>
      <c r="E2" s="345" t="s">
        <v>266</v>
      </c>
    </row>
    <row r="3" spans="2:14" ht="25.5">
      <c r="B3" s="376" cm="1">
        <f t="array" aca="1" ref="B3" ca="1">_FV(B6,"Precio")</f>
        <v>1500</v>
      </c>
      <c r="C3" s="316"/>
      <c r="D3" s="365">
        <f>AVERAGE(G45:I45)</f>
        <v>104.73333333333333</v>
      </c>
      <c r="E3" s="365">
        <f>AVERAGE(G44:I44)</f>
        <v>119.73333333333333</v>
      </c>
    </row>
    <row r="4" spans="2:14" ht="28.5">
      <c r="B4" s="319"/>
      <c r="C4" s="320"/>
      <c r="D4" s="328"/>
      <c r="E4" s="328"/>
    </row>
    <row r="6" spans="2:14" ht="33.4">
      <c r="B6" s="3" t="e" vm="36">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+C68</f>
        <v>110595726000</v>
      </c>
      <c r="D7" s="5">
        <f t="shared" ref="D7:N7" si="0">+D68</f>
        <v>129790436000</v>
      </c>
      <c r="E7" s="5">
        <f t="shared" si="0"/>
        <v>205358084000</v>
      </c>
      <c r="F7" s="5">
        <f t="shared" si="0"/>
        <v>91335645000</v>
      </c>
      <c r="G7" s="5">
        <f t="shared" si="0"/>
        <v>183944585000</v>
      </c>
      <c r="H7" s="5">
        <f t="shared" si="0"/>
        <v>149223459000</v>
      </c>
      <c r="I7" s="5">
        <f t="shared" si="0"/>
        <v>153483583000</v>
      </c>
      <c r="J7" s="5">
        <f t="shared" si="0"/>
        <v>153734854000</v>
      </c>
      <c r="K7" s="5">
        <f t="shared" si="0"/>
        <v>138394847000</v>
      </c>
      <c r="L7" s="5">
        <f t="shared" si="0"/>
        <v>0</v>
      </c>
      <c r="M7" s="5">
        <f t="shared" si="0"/>
        <v>0</v>
      </c>
      <c r="N7" s="5">
        <f t="shared" si="0"/>
        <v>0</v>
      </c>
    </row>
    <row r="8" spans="2:14" ht="25.5">
      <c r="B8" s="146" t="s">
        <v>377</v>
      </c>
      <c r="C8" s="147">
        <f>+C72</f>
        <v>36765213000</v>
      </c>
      <c r="D8" s="147">
        <f t="shared" ref="D8:N8" si="1">+D72</f>
        <v>51914120000</v>
      </c>
      <c r="E8" s="147">
        <f t="shared" si="1"/>
        <v>32118576000</v>
      </c>
      <c r="F8" s="147">
        <f t="shared" si="1"/>
        <v>32480488000</v>
      </c>
      <c r="G8" s="147">
        <f t="shared" si="1"/>
        <v>41151185000</v>
      </c>
      <c r="H8" s="147">
        <f t="shared" si="1"/>
        <v>54847787000</v>
      </c>
      <c r="I8" s="147">
        <f t="shared" si="1"/>
        <v>62504530000</v>
      </c>
      <c r="J8" s="147">
        <f t="shared" si="1"/>
        <v>69880219000</v>
      </c>
      <c r="K8" s="147">
        <f t="shared" si="1"/>
        <v>74271537000</v>
      </c>
      <c r="L8" s="147">
        <f t="shared" si="1"/>
        <v>0</v>
      </c>
      <c r="M8" s="147">
        <f t="shared" si="1"/>
        <v>0</v>
      </c>
      <c r="N8" s="147">
        <f t="shared" si="1"/>
        <v>0</v>
      </c>
    </row>
    <row r="9" spans="2:14" ht="25.5">
      <c r="B9" s="146" t="s">
        <v>378</v>
      </c>
      <c r="C9" s="147">
        <f>+C74</f>
        <v>0</v>
      </c>
      <c r="D9" s="147">
        <f t="shared" ref="D9:N9" si="2">+D74</f>
        <v>0</v>
      </c>
      <c r="E9" s="147">
        <f t="shared" si="2"/>
        <v>15962163000</v>
      </c>
      <c r="F9" s="147">
        <f t="shared" si="2"/>
        <v>22803698000</v>
      </c>
      <c r="G9" s="147">
        <f t="shared" si="2"/>
        <v>21022423000</v>
      </c>
      <c r="H9" s="147">
        <f t="shared" si="2"/>
        <v>43605426000</v>
      </c>
      <c r="I9" s="147">
        <f t="shared" si="2"/>
        <v>43147752000</v>
      </c>
      <c r="J9" s="147">
        <f t="shared" si="2"/>
        <v>40215781000</v>
      </c>
      <c r="K9" s="147">
        <f t="shared" si="2"/>
        <v>43903775000</v>
      </c>
      <c r="L9" s="147">
        <f t="shared" si="2"/>
        <v>0</v>
      </c>
      <c r="M9" s="147">
        <f t="shared" si="2"/>
        <v>0</v>
      </c>
      <c r="N9" s="147">
        <f t="shared" si="2"/>
        <v>0</v>
      </c>
    </row>
    <row r="10" spans="2:14" ht="25.5">
      <c r="B10" s="4" t="s">
        <v>519</v>
      </c>
      <c r="C10" s="5">
        <f>+C77</f>
        <v>559106475000</v>
      </c>
      <c r="D10" s="5">
        <f t="shared" ref="D10:N10" si="3">+D77</f>
        <v>596610229000</v>
      </c>
      <c r="E10" s="5">
        <f t="shared" si="3"/>
        <v>554229903000</v>
      </c>
      <c r="F10" s="5">
        <f t="shared" si="3"/>
        <v>508294592000</v>
      </c>
      <c r="G10" s="5">
        <f t="shared" si="3"/>
        <v>624776183000</v>
      </c>
      <c r="H10" s="5">
        <f t="shared" si="3"/>
        <v>677121805000</v>
      </c>
      <c r="I10" s="5">
        <f t="shared" si="3"/>
        <v>725056040000</v>
      </c>
      <c r="J10" s="5">
        <f t="shared" si="3"/>
        <v>874628121000</v>
      </c>
      <c r="K10" s="5">
        <f t="shared" si="3"/>
        <v>930494049000</v>
      </c>
      <c r="L10" s="5">
        <f t="shared" si="3"/>
        <v>0</v>
      </c>
      <c r="M10" s="5">
        <f t="shared" si="3"/>
        <v>0</v>
      </c>
      <c r="N10" s="5">
        <f t="shared" si="3"/>
        <v>0</v>
      </c>
    </row>
    <row r="11" spans="2:14" ht="25.5">
      <c r="B11" s="8" t="s">
        <v>272</v>
      </c>
      <c r="C11" s="9">
        <f>+C10+C7</f>
        <v>669702201000</v>
      </c>
      <c r="D11" s="9">
        <f t="shared" ref="D11:N11" si="4">+D10+D7</f>
        <v>726400665000</v>
      </c>
      <c r="E11" s="9">
        <f t="shared" si="4"/>
        <v>759587987000</v>
      </c>
      <c r="F11" s="9">
        <f t="shared" si="4"/>
        <v>599630237000</v>
      </c>
      <c r="G11" s="9">
        <f t="shared" si="4"/>
        <v>808720768000</v>
      </c>
      <c r="H11" s="9">
        <f t="shared" si="4"/>
        <v>826345264000</v>
      </c>
      <c r="I11" s="9">
        <f t="shared" si="4"/>
        <v>878539623000</v>
      </c>
      <c r="J11" s="9">
        <f t="shared" si="4"/>
        <v>1028362975000</v>
      </c>
      <c r="K11" s="9">
        <f t="shared" si="4"/>
        <v>1068888896000</v>
      </c>
      <c r="L11" s="9">
        <f t="shared" si="4"/>
        <v>0</v>
      </c>
      <c r="M11" s="9">
        <f t="shared" si="4"/>
        <v>0</v>
      </c>
      <c r="N11" s="9">
        <f t="shared" si="4"/>
        <v>0</v>
      </c>
    </row>
    <row r="12" spans="2:14" ht="25.5">
      <c r="B12" s="10" t="s">
        <v>273</v>
      </c>
      <c r="C12" s="11">
        <f>+C91</f>
        <v>114875441000</v>
      </c>
      <c r="D12" s="11">
        <f t="shared" ref="D12:N12" si="5">+D91</f>
        <v>107967022000</v>
      </c>
      <c r="E12" s="11">
        <f t="shared" si="5"/>
        <v>168893432000</v>
      </c>
      <c r="F12" s="11">
        <f t="shared" si="5"/>
        <v>170057153000</v>
      </c>
      <c r="G12" s="11">
        <f t="shared" si="5"/>
        <v>113094948000</v>
      </c>
      <c r="H12" s="11">
        <f t="shared" si="5"/>
        <v>115010077000</v>
      </c>
      <c r="I12" s="11">
        <f t="shared" si="5"/>
        <v>132702528000</v>
      </c>
      <c r="J12" s="11">
        <f t="shared" si="5"/>
        <v>170390719000</v>
      </c>
      <c r="K12" s="11">
        <f t="shared" si="5"/>
        <v>203653335000</v>
      </c>
      <c r="L12" s="11">
        <f t="shared" si="5"/>
        <v>0</v>
      </c>
      <c r="M12" s="11">
        <f t="shared" si="5"/>
        <v>0</v>
      </c>
      <c r="N12" s="11">
        <f t="shared" si="5"/>
        <v>0</v>
      </c>
    </row>
    <row r="13" spans="2:14" ht="25.5">
      <c r="B13" s="10" t="s">
        <v>274</v>
      </c>
      <c r="C13" s="11">
        <f>+C101</f>
        <v>297608686000</v>
      </c>
      <c r="D13" s="11">
        <f t="shared" ref="D13:N13" si="6">+D101</f>
        <v>342089105000</v>
      </c>
      <c r="E13" s="11">
        <f t="shared" si="6"/>
        <v>291260653000</v>
      </c>
      <c r="F13" s="11">
        <f t="shared" si="6"/>
        <v>288498649000</v>
      </c>
      <c r="G13" s="11">
        <f t="shared" si="6"/>
        <v>322037670000</v>
      </c>
      <c r="H13" s="11">
        <f t="shared" si="6"/>
        <v>344134233000</v>
      </c>
      <c r="I13" s="11">
        <f t="shared" si="6"/>
        <v>344657399000</v>
      </c>
      <c r="J13" s="11">
        <f t="shared" si="6"/>
        <v>386203672000</v>
      </c>
      <c r="K13" s="11">
        <f t="shared" si="6"/>
        <v>383795986000</v>
      </c>
      <c r="L13" s="11">
        <f t="shared" si="6"/>
        <v>0</v>
      </c>
      <c r="M13" s="11">
        <f t="shared" si="6"/>
        <v>0</v>
      </c>
      <c r="N13" s="11">
        <f t="shared" si="6"/>
        <v>0</v>
      </c>
    </row>
    <row r="14" spans="2:14" ht="25.5">
      <c r="B14" s="12" t="s">
        <v>275</v>
      </c>
      <c r="C14" s="13">
        <f>+C12+C13</f>
        <v>412484127000</v>
      </c>
      <c r="D14" s="13">
        <f t="shared" ref="D14:N14" si="7">+D12+D13</f>
        <v>450056127000</v>
      </c>
      <c r="E14" s="13">
        <f t="shared" si="7"/>
        <v>460154085000</v>
      </c>
      <c r="F14" s="13">
        <f t="shared" si="7"/>
        <v>458555802000</v>
      </c>
      <c r="G14" s="13">
        <f t="shared" si="7"/>
        <v>435132618000</v>
      </c>
      <c r="H14" s="13">
        <f t="shared" si="7"/>
        <v>459144310000</v>
      </c>
      <c r="I14" s="13">
        <f t="shared" si="7"/>
        <v>477359927000</v>
      </c>
      <c r="J14" s="13">
        <f t="shared" si="7"/>
        <v>556594391000</v>
      </c>
      <c r="K14" s="13">
        <f t="shared" si="7"/>
        <v>587449321000</v>
      </c>
      <c r="L14" s="13">
        <f t="shared" si="7"/>
        <v>0</v>
      </c>
      <c r="M14" s="13">
        <f t="shared" si="7"/>
        <v>0</v>
      </c>
      <c r="N14" s="13">
        <f t="shared" si="7"/>
        <v>0</v>
      </c>
    </row>
    <row r="15" spans="2:14" ht="25.5">
      <c r="B15" s="14" t="s">
        <v>276</v>
      </c>
      <c r="C15" s="15">
        <f>+C114</f>
        <v>229840397000</v>
      </c>
      <c r="D15" s="15">
        <f t="shared" ref="D15:N15" si="8">+D114</f>
        <v>256681080000</v>
      </c>
      <c r="E15" s="15">
        <f t="shared" si="8"/>
        <v>273892187000</v>
      </c>
      <c r="F15" s="15">
        <f t="shared" si="8"/>
        <v>236922648000</v>
      </c>
      <c r="G15" s="15">
        <f t="shared" si="8"/>
        <v>372675638000</v>
      </c>
      <c r="H15" s="15">
        <f t="shared" si="8"/>
        <v>364750076000</v>
      </c>
      <c r="I15" s="15">
        <f t="shared" si="8"/>
        <v>398441997000</v>
      </c>
      <c r="J15" s="15">
        <f t="shared" si="8"/>
        <v>468625856000</v>
      </c>
      <c r="K15" s="15">
        <f t="shared" si="8"/>
        <v>478128974000</v>
      </c>
      <c r="L15" s="15">
        <f t="shared" si="8"/>
        <v>0</v>
      </c>
      <c r="M15" s="15">
        <f t="shared" si="8"/>
        <v>0</v>
      </c>
      <c r="N15" s="15">
        <f t="shared" si="8"/>
        <v>0</v>
      </c>
    </row>
    <row r="16" spans="2:14" ht="25.5">
      <c r="B16" s="79" t="s">
        <v>278</v>
      </c>
      <c r="C16" s="180">
        <v>168000000</v>
      </c>
      <c r="D16" s="180">
        <v>168000000</v>
      </c>
      <c r="E16" s="180">
        <v>168000000</v>
      </c>
      <c r="F16" s="180">
        <v>168000000</v>
      </c>
      <c r="G16" s="180">
        <v>168000000</v>
      </c>
      <c r="H16" s="180">
        <v>168000000</v>
      </c>
      <c r="I16" s="180">
        <v>168000000</v>
      </c>
      <c r="J16" s="180">
        <v>168000000</v>
      </c>
      <c r="K16" s="180">
        <v>168000000</v>
      </c>
      <c r="L16" s="80"/>
      <c r="M16" s="80"/>
      <c r="N16" s="80"/>
    </row>
    <row r="18" spans="2:14" ht="25.5">
      <c r="B18" s="18" t="s">
        <v>279</v>
      </c>
      <c r="C18" s="19">
        <f t="shared" ref="C18:N18" si="9">(C15/C16)</f>
        <v>1368.0976011904761</v>
      </c>
      <c r="D18" s="19">
        <f t="shared" si="9"/>
        <v>1527.8635714285715</v>
      </c>
      <c r="E18" s="19">
        <f t="shared" si="9"/>
        <v>1630.3106369047619</v>
      </c>
      <c r="F18" s="19">
        <f t="shared" si="9"/>
        <v>1410.2538571428572</v>
      </c>
      <c r="G18" s="19">
        <f t="shared" si="9"/>
        <v>2218.307369047619</v>
      </c>
      <c r="H18" s="19">
        <f t="shared" si="9"/>
        <v>2171.1314047619048</v>
      </c>
      <c r="I18" s="19">
        <f t="shared" si="9"/>
        <v>2371.6785535714284</v>
      </c>
      <c r="J18" s="19">
        <f t="shared" si="9"/>
        <v>2789.4396190476191</v>
      </c>
      <c r="K18" s="19">
        <f t="shared" si="9"/>
        <v>2846.0057976190478</v>
      </c>
      <c r="L18" s="19" t="e">
        <f t="shared" si="9"/>
        <v>#DIV/0!</v>
      </c>
      <c r="M18" s="19" t="e">
        <f t="shared" si="9"/>
        <v>#DIV/0!</v>
      </c>
      <c r="N18" s="19" t="e">
        <f t="shared" si="9"/>
        <v>#DIV/0!</v>
      </c>
    </row>
    <row r="19" spans="2:14" ht="25.5">
      <c r="B19" s="76" t="s">
        <v>282</v>
      </c>
      <c r="C19" s="77">
        <v>1760</v>
      </c>
      <c r="D19" s="77">
        <v>1912</v>
      </c>
      <c r="E19" s="77">
        <v>1630</v>
      </c>
      <c r="F19" s="77">
        <v>1700</v>
      </c>
      <c r="G19" s="77">
        <v>1344</v>
      </c>
      <c r="H19" s="101">
        <v>825</v>
      </c>
      <c r="I19" s="101">
        <v>1040</v>
      </c>
      <c r="J19" s="101">
        <v>1330</v>
      </c>
      <c r="K19" s="101">
        <v>1746.8</v>
      </c>
      <c r="L19" s="101"/>
      <c r="M19" s="101"/>
      <c r="N19" s="101"/>
    </row>
    <row r="20" spans="2:14" ht="25.5">
      <c r="B20" s="18" t="s">
        <v>283</v>
      </c>
      <c r="C20" s="22">
        <f>+C19/C40</f>
        <v>10.414201183431953</v>
      </c>
      <c r="D20" s="22">
        <f t="shared" ref="D20:N20" si="10">+D19/D40</f>
        <v>14.906057534887346</v>
      </c>
      <c r="E20" s="22">
        <f t="shared" si="10"/>
        <v>10.356439418006227</v>
      </c>
      <c r="F20" s="22">
        <f t="shared" si="10"/>
        <v>8.9681367377083774</v>
      </c>
      <c r="G20" s="22">
        <f t="shared" si="10"/>
        <v>1.9633909397688927</v>
      </c>
      <c r="H20" s="22">
        <f t="shared" si="10"/>
        <v>10.674084616379867</v>
      </c>
      <c r="I20" s="22">
        <f t="shared" si="10"/>
        <v>9.866236599943079</v>
      </c>
      <c r="J20" s="22">
        <f t="shared" si="10"/>
        <v>10.152671755725191</v>
      </c>
      <c r="K20" s="22">
        <f t="shared" si="10"/>
        <v>16.323708064666853</v>
      </c>
      <c r="L20" s="22" t="e">
        <f t="shared" si="10"/>
        <v>#DIV/0!</v>
      </c>
      <c r="M20" s="22" t="e">
        <f t="shared" si="10"/>
        <v>#DIV/0!</v>
      </c>
      <c r="N20" s="22" t="e">
        <f t="shared" si="10"/>
        <v>#DIV/0!</v>
      </c>
    </row>
    <row r="21" spans="2:14" ht="25.5">
      <c r="B21" s="18" t="s">
        <v>520</v>
      </c>
      <c r="C21" s="22">
        <f t="shared" ref="C21:N21" si="11">+C19/C18</f>
        <v>1.2864579241046126</v>
      </c>
      <c r="D21" s="22">
        <f t="shared" si="11"/>
        <v>1.2514206345087842</v>
      </c>
      <c r="E21" s="22">
        <f t="shared" si="11"/>
        <v>0.99980946152363237</v>
      </c>
      <c r="F21" s="22">
        <f t="shared" si="11"/>
        <v>1.2054567278008812</v>
      </c>
      <c r="G21" s="22">
        <f t="shared" si="11"/>
        <v>0.60586734676764675</v>
      </c>
      <c r="H21" s="22">
        <f t="shared" si="11"/>
        <v>0.37998621280616263</v>
      </c>
      <c r="I21" s="22">
        <f t="shared" si="11"/>
        <v>0.43850799191732798</v>
      </c>
      <c r="J21" s="22">
        <f t="shared" si="11"/>
        <v>0.47679827550957837</v>
      </c>
      <c r="K21" s="22">
        <f t="shared" si="11"/>
        <v>0.6137724671753525</v>
      </c>
      <c r="L21" s="22" t="e">
        <f t="shared" si="11"/>
        <v>#DIV/0!</v>
      </c>
      <c r="M21" s="22" t="e">
        <f t="shared" si="11"/>
        <v>#DIV/0!</v>
      </c>
      <c r="N21" s="22" t="e">
        <f t="shared" si="11"/>
        <v>#DIV/0!</v>
      </c>
    </row>
    <row r="22" spans="2:14" ht="25.5">
      <c r="B22" s="18" t="s">
        <v>521</v>
      </c>
      <c r="C22" s="22">
        <f>+C20*C21</f>
        <v>13.397431635645669</v>
      </c>
      <c r="D22" s="22">
        <f t="shared" ref="D22:N22" si="12">+D20*D21</f>
        <v>18.653747978333165</v>
      </c>
      <c r="E22" s="22">
        <f t="shared" si="12"/>
        <v>10.354466117818927</v>
      </c>
      <c r="F22" s="22">
        <f t="shared" si="12"/>
        <v>10.810700766308811</v>
      </c>
      <c r="G22" s="22">
        <f t="shared" si="12"/>
        <v>1.1895544593454155</v>
      </c>
      <c r="H22" s="22">
        <f t="shared" si="12"/>
        <v>4.0560049885507068</v>
      </c>
      <c r="I22" s="22">
        <f t="shared" si="12"/>
        <v>4.3264235992222853</v>
      </c>
      <c r="J22" s="22">
        <f t="shared" si="12"/>
        <v>4.840776384944574</v>
      </c>
      <c r="K22" s="22">
        <f t="shared" si="12"/>
        <v>10.019042572300773</v>
      </c>
      <c r="L22" s="22" t="e">
        <f t="shared" si="12"/>
        <v>#DIV/0!</v>
      </c>
      <c r="M22" s="22" t="e">
        <f t="shared" si="12"/>
        <v>#DIV/0!</v>
      </c>
      <c r="N22" s="22" t="e">
        <f t="shared" si="12"/>
        <v>#DIV/0!</v>
      </c>
    </row>
    <row r="23" spans="2:14" ht="25.5">
      <c r="B23" s="23" t="s">
        <v>286</v>
      </c>
      <c r="C23" s="24">
        <f>IF(C41&lt;10%,0,IF(15%&lt;C41,2,1))</f>
        <v>1</v>
      </c>
      <c r="D23" s="24">
        <f>IF(D41&lt;10%,0,IF(15%&lt;D41,2,1))</f>
        <v>0</v>
      </c>
      <c r="E23" s="24">
        <f t="shared" ref="E23:N23" si="13">IF(E41&lt;10%,0,IF(15%&lt;E41,2,1))</f>
        <v>0</v>
      </c>
      <c r="F23" s="24">
        <f t="shared" si="13"/>
        <v>1</v>
      </c>
      <c r="G23" s="24">
        <f t="shared" si="13"/>
        <v>2</v>
      </c>
      <c r="H23" s="24">
        <f t="shared" si="13"/>
        <v>0</v>
      </c>
      <c r="I23" s="24">
        <f t="shared" si="13"/>
        <v>0</v>
      </c>
      <c r="J23" s="24">
        <f t="shared" si="13"/>
        <v>0</v>
      </c>
      <c r="K23" s="24">
        <f t="shared" si="13"/>
        <v>0</v>
      </c>
      <c r="L23" s="24" t="e">
        <f t="shared" si="13"/>
        <v>#DIV/0!</v>
      </c>
      <c r="M23" s="24" t="e">
        <f t="shared" si="13"/>
        <v>#DIV/0!</v>
      </c>
      <c r="N23" s="24" t="e">
        <f t="shared" si="13"/>
        <v>#DIV/0!</v>
      </c>
    </row>
    <row r="24" spans="2:14" ht="25.5">
      <c r="B24" s="23" t="s">
        <v>287</v>
      </c>
      <c r="C24" s="24">
        <f>IF(C41&lt;10%,1,IF(15%&lt;C41,2.5,2))</f>
        <v>2</v>
      </c>
      <c r="D24" s="24">
        <f t="shared" ref="D24:N24" si="14">IF(D41&lt;10%,1,IF(15%&lt;D41,2.5,2))</f>
        <v>1</v>
      </c>
      <c r="E24" s="24">
        <f t="shared" si="14"/>
        <v>1</v>
      </c>
      <c r="F24" s="24">
        <f t="shared" si="14"/>
        <v>2</v>
      </c>
      <c r="G24" s="24">
        <f t="shared" si="14"/>
        <v>2.5</v>
      </c>
      <c r="H24" s="24">
        <f t="shared" si="14"/>
        <v>1</v>
      </c>
      <c r="I24" s="24">
        <f t="shared" si="14"/>
        <v>1</v>
      </c>
      <c r="J24" s="24">
        <f t="shared" si="14"/>
        <v>1</v>
      </c>
      <c r="K24" s="24">
        <f t="shared" si="14"/>
        <v>1</v>
      </c>
      <c r="L24" s="24" t="e">
        <f t="shared" si="14"/>
        <v>#DIV/0!</v>
      </c>
      <c r="M24" s="24" t="e">
        <f t="shared" si="14"/>
        <v>#DIV/0!</v>
      </c>
      <c r="N24" s="24" t="e">
        <f t="shared" si="14"/>
        <v>#DIV/0!</v>
      </c>
    </row>
    <row r="25" spans="2:14" ht="25.5">
      <c r="B25" s="25" t="s">
        <v>288</v>
      </c>
      <c r="C25" s="26">
        <f t="shared" ref="C25:N25" si="15">+C23*C18</f>
        <v>1368.0976011904761</v>
      </c>
      <c r="D25" s="26">
        <f t="shared" si="15"/>
        <v>0</v>
      </c>
      <c r="E25" s="26">
        <f t="shared" si="15"/>
        <v>0</v>
      </c>
      <c r="F25" s="26">
        <f t="shared" si="15"/>
        <v>1410.2538571428572</v>
      </c>
      <c r="G25" s="26">
        <f t="shared" si="15"/>
        <v>4436.614738095238</v>
      </c>
      <c r="H25" s="26">
        <f t="shared" si="15"/>
        <v>0</v>
      </c>
      <c r="I25" s="26">
        <f t="shared" si="15"/>
        <v>0</v>
      </c>
      <c r="J25" s="26">
        <f t="shared" si="15"/>
        <v>0</v>
      </c>
      <c r="K25" s="26">
        <f t="shared" si="15"/>
        <v>0</v>
      </c>
      <c r="L25" s="26" t="e">
        <f t="shared" si="15"/>
        <v>#DIV/0!</v>
      </c>
      <c r="M25" s="26" t="e">
        <f t="shared" si="15"/>
        <v>#DIV/0!</v>
      </c>
      <c r="N25" s="26" t="e">
        <f t="shared" si="15"/>
        <v>#DIV/0!</v>
      </c>
    </row>
    <row r="26" spans="2:14" ht="25.5">
      <c r="B26" s="25" t="s">
        <v>289</v>
      </c>
      <c r="C26" s="26">
        <f>AVERAGE(C25,C27)</f>
        <v>2052.1464017857143</v>
      </c>
      <c r="D26" s="26">
        <f t="shared" ref="D26:N26" si="16">AVERAGE(D25,D27)</f>
        <v>763.93178571428575</v>
      </c>
      <c r="E26" s="26">
        <f t="shared" si="16"/>
        <v>815.15531845238093</v>
      </c>
      <c r="F26" s="26">
        <f t="shared" si="16"/>
        <v>2115.3807857142856</v>
      </c>
      <c r="G26" s="26">
        <f t="shared" si="16"/>
        <v>4991.1915803571428</v>
      </c>
      <c r="H26" s="26">
        <f t="shared" si="16"/>
        <v>1085.5657023809524</v>
      </c>
      <c r="I26" s="26">
        <f t="shared" si="16"/>
        <v>1185.8392767857142</v>
      </c>
      <c r="J26" s="26">
        <f t="shared" si="16"/>
        <v>1394.7198095238095</v>
      </c>
      <c r="K26" s="26">
        <f t="shared" si="16"/>
        <v>1423.0028988095239</v>
      </c>
      <c r="L26" s="26" t="e">
        <f t="shared" si="16"/>
        <v>#DIV/0!</v>
      </c>
      <c r="M26" s="26" t="e">
        <f t="shared" si="16"/>
        <v>#DIV/0!</v>
      </c>
      <c r="N26" s="26" t="e">
        <f t="shared" si="16"/>
        <v>#DIV/0!</v>
      </c>
    </row>
    <row r="27" spans="2:14" ht="25.5">
      <c r="B27" s="25" t="s">
        <v>290</v>
      </c>
      <c r="C27" s="26">
        <f t="shared" ref="C27:N27" si="17">+C18*C24</f>
        <v>2736.1952023809522</v>
      </c>
      <c r="D27" s="26">
        <f t="shared" si="17"/>
        <v>1527.8635714285715</v>
      </c>
      <c r="E27" s="26">
        <f t="shared" si="17"/>
        <v>1630.3106369047619</v>
      </c>
      <c r="F27" s="26">
        <f t="shared" si="17"/>
        <v>2820.5077142857144</v>
      </c>
      <c r="G27" s="26">
        <f t="shared" si="17"/>
        <v>5545.7684226190477</v>
      </c>
      <c r="H27" s="26">
        <f t="shared" si="17"/>
        <v>2171.1314047619048</v>
      </c>
      <c r="I27" s="26">
        <f t="shared" si="17"/>
        <v>2371.6785535714284</v>
      </c>
      <c r="J27" s="26">
        <f t="shared" si="17"/>
        <v>2789.4396190476191</v>
      </c>
      <c r="K27" s="26">
        <f t="shared" si="17"/>
        <v>2846.0057976190478</v>
      </c>
      <c r="L27" s="26" t="e">
        <f t="shared" si="17"/>
        <v>#DIV/0!</v>
      </c>
      <c r="M27" s="26" t="e">
        <f t="shared" si="17"/>
        <v>#DIV/0!</v>
      </c>
      <c r="N27" s="26" t="e">
        <f t="shared" si="17"/>
        <v>#DIV/0!</v>
      </c>
    </row>
    <row r="29" spans="2:14" ht="25.5">
      <c r="B29" s="243" t="s">
        <v>291</v>
      </c>
      <c r="C29" s="81">
        <f t="shared" ref="C29:N29" si="18">C7-C12</f>
        <v>-4279715000</v>
      </c>
      <c r="D29" s="81">
        <f t="shared" si="18"/>
        <v>21823414000</v>
      </c>
      <c r="E29" s="81">
        <f t="shared" si="18"/>
        <v>36464652000</v>
      </c>
      <c r="F29" s="81">
        <f t="shared" si="18"/>
        <v>-78721508000</v>
      </c>
      <c r="G29" s="81">
        <f t="shared" si="18"/>
        <v>70849637000</v>
      </c>
      <c r="H29" s="81">
        <f t="shared" si="18"/>
        <v>34213382000</v>
      </c>
      <c r="I29" s="81">
        <f t="shared" si="18"/>
        <v>20781055000</v>
      </c>
      <c r="J29" s="81">
        <f t="shared" si="18"/>
        <v>-16655865000</v>
      </c>
      <c r="K29" s="81">
        <f t="shared" si="18"/>
        <v>-65258488000</v>
      </c>
      <c r="L29" s="81">
        <f t="shared" si="18"/>
        <v>0</v>
      </c>
      <c r="M29" s="81">
        <f t="shared" si="18"/>
        <v>0</v>
      </c>
      <c r="N29" s="81">
        <f t="shared" si="18"/>
        <v>0</v>
      </c>
    </row>
    <row r="30" spans="2:14" ht="25.5">
      <c r="B30" s="30" t="s">
        <v>149</v>
      </c>
      <c r="C30" s="241">
        <f t="shared" ref="C30:N30" si="19">C7/C12</f>
        <v>0.96274473496906965</v>
      </c>
      <c r="D30" s="241">
        <f t="shared" si="19"/>
        <v>1.2021303690306471</v>
      </c>
      <c r="E30" s="241">
        <f t="shared" si="19"/>
        <v>1.2159033158850132</v>
      </c>
      <c r="F30" s="241">
        <f t="shared" si="19"/>
        <v>0.53708793419586409</v>
      </c>
      <c r="G30" s="241">
        <f t="shared" si="19"/>
        <v>1.6264615551173869</v>
      </c>
      <c r="H30" s="242">
        <f t="shared" si="19"/>
        <v>1.2974816024164562</v>
      </c>
      <c r="I30" s="242">
        <f t="shared" si="19"/>
        <v>1.1565987876282207</v>
      </c>
      <c r="J30" s="242">
        <f t="shared" si="19"/>
        <v>0.90224898927740305</v>
      </c>
      <c r="K30" s="242">
        <f t="shared" si="19"/>
        <v>0.67956091659387752</v>
      </c>
      <c r="L30" s="242" t="e">
        <f t="shared" si="19"/>
        <v>#DIV/0!</v>
      </c>
      <c r="M30" s="242" t="e">
        <f t="shared" si="19"/>
        <v>#DIV/0!</v>
      </c>
      <c r="N30" s="242" t="e">
        <f t="shared" si="19"/>
        <v>#DIV/0!</v>
      </c>
    </row>
    <row r="31" spans="2:14" ht="25.5">
      <c r="B31" s="30" t="s">
        <v>292</v>
      </c>
      <c r="C31" s="241">
        <f t="shared" ref="C31:N31" si="20">+(C7-C9)/C12</f>
        <v>0.96274473496906965</v>
      </c>
      <c r="D31" s="241">
        <f t="shared" si="20"/>
        <v>1.2021303690306471</v>
      </c>
      <c r="E31" s="241">
        <f t="shared" si="20"/>
        <v>1.1213930509742973</v>
      </c>
      <c r="F31" s="241">
        <f t="shared" si="20"/>
        <v>0.40299361591687943</v>
      </c>
      <c r="G31" s="241">
        <f t="shared" si="20"/>
        <v>1.4405786012651953</v>
      </c>
      <c r="H31" s="241">
        <f t="shared" si="20"/>
        <v>0.91833720796482898</v>
      </c>
      <c r="I31" s="241">
        <f t="shared" si="20"/>
        <v>0.83145236690592661</v>
      </c>
      <c r="J31" s="241">
        <f t="shared" si="20"/>
        <v>0.66622802970858996</v>
      </c>
      <c r="K31" s="241">
        <f t="shared" si="20"/>
        <v>0.463979988346373</v>
      </c>
      <c r="L31" s="241" t="e">
        <f t="shared" si="20"/>
        <v>#DIV/0!</v>
      </c>
      <c r="M31" s="241" t="e">
        <f t="shared" si="20"/>
        <v>#DIV/0!</v>
      </c>
      <c r="N31" s="241" t="e">
        <f t="shared" si="20"/>
        <v>#DIV/0!</v>
      </c>
    </row>
    <row r="32" spans="2:14" ht="25.5">
      <c r="B32" s="32" t="s">
        <v>153</v>
      </c>
      <c r="C32" s="33">
        <f t="shared" ref="C32:N32" si="21">C14/C11</f>
        <v>0.61592171323922529</v>
      </c>
      <c r="D32" s="33">
        <f t="shared" si="21"/>
        <v>0.61957009221625647</v>
      </c>
      <c r="E32" s="33">
        <f t="shared" si="21"/>
        <v>0.60579431596513655</v>
      </c>
      <c r="F32" s="33">
        <f t="shared" si="21"/>
        <v>0.76473095201835195</v>
      </c>
      <c r="G32" s="33">
        <f t="shared" si="21"/>
        <v>0.53805050546197919</v>
      </c>
      <c r="H32" s="33">
        <f t="shared" si="21"/>
        <v>0.55563253037534199</v>
      </c>
      <c r="I32" s="33">
        <f t="shared" si="21"/>
        <v>0.543356172565025</v>
      </c>
      <c r="J32" s="33">
        <f t="shared" si="21"/>
        <v>0.54124312575528111</v>
      </c>
      <c r="K32" s="33">
        <f t="shared" si="21"/>
        <v>0.5495887581940041</v>
      </c>
      <c r="L32" s="33" t="e">
        <f t="shared" si="21"/>
        <v>#DIV/0!</v>
      </c>
      <c r="M32" s="33" t="e">
        <f t="shared" si="21"/>
        <v>#DIV/0!</v>
      </c>
      <c r="N32" s="33" t="e">
        <f t="shared" si="21"/>
        <v>#DIV/0!</v>
      </c>
    </row>
    <row r="35" spans="2:14" ht="25.5">
      <c r="B35" s="35" t="s">
        <v>293</v>
      </c>
      <c r="C35" s="36">
        <f>+C119</f>
        <v>557767708000</v>
      </c>
      <c r="D35" s="36">
        <f t="shared" ref="D35:N35" si="22">+D119</f>
        <v>364486246000</v>
      </c>
      <c r="E35" s="36">
        <f t="shared" si="22"/>
        <v>331516616000</v>
      </c>
      <c r="F35" s="36">
        <f t="shared" si="22"/>
        <v>337684571000</v>
      </c>
      <c r="G35" s="36">
        <f t="shared" si="22"/>
        <v>452339507000</v>
      </c>
      <c r="H35" s="36">
        <f t="shared" si="22"/>
        <v>533831796000</v>
      </c>
      <c r="I35" s="36">
        <f t="shared" si="22"/>
        <v>500956305000</v>
      </c>
      <c r="J35" s="36">
        <f t="shared" si="22"/>
        <v>582270340000</v>
      </c>
      <c r="K35" s="36">
        <f t="shared" si="22"/>
        <v>619268559000</v>
      </c>
      <c r="L35" s="36">
        <f t="shared" si="22"/>
        <v>0</v>
      </c>
      <c r="M35" s="36">
        <f t="shared" si="22"/>
        <v>0</v>
      </c>
      <c r="N35" s="36">
        <f t="shared" si="22"/>
        <v>0</v>
      </c>
    </row>
    <row r="36" spans="2:14" ht="25.5">
      <c r="B36" s="39" t="s">
        <v>156</v>
      </c>
      <c r="C36" s="40">
        <f>+C126</f>
        <v>60190016000</v>
      </c>
      <c r="D36" s="40">
        <f t="shared" ref="D36:N36" si="23">+D126</f>
        <v>39979948000</v>
      </c>
      <c r="E36" s="40">
        <f t="shared" si="23"/>
        <v>44289589000</v>
      </c>
      <c r="F36" s="40">
        <f t="shared" si="23"/>
        <v>32842564000</v>
      </c>
      <c r="G36" s="40">
        <f t="shared" si="23"/>
        <v>150666727000</v>
      </c>
      <c r="H36" s="40">
        <f t="shared" si="23"/>
        <v>40173053000</v>
      </c>
      <c r="I36" s="40">
        <f t="shared" si="23"/>
        <v>41098126000</v>
      </c>
      <c r="J36" s="40">
        <f t="shared" si="23"/>
        <v>53988213000</v>
      </c>
      <c r="K36" s="40">
        <f t="shared" si="23"/>
        <v>40907995000</v>
      </c>
      <c r="L36" s="40">
        <f t="shared" si="23"/>
        <v>0</v>
      </c>
      <c r="M36" s="40">
        <f t="shared" si="23"/>
        <v>0</v>
      </c>
      <c r="N36" s="40">
        <f t="shared" si="23"/>
        <v>0</v>
      </c>
    </row>
    <row r="37" spans="2:14" ht="25.5">
      <c r="B37" s="35" t="s">
        <v>381</v>
      </c>
      <c r="C37" s="41">
        <f>C36/C35</f>
        <v>0.10791233543409078</v>
      </c>
      <c r="D37" s="41">
        <f t="shared" ref="D37:N37" si="24">D36/D35</f>
        <v>0.10968849562570325</v>
      </c>
      <c r="E37" s="41">
        <f t="shared" si="24"/>
        <v>0.1335968903591849</v>
      </c>
      <c r="F37" s="41">
        <f t="shared" si="24"/>
        <v>9.7258112512342176E-2</v>
      </c>
      <c r="G37" s="41">
        <f t="shared" si="24"/>
        <v>0.3330832807402781</v>
      </c>
      <c r="H37" s="41">
        <f t="shared" si="24"/>
        <v>7.5254140538305439E-2</v>
      </c>
      <c r="I37" s="41">
        <f t="shared" si="24"/>
        <v>8.2039342732696016E-2</v>
      </c>
      <c r="J37" s="41">
        <f t="shared" si="24"/>
        <v>9.2720183892588445E-2</v>
      </c>
      <c r="K37" s="41">
        <f t="shared" si="24"/>
        <v>6.6058569267683429E-2</v>
      </c>
      <c r="L37" s="41" t="e">
        <f t="shared" si="24"/>
        <v>#DIV/0!</v>
      </c>
      <c r="M37" s="41" t="e">
        <f t="shared" si="24"/>
        <v>#DIV/0!</v>
      </c>
      <c r="N37" s="41" t="e">
        <f t="shared" si="24"/>
        <v>#DIV/0!</v>
      </c>
    </row>
    <row r="38" spans="2:14" ht="25.5">
      <c r="B38" s="43" t="s">
        <v>295</v>
      </c>
      <c r="C38" s="44">
        <f>+C137</f>
        <v>28215463000</v>
      </c>
      <c r="D38" s="44">
        <f t="shared" ref="D38:N38" si="25">+D137</f>
        <v>21550107000</v>
      </c>
      <c r="E38" s="44">
        <f t="shared" si="25"/>
        <v>26441255000</v>
      </c>
      <c r="F38" s="44">
        <f t="shared" si="25"/>
        <v>31846662000</v>
      </c>
      <c r="G38" s="44">
        <f t="shared" si="25"/>
        <v>115000855000</v>
      </c>
      <c r="H38" s="44">
        <f t="shared" si="25"/>
        <v>12985403000</v>
      </c>
      <c r="I38" s="44">
        <f t="shared" si="25"/>
        <v>17709580000</v>
      </c>
      <c r="J38" s="44">
        <f t="shared" si="25"/>
        <v>21927832000</v>
      </c>
      <c r="K38" s="44">
        <f t="shared" si="25"/>
        <v>17977389000</v>
      </c>
      <c r="L38" s="44">
        <f t="shared" si="25"/>
        <v>0</v>
      </c>
      <c r="M38" s="44">
        <f t="shared" si="25"/>
        <v>0</v>
      </c>
      <c r="N38" s="44">
        <f t="shared" si="25"/>
        <v>0</v>
      </c>
    </row>
    <row r="39" spans="2:14" ht="25.5">
      <c r="B39" s="30" t="s">
        <v>296</v>
      </c>
      <c r="C39" s="45">
        <f>C38/C35</f>
        <v>5.0586404690176147E-2</v>
      </c>
      <c r="D39" s="45">
        <f t="shared" ref="D39:N39" si="26">D38/D35</f>
        <v>5.9124609601866843E-2</v>
      </c>
      <c r="E39" s="45">
        <f t="shared" si="26"/>
        <v>7.9758460734287898E-2</v>
      </c>
      <c r="F39" s="45">
        <f t="shared" si="26"/>
        <v>9.430890462567211E-2</v>
      </c>
      <c r="G39" s="45">
        <f t="shared" si="26"/>
        <v>0.25423570840121201</v>
      </c>
      <c r="H39" s="45">
        <f t="shared" si="26"/>
        <v>2.4324896151371247E-2</v>
      </c>
      <c r="I39" s="45">
        <f t="shared" si="26"/>
        <v>3.5351546279071187E-2</v>
      </c>
      <c r="J39" s="45">
        <f t="shared" si="26"/>
        <v>3.7659194524660142E-2</v>
      </c>
      <c r="K39" s="45">
        <f t="shared" si="26"/>
        <v>2.903003670819335E-2</v>
      </c>
      <c r="L39" s="45" t="e">
        <f t="shared" si="26"/>
        <v>#DIV/0!</v>
      </c>
      <c r="M39" s="45" t="e">
        <f t="shared" si="26"/>
        <v>#DIV/0!</v>
      </c>
      <c r="N39" s="45" t="e">
        <f t="shared" si="26"/>
        <v>#DIV/0!</v>
      </c>
    </row>
    <row r="40" spans="2:14" ht="25.5">
      <c r="B40" s="46" t="s">
        <v>159</v>
      </c>
      <c r="C40" s="121">
        <f>+C138</f>
        <v>169</v>
      </c>
      <c r="D40" s="121">
        <f t="shared" ref="D40:N40" si="27">+D138</f>
        <v>128.27000000000001</v>
      </c>
      <c r="E40" s="121">
        <f t="shared" si="27"/>
        <v>157.38999999999999</v>
      </c>
      <c r="F40" s="121">
        <f t="shared" si="27"/>
        <v>189.56</v>
      </c>
      <c r="G40" s="121">
        <f t="shared" si="27"/>
        <v>684.53</v>
      </c>
      <c r="H40" s="121">
        <f t="shared" si="27"/>
        <v>77.290000000000006</v>
      </c>
      <c r="I40" s="121">
        <f t="shared" si="27"/>
        <v>105.41</v>
      </c>
      <c r="J40" s="121">
        <f t="shared" si="27"/>
        <v>131</v>
      </c>
      <c r="K40" s="121">
        <f t="shared" si="27"/>
        <v>107.01</v>
      </c>
      <c r="L40" s="121">
        <f t="shared" si="27"/>
        <v>0</v>
      </c>
      <c r="M40" s="121">
        <f t="shared" si="27"/>
        <v>0</v>
      </c>
      <c r="N40" s="121">
        <f t="shared" si="27"/>
        <v>0</v>
      </c>
    </row>
    <row r="41" spans="2:14" ht="25.5">
      <c r="B41" s="48" t="s">
        <v>160</v>
      </c>
      <c r="C41" s="49">
        <f t="shared" ref="C41:N41" si="28">C38/C15</f>
        <v>0.12276111322588779</v>
      </c>
      <c r="D41" s="49">
        <f t="shared" si="28"/>
        <v>8.395674118248217E-2</v>
      </c>
      <c r="E41" s="49">
        <f t="shared" si="28"/>
        <v>9.6538916606628139E-2</v>
      </c>
      <c r="F41" s="49">
        <f t="shared" si="28"/>
        <v>0.13441797256968022</v>
      </c>
      <c r="G41" s="49">
        <f t="shared" si="28"/>
        <v>0.30858162775856041</v>
      </c>
      <c r="H41" s="49">
        <f t="shared" si="28"/>
        <v>3.5600823288108104E-2</v>
      </c>
      <c r="I41" s="49">
        <f t="shared" si="28"/>
        <v>4.4447071677537045E-2</v>
      </c>
      <c r="J41" s="49">
        <f t="shared" si="28"/>
        <v>4.6791767289938009E-2</v>
      </c>
      <c r="K41" s="49">
        <f t="shared" si="28"/>
        <v>3.759945533022644E-2</v>
      </c>
      <c r="L41" s="49" t="e">
        <f t="shared" si="28"/>
        <v>#DIV/0!</v>
      </c>
      <c r="M41" s="49" t="e">
        <f t="shared" si="28"/>
        <v>#DIV/0!</v>
      </c>
      <c r="N41" s="49" t="e">
        <f t="shared" si="28"/>
        <v>#DIV/0!</v>
      </c>
    </row>
    <row r="42" spans="2:14" ht="25.5">
      <c r="B42" s="48" t="s">
        <v>382</v>
      </c>
      <c r="C42" s="49">
        <f>AVERAGE(I41:K41)</f>
        <v>4.2946098099233831E-2</v>
      </c>
      <c r="D42" s="49"/>
      <c r="E42" s="49"/>
      <c r="F42" s="49"/>
      <c r="G42" s="49"/>
      <c r="H42" s="49"/>
      <c r="I42" s="49"/>
      <c r="J42" s="49"/>
      <c r="K42" s="49"/>
      <c r="L42" s="49"/>
      <c r="M42" s="49"/>
      <c r="N42" s="49"/>
    </row>
    <row r="43" spans="2:14" ht="25.5">
      <c r="B43" s="48" t="s">
        <v>298</v>
      </c>
      <c r="C43" s="50">
        <f>+C150</f>
        <v>30944572000</v>
      </c>
      <c r="D43" s="50">
        <f t="shared" ref="D43:N43" si="29">+D150</f>
        <v>8910323000</v>
      </c>
      <c r="E43" s="50">
        <f t="shared" si="29"/>
        <v>20755242000</v>
      </c>
      <c r="F43" s="50">
        <f t="shared" si="29"/>
        <v>12974821000</v>
      </c>
      <c r="G43" s="50">
        <f t="shared" si="29"/>
        <v>-1996750000</v>
      </c>
      <c r="H43" s="50">
        <f t="shared" si="29"/>
        <v>-28063271000</v>
      </c>
      <c r="I43" s="50">
        <f t="shared" si="29"/>
        <v>22044102000</v>
      </c>
      <c r="J43" s="50">
        <f t="shared" si="29"/>
        <v>-22056477000</v>
      </c>
      <c r="K43" s="50">
        <f t="shared" si="29"/>
        <v>-38631078000</v>
      </c>
      <c r="L43" s="50">
        <f t="shared" si="29"/>
        <v>0</v>
      </c>
      <c r="M43" s="50">
        <f t="shared" si="29"/>
        <v>0</v>
      </c>
      <c r="N43" s="50">
        <f t="shared" si="29"/>
        <v>0</v>
      </c>
    </row>
    <row r="44" spans="2:14" ht="25.5">
      <c r="B44" s="908" t="s">
        <v>111</v>
      </c>
      <c r="C44" s="51">
        <f t="shared" ref="C44:H44" si="30">SUM(C46:C49)</f>
        <v>80</v>
      </c>
      <c r="D44" s="51">
        <f t="shared" si="30"/>
        <v>85</v>
      </c>
      <c r="E44" s="51">
        <f t="shared" si="30"/>
        <v>82</v>
      </c>
      <c r="F44" s="51">
        <f t="shared" si="30"/>
        <v>82</v>
      </c>
      <c r="G44" s="51">
        <f t="shared" si="30"/>
        <v>204</v>
      </c>
      <c r="H44" s="51">
        <f t="shared" si="30"/>
        <v>112</v>
      </c>
      <c r="I44" s="51">
        <f t="shared" ref="I44:N44" si="31">SUM(I46:I48)</f>
        <v>43.2</v>
      </c>
      <c r="J44" s="51">
        <f t="shared" si="31"/>
        <v>49</v>
      </c>
      <c r="K44" s="51">
        <f t="shared" si="31"/>
        <v>59</v>
      </c>
      <c r="L44" s="51">
        <f t="shared" si="31"/>
        <v>0</v>
      </c>
      <c r="M44" s="51">
        <f t="shared" si="31"/>
        <v>0</v>
      </c>
      <c r="N44" s="51">
        <f t="shared" si="31"/>
        <v>0</v>
      </c>
    </row>
    <row r="45" spans="2:14" ht="25.5">
      <c r="B45" s="908" t="s">
        <v>112</v>
      </c>
      <c r="C45" s="51">
        <f t="shared" ref="C45:N45" si="32">+C46+C47</f>
        <v>60</v>
      </c>
      <c r="D45" s="51">
        <f t="shared" si="32"/>
        <v>60</v>
      </c>
      <c r="E45" s="51">
        <f t="shared" si="32"/>
        <v>60</v>
      </c>
      <c r="F45" s="51">
        <f t="shared" si="32"/>
        <v>82</v>
      </c>
      <c r="G45" s="51">
        <f t="shared" si="32"/>
        <v>179</v>
      </c>
      <c r="H45" s="51">
        <f t="shared" si="32"/>
        <v>92</v>
      </c>
      <c r="I45" s="51">
        <f t="shared" si="32"/>
        <v>43.2</v>
      </c>
      <c r="J45" s="51">
        <f t="shared" si="32"/>
        <v>49</v>
      </c>
      <c r="K45" s="51">
        <f t="shared" si="32"/>
        <v>59</v>
      </c>
      <c r="L45" s="51">
        <f t="shared" si="32"/>
        <v>0</v>
      </c>
      <c r="M45" s="51">
        <f t="shared" si="32"/>
        <v>0</v>
      </c>
      <c r="N45" s="51">
        <f t="shared" si="32"/>
        <v>0</v>
      </c>
    </row>
    <row r="46" spans="2:14" ht="18">
      <c r="B46" s="909" t="s">
        <v>114</v>
      </c>
      <c r="C46" s="94"/>
      <c r="D46" s="94">
        <v>0</v>
      </c>
      <c r="E46" s="94"/>
      <c r="F46" s="94">
        <v>22</v>
      </c>
      <c r="G46" s="94">
        <v>0</v>
      </c>
      <c r="H46" s="94">
        <v>37</v>
      </c>
      <c r="I46" s="155">
        <f>5+18.2</f>
        <v>23.2</v>
      </c>
      <c r="J46" s="155">
        <v>20</v>
      </c>
      <c r="K46" s="155">
        <v>21</v>
      </c>
      <c r="L46" s="155"/>
      <c r="M46" s="155"/>
      <c r="N46" s="155"/>
    </row>
    <row r="47" spans="2:14" ht="18">
      <c r="B47" s="909" t="s">
        <v>115</v>
      </c>
      <c r="C47" s="94">
        <f>12+12+12+12+12</f>
        <v>60</v>
      </c>
      <c r="D47" s="94">
        <f>12+12+12+12+12</f>
        <v>60</v>
      </c>
      <c r="E47" s="94">
        <f>12+12+12+12+12</f>
        <v>60</v>
      </c>
      <c r="F47" s="94">
        <f>12+12+12+12+12</f>
        <v>60</v>
      </c>
      <c r="G47" s="94">
        <f>50+56+37+12+12+12</f>
        <v>179</v>
      </c>
      <c r="H47" s="94">
        <f>5+50</f>
        <v>55</v>
      </c>
      <c r="I47" s="155">
        <f>5+5+5+5</f>
        <v>20</v>
      </c>
      <c r="J47" s="155">
        <f>6+6+6+6+5</f>
        <v>29</v>
      </c>
      <c r="K47" s="155">
        <f>6+7+7+9+9</f>
        <v>38</v>
      </c>
      <c r="L47" s="155"/>
      <c r="M47" s="155"/>
      <c r="N47" s="155"/>
    </row>
    <row r="48" spans="2:14" ht="18">
      <c r="B48" s="909" t="s">
        <v>116</v>
      </c>
      <c r="C48" s="94">
        <v>20</v>
      </c>
      <c r="D48" s="94">
        <v>25</v>
      </c>
      <c r="E48" s="94">
        <v>22</v>
      </c>
      <c r="F48" s="94"/>
      <c r="G48" s="94">
        <v>25</v>
      </c>
      <c r="H48" s="94">
        <v>5</v>
      </c>
      <c r="I48" s="155"/>
      <c r="J48" s="155"/>
      <c r="K48" s="155"/>
      <c r="L48" s="155"/>
      <c r="M48" s="155"/>
      <c r="N48" s="155"/>
    </row>
    <row r="49" spans="2:16">
      <c r="B49" s="909" t="s">
        <v>117</v>
      </c>
      <c r="C49" s="94"/>
      <c r="D49" s="94"/>
      <c r="E49" s="94"/>
      <c r="F49" s="94"/>
      <c r="G49" s="94"/>
      <c r="H49" s="94">
        <f>5+5+5</f>
        <v>15</v>
      </c>
      <c r="I49" s="94"/>
      <c r="J49" s="94"/>
      <c r="K49" s="94"/>
      <c r="L49" s="94"/>
      <c r="M49" s="94"/>
      <c r="N49" s="94"/>
    </row>
    <row r="50" spans="2:16" ht="25.5">
      <c r="B50" s="908" t="s">
        <v>119</v>
      </c>
      <c r="C50" s="51">
        <f t="shared" ref="C50:H50" si="33">SUM(C52:C55)</f>
        <v>80</v>
      </c>
      <c r="D50" s="51">
        <f t="shared" si="33"/>
        <v>85</v>
      </c>
      <c r="E50" s="51">
        <f t="shared" si="33"/>
        <v>116</v>
      </c>
      <c r="F50" s="51">
        <f t="shared" si="33"/>
        <v>85</v>
      </c>
      <c r="G50" s="51">
        <f t="shared" si="33"/>
        <v>209</v>
      </c>
      <c r="H50" s="51">
        <f t="shared" si="33"/>
        <v>43.2</v>
      </c>
      <c r="I50" s="51">
        <f t="shared" ref="I50:N50" si="34">SUM(I52:I54)</f>
        <v>45</v>
      </c>
      <c r="J50" s="51">
        <f t="shared" si="34"/>
        <v>30</v>
      </c>
      <c r="K50" s="51">
        <f t="shared" si="34"/>
        <v>41</v>
      </c>
      <c r="L50" s="51">
        <f t="shared" si="34"/>
        <v>0</v>
      </c>
      <c r="M50" s="51">
        <f t="shared" si="34"/>
        <v>0</v>
      </c>
      <c r="N50" s="51">
        <f t="shared" si="34"/>
        <v>0</v>
      </c>
    </row>
    <row r="51" spans="2:16" ht="25.5">
      <c r="B51" s="908" t="s">
        <v>120</v>
      </c>
      <c r="C51" s="51">
        <f t="shared" ref="C51:N51" si="35">+C52+C53</f>
        <v>60</v>
      </c>
      <c r="D51" s="51">
        <f t="shared" si="35"/>
        <v>60</v>
      </c>
      <c r="E51" s="51">
        <f t="shared" si="35"/>
        <v>94</v>
      </c>
      <c r="F51" s="51">
        <f t="shared" si="35"/>
        <v>85</v>
      </c>
      <c r="G51" s="51">
        <f t="shared" si="35"/>
        <v>209</v>
      </c>
      <c r="H51" s="51">
        <f t="shared" si="35"/>
        <v>33.200000000000003</v>
      </c>
      <c r="I51" s="51">
        <f t="shared" si="35"/>
        <v>45</v>
      </c>
      <c r="J51" s="51">
        <f t="shared" si="35"/>
        <v>30</v>
      </c>
      <c r="K51" s="51">
        <f t="shared" si="35"/>
        <v>41</v>
      </c>
      <c r="L51" s="51">
        <f t="shared" si="35"/>
        <v>0</v>
      </c>
      <c r="M51" s="51">
        <f t="shared" si="35"/>
        <v>0</v>
      </c>
      <c r="N51" s="51">
        <f t="shared" si="35"/>
        <v>0</v>
      </c>
    </row>
    <row r="52" spans="2:16" ht="18">
      <c r="B52" s="909" t="s">
        <v>121</v>
      </c>
      <c r="C52" s="94"/>
      <c r="D52" s="94">
        <v>0</v>
      </c>
      <c r="E52" s="94">
        <v>22</v>
      </c>
      <c r="F52" s="94">
        <v>25</v>
      </c>
      <c r="G52" s="94">
        <v>37</v>
      </c>
      <c r="H52" s="94">
        <v>18.2</v>
      </c>
      <c r="I52" s="155">
        <f>20+5</f>
        <v>25</v>
      </c>
      <c r="J52" s="155"/>
      <c r="K52" s="155"/>
      <c r="L52" s="155"/>
      <c r="M52" s="155"/>
      <c r="N52" s="155"/>
    </row>
    <row r="53" spans="2:16" ht="18">
      <c r="B53" s="909" t="s">
        <v>122</v>
      </c>
      <c r="C53" s="94">
        <f>12+12+12+12+12</f>
        <v>60</v>
      </c>
      <c r="D53" s="94">
        <f>12+12+12+12+12</f>
        <v>60</v>
      </c>
      <c r="E53" s="94">
        <f>12+12+12+12+12+12</f>
        <v>72</v>
      </c>
      <c r="F53" s="94">
        <f>12+12+12+12+12</f>
        <v>60</v>
      </c>
      <c r="G53" s="94">
        <f>12+12+37+56+50+5</f>
        <v>172</v>
      </c>
      <c r="H53" s="94">
        <f>5+5+5</f>
        <v>15</v>
      </c>
      <c r="I53" s="155">
        <f>5+5+5+5</f>
        <v>20</v>
      </c>
      <c r="J53" s="155">
        <f>6+6+6+6+6</f>
        <v>30</v>
      </c>
      <c r="K53" s="155">
        <f>7+7+9+9+9</f>
        <v>41</v>
      </c>
      <c r="L53" s="155"/>
      <c r="M53" s="155"/>
      <c r="N53" s="155"/>
    </row>
    <row r="54" spans="2:16" ht="18">
      <c r="B54" s="909" t="s">
        <v>123</v>
      </c>
      <c r="C54" s="94">
        <v>20</v>
      </c>
      <c r="D54" s="94">
        <v>25</v>
      </c>
      <c r="E54" s="94">
        <v>22</v>
      </c>
      <c r="F54" s="94"/>
      <c r="G54" s="94"/>
      <c r="H54" s="94">
        <v>5</v>
      </c>
      <c r="I54" s="155"/>
      <c r="J54" s="155"/>
      <c r="K54" s="155"/>
      <c r="L54" s="155"/>
      <c r="M54" s="155"/>
      <c r="N54" s="155"/>
    </row>
    <row r="55" spans="2:16">
      <c r="B55" s="909" t="s">
        <v>124</v>
      </c>
      <c r="C55" s="94"/>
      <c r="D55" s="94"/>
      <c r="E55" s="94"/>
      <c r="F55" s="94"/>
      <c r="G55" s="94"/>
      <c r="H55" s="94">
        <v>5</v>
      </c>
      <c r="I55" s="94"/>
      <c r="J55" s="94"/>
      <c r="K55" s="94"/>
      <c r="L55" s="94"/>
      <c r="M55" s="94"/>
      <c r="N55" s="94"/>
    </row>
    <row r="56" spans="2:16" ht="25.5">
      <c r="B56" s="541" t="s">
        <v>167</v>
      </c>
      <c r="C56" s="99">
        <f>(C47+C48+D46)/C40</f>
        <v>0.47337278106508873</v>
      </c>
      <c r="D56" s="99">
        <f t="shared" ref="D56:N56" si="36">(D47+D48+E46)/D40</f>
        <v>0.66266469166601694</v>
      </c>
      <c r="E56" s="99">
        <f t="shared" si="36"/>
        <v>0.66077895673168563</v>
      </c>
      <c r="F56" s="99">
        <f t="shared" si="36"/>
        <v>0.31652247309558978</v>
      </c>
      <c r="G56" s="99">
        <f t="shared" si="36"/>
        <v>0.35206638131272555</v>
      </c>
      <c r="H56" s="99">
        <f t="shared" si="36"/>
        <v>1.0764652607064302</v>
      </c>
      <c r="I56" s="99">
        <f t="shared" si="36"/>
        <v>0.3794706384593492</v>
      </c>
      <c r="J56" s="99">
        <f t="shared" si="36"/>
        <v>0.38167938931297712</v>
      </c>
      <c r="K56" s="99">
        <f t="shared" si="36"/>
        <v>0.35510699934585549</v>
      </c>
      <c r="L56" s="99" t="e">
        <f t="shared" si="36"/>
        <v>#DIV/0!</v>
      </c>
      <c r="M56" s="99" t="e">
        <f t="shared" si="36"/>
        <v>#DIV/0!</v>
      </c>
      <c r="N56" s="99" t="e">
        <f t="shared" si="36"/>
        <v>#DIV/0!</v>
      </c>
    </row>
    <row r="57" spans="2:16" ht="28.5">
      <c r="B57" s="540" t="s">
        <v>303</v>
      </c>
      <c r="C57" s="54">
        <f>AVERAGE(H56:J56)</f>
        <v>0.61253842949291881</v>
      </c>
      <c r="D57" s="54"/>
      <c r="E57" s="54"/>
      <c r="F57" s="54"/>
      <c r="G57" s="54"/>
      <c r="H57" s="54"/>
      <c r="I57" s="54"/>
      <c r="J57" s="54"/>
      <c r="K57" s="54"/>
      <c r="L57" s="54"/>
      <c r="M57" s="54"/>
      <c r="N57" s="54"/>
    </row>
    <row r="58" spans="2:16" ht="25.5">
      <c r="B58" s="541" t="s">
        <v>299</v>
      </c>
      <c r="C58" s="99">
        <f t="shared" ref="C58:I58" si="37">+C44/C19</f>
        <v>4.5454545454545456E-2</v>
      </c>
      <c r="D58" s="99">
        <f t="shared" si="37"/>
        <v>4.4456066945606693E-2</v>
      </c>
      <c r="E58" s="99">
        <f t="shared" si="37"/>
        <v>5.030674846625767E-2</v>
      </c>
      <c r="F58" s="99">
        <f t="shared" si="37"/>
        <v>4.8235294117647057E-2</v>
      </c>
      <c r="G58" s="99">
        <f t="shared" si="37"/>
        <v>0.15178571428571427</v>
      </c>
      <c r="H58" s="99">
        <f t="shared" si="37"/>
        <v>0.13575757575757577</v>
      </c>
      <c r="I58" s="99">
        <f t="shared" si="37"/>
        <v>4.1538461538461538E-2</v>
      </c>
      <c r="J58" s="99">
        <f t="shared" ref="J58:N58" si="38">+J44/J19</f>
        <v>3.6842105263157891E-2</v>
      </c>
      <c r="K58" s="99">
        <f t="shared" si="38"/>
        <v>3.3776047629951914E-2</v>
      </c>
      <c r="L58" s="99" t="e">
        <f t="shared" si="38"/>
        <v>#DIV/0!</v>
      </c>
      <c r="M58" s="99" t="e">
        <f t="shared" si="38"/>
        <v>#DIV/0!</v>
      </c>
      <c r="N58" s="99" t="e">
        <f t="shared" si="38"/>
        <v>#DIV/0!</v>
      </c>
    </row>
    <row r="59" spans="2:16" ht="25.5">
      <c r="B59" s="542" t="s">
        <v>384</v>
      </c>
      <c r="C59" s="534">
        <f>AVERAGE(H58:J58)</f>
        <v>7.1379380853065069E-2</v>
      </c>
      <c r="D59" s="534"/>
      <c r="E59" s="534"/>
      <c r="F59" s="534"/>
      <c r="G59" s="534"/>
      <c r="H59" s="534"/>
      <c r="I59" s="534"/>
      <c r="J59" s="534"/>
      <c r="K59" s="534"/>
      <c r="L59" s="534"/>
      <c r="M59" s="534"/>
      <c r="N59" s="534"/>
      <c r="O59" s="534"/>
      <c r="P59" s="534"/>
    </row>
    <row r="60" spans="2:16" ht="25.5">
      <c r="B60" s="543" t="s">
        <v>176</v>
      </c>
      <c r="C60" s="355">
        <f>+C41*(100%-C56)</f>
        <v>6.4649343651503044E-2</v>
      </c>
      <c r="D60" s="355">
        <f t="shared" ref="D60:I60" si="39">+D41*(100%-D56)</f>
        <v>2.8321573173509036E-2</v>
      </c>
      <c r="E60" s="355">
        <f t="shared" si="39"/>
        <v>3.2748032007293197E-2</v>
      </c>
      <c r="F60" s="549">
        <f t="shared" si="39"/>
        <v>9.1871663463429884E-2</v>
      </c>
      <c r="G60" s="355">
        <f t="shared" si="39"/>
        <v>0.19994041073401353</v>
      </c>
      <c r="H60" s="355">
        <f t="shared" si="39"/>
        <v>-2.7222262340887387E-3</v>
      </c>
      <c r="I60" s="355">
        <f t="shared" si="39"/>
        <v>2.7580713010413607E-2</v>
      </c>
      <c r="J60" s="355">
        <f t="shared" ref="J60:N60" si="40">+J41*(100%-J56)</f>
        <v>2.8932314125839534E-2</v>
      </c>
      <c r="K60" s="355">
        <f t="shared" si="40"/>
        <v>2.4247625570871196E-2</v>
      </c>
      <c r="L60" s="355" t="e">
        <f t="shared" si="40"/>
        <v>#DIV/0!</v>
      </c>
      <c r="M60" s="355" t="e">
        <f t="shared" si="40"/>
        <v>#DIV/0!</v>
      </c>
      <c r="N60" s="355" t="e">
        <f t="shared" si="40"/>
        <v>#DIV/0!</v>
      </c>
    </row>
    <row r="61" spans="2:16" ht="25.5">
      <c r="B61" s="542" t="s">
        <v>306</v>
      </c>
      <c r="C61" s="534">
        <f>AVERAGE(H60:J60)</f>
        <v>1.7930266967388132E-2</v>
      </c>
      <c r="D61" s="534"/>
      <c r="E61" s="534"/>
      <c r="F61" s="534"/>
      <c r="G61" s="534"/>
      <c r="H61" s="534"/>
      <c r="I61" s="534"/>
      <c r="J61" s="534"/>
      <c r="K61" s="534"/>
      <c r="L61" s="534"/>
      <c r="M61" s="534"/>
      <c r="N61" s="534"/>
      <c r="O61" s="534"/>
    </row>
    <row r="62" spans="2:16" ht="25.5">
      <c r="B62" s="917" t="s">
        <v>300</v>
      </c>
      <c r="C62" s="1132">
        <f ca="1">B3</f>
        <v>1500</v>
      </c>
      <c r="D62" s="534"/>
      <c r="E62" s="534"/>
      <c r="F62" s="534"/>
      <c r="G62" s="534"/>
      <c r="H62" s="534"/>
      <c r="I62" s="534"/>
      <c r="J62" s="534"/>
      <c r="K62" s="534"/>
      <c r="L62" s="534"/>
      <c r="M62" s="534"/>
      <c r="N62" s="534"/>
      <c r="O62" s="534"/>
    </row>
    <row r="64" spans="2:16">
      <c r="B64" s="75" t="s">
        <v>307</v>
      </c>
    </row>
    <row r="65" spans="2:14" ht="14.65" thickBot="1"/>
    <row r="66" spans="2:14">
      <c r="B66" s="57" t="s">
        <v>385</v>
      </c>
      <c r="C66" s="158">
        <v>2017</v>
      </c>
      <c r="D66" s="158">
        <v>2018</v>
      </c>
      <c r="E66" s="158">
        <v>2019</v>
      </c>
      <c r="F66" s="158">
        <v>2020</v>
      </c>
      <c r="G66" s="158">
        <v>2021</v>
      </c>
      <c r="H66" s="158">
        <v>2022</v>
      </c>
      <c r="I66" s="158">
        <v>2023</v>
      </c>
      <c r="J66" s="158">
        <v>2024</v>
      </c>
      <c r="K66" s="158">
        <v>2025</v>
      </c>
      <c r="L66" s="158">
        <v>2026</v>
      </c>
      <c r="M66" s="158">
        <v>2027</v>
      </c>
      <c r="N66" s="158">
        <v>2028</v>
      </c>
    </row>
    <row r="67" spans="2:14">
      <c r="B67" s="157" t="s">
        <v>309</v>
      </c>
      <c r="C67" s="66"/>
      <c r="D67" s="66"/>
      <c r="E67" s="66"/>
      <c r="F67" s="66"/>
      <c r="G67" s="66"/>
      <c r="H67" s="66"/>
      <c r="I67" s="66"/>
      <c r="J67" s="66"/>
      <c r="K67" s="66"/>
      <c r="L67" s="66"/>
      <c r="M67" s="66"/>
      <c r="N67" s="66"/>
    </row>
    <row r="68" spans="2:14">
      <c r="B68" s="58" t="s">
        <v>310</v>
      </c>
      <c r="C68" s="64">
        <v>110595726000</v>
      </c>
      <c r="D68" s="64">
        <v>129790436000</v>
      </c>
      <c r="E68" s="64">
        <v>205358084000</v>
      </c>
      <c r="F68" s="159">
        <v>91335645000</v>
      </c>
      <c r="G68" s="64">
        <v>183944585000</v>
      </c>
      <c r="H68" s="141">
        <v>149223459000</v>
      </c>
      <c r="I68" s="64">
        <v>153483583000</v>
      </c>
      <c r="J68" s="64">
        <v>153734854000</v>
      </c>
      <c r="K68" s="64">
        <v>138394847000</v>
      </c>
      <c r="L68" s="64"/>
      <c r="M68" s="64"/>
      <c r="N68" s="64"/>
    </row>
    <row r="69" spans="2:14">
      <c r="B69" s="59" t="s">
        <v>386</v>
      </c>
      <c r="C69" s="66"/>
      <c r="D69" s="66"/>
      <c r="E69" s="66"/>
      <c r="F69" s="66"/>
      <c r="G69" s="66"/>
      <c r="H69" s="160"/>
      <c r="I69" s="66"/>
      <c r="J69" s="66"/>
      <c r="K69" s="66"/>
      <c r="L69" s="66"/>
      <c r="M69" s="66"/>
      <c r="N69" s="66"/>
    </row>
    <row r="70" spans="2:14">
      <c r="B70" s="59" t="s">
        <v>387</v>
      </c>
      <c r="C70" s="66"/>
      <c r="D70" s="66"/>
      <c r="E70" s="66"/>
      <c r="F70" s="66"/>
      <c r="G70" s="66"/>
      <c r="H70" s="160"/>
      <c r="I70" s="66"/>
      <c r="J70" s="66"/>
      <c r="K70" s="66"/>
      <c r="L70" s="66"/>
      <c r="M70" s="66"/>
      <c r="N70" s="66"/>
    </row>
    <row r="71" spans="2:14">
      <c r="B71" s="59" t="s">
        <v>388</v>
      </c>
      <c r="C71" s="66"/>
      <c r="D71" s="66"/>
      <c r="E71" s="66"/>
      <c r="F71" s="66"/>
      <c r="G71" s="66"/>
      <c r="H71" s="160"/>
      <c r="I71" s="66"/>
      <c r="J71" s="66"/>
      <c r="K71" s="66"/>
      <c r="L71" s="66"/>
      <c r="M71" s="66"/>
      <c r="N71" s="66"/>
    </row>
    <row r="72" spans="2:14">
      <c r="B72" s="59" t="s">
        <v>389</v>
      </c>
      <c r="C72" s="66">
        <v>36765213000</v>
      </c>
      <c r="D72" s="66">
        <v>51914120000</v>
      </c>
      <c r="E72" s="66">
        <v>32118576000</v>
      </c>
      <c r="F72" s="66">
        <v>32480488000</v>
      </c>
      <c r="G72" s="66">
        <v>41151185000</v>
      </c>
      <c r="H72" s="160">
        <v>54847787000</v>
      </c>
      <c r="I72" s="66">
        <v>62504530000</v>
      </c>
      <c r="J72" s="66">
        <v>69880219000</v>
      </c>
      <c r="K72" s="66">
        <v>74271537000</v>
      </c>
      <c r="L72" s="66"/>
      <c r="M72" s="66"/>
      <c r="N72" s="66"/>
    </row>
    <row r="73" spans="2:14">
      <c r="B73" s="59" t="s">
        <v>390</v>
      </c>
      <c r="C73" s="66"/>
      <c r="D73" s="66"/>
      <c r="E73" s="66"/>
      <c r="F73" s="66"/>
      <c r="G73" s="66"/>
      <c r="H73" s="160"/>
      <c r="I73" s="66"/>
      <c r="J73" s="66"/>
      <c r="K73" s="66"/>
      <c r="L73" s="66"/>
      <c r="M73" s="66"/>
      <c r="N73" s="66"/>
    </row>
    <row r="74" spans="2:14">
      <c r="B74" s="59" t="s">
        <v>391</v>
      </c>
      <c r="C74" s="161"/>
      <c r="D74" s="66"/>
      <c r="E74" s="66">
        <v>15962163000</v>
      </c>
      <c r="F74" s="66">
        <v>22803698000</v>
      </c>
      <c r="G74" s="66">
        <v>21022423000</v>
      </c>
      <c r="H74" s="160">
        <v>43605426000</v>
      </c>
      <c r="I74" s="66">
        <v>43147752000</v>
      </c>
      <c r="J74" s="66">
        <v>40215781000</v>
      </c>
      <c r="K74" s="66">
        <v>43903775000</v>
      </c>
      <c r="L74" s="66"/>
      <c r="M74" s="66"/>
      <c r="N74" s="66"/>
    </row>
    <row r="75" spans="2:14">
      <c r="B75" s="59" t="s">
        <v>392</v>
      </c>
      <c r="C75" s="66"/>
      <c r="D75" s="66"/>
      <c r="E75" s="66"/>
      <c r="F75" s="66"/>
      <c r="G75" s="66"/>
      <c r="H75" s="160"/>
      <c r="I75" s="66"/>
      <c r="J75" s="66"/>
      <c r="K75" s="66"/>
      <c r="L75" s="66"/>
      <c r="M75" s="66"/>
      <c r="N75" s="66"/>
    </row>
    <row r="76" spans="2:14">
      <c r="B76" s="59" t="s">
        <v>318</v>
      </c>
      <c r="C76" s="66">
        <v>73830513000</v>
      </c>
      <c r="D76" s="66">
        <f t="shared" ref="D76:M76" si="41">+D68-D69-D74-D75-D73-D72-D71-D70</f>
        <v>77876316000</v>
      </c>
      <c r="E76" s="66">
        <f t="shared" si="41"/>
        <v>157277345000</v>
      </c>
      <c r="F76" s="66">
        <f t="shared" si="41"/>
        <v>36051459000</v>
      </c>
      <c r="G76" s="66">
        <f t="shared" si="41"/>
        <v>121770977000</v>
      </c>
      <c r="H76" s="66">
        <f t="shared" si="41"/>
        <v>50770246000</v>
      </c>
      <c r="I76" s="66">
        <f t="shared" si="41"/>
        <v>47831301000</v>
      </c>
      <c r="J76" s="66">
        <f>+J68-J69-J74-J75-J73-J72-J71-J70</f>
        <v>43638854000</v>
      </c>
      <c r="K76" s="66">
        <f t="shared" si="41"/>
        <v>20219535000</v>
      </c>
      <c r="L76" s="66">
        <f t="shared" si="41"/>
        <v>0</v>
      </c>
      <c r="M76" s="66">
        <f t="shared" si="41"/>
        <v>0</v>
      </c>
      <c r="N76" s="66"/>
    </row>
    <row r="77" spans="2:14">
      <c r="B77" s="58" t="s">
        <v>319</v>
      </c>
      <c r="C77" s="64">
        <v>559106475000</v>
      </c>
      <c r="D77" s="64">
        <v>596610229000</v>
      </c>
      <c r="E77" s="64">
        <v>554229903000</v>
      </c>
      <c r="F77" s="159">
        <v>508294592000</v>
      </c>
      <c r="G77" s="64">
        <v>624776183000</v>
      </c>
      <c r="H77" s="141">
        <v>677121805000</v>
      </c>
      <c r="I77" s="64">
        <v>725056040000</v>
      </c>
      <c r="J77" s="64">
        <v>874628121000</v>
      </c>
      <c r="K77" s="64">
        <v>930494049000</v>
      </c>
      <c r="L77" s="64"/>
      <c r="M77" s="64"/>
      <c r="N77" s="64"/>
    </row>
    <row r="78" spans="2:14">
      <c r="B78" s="59" t="s">
        <v>393</v>
      </c>
      <c r="C78" s="66"/>
      <c r="D78" s="66"/>
      <c r="E78" s="66"/>
      <c r="F78" s="66"/>
      <c r="G78" s="66"/>
      <c r="H78" s="160"/>
      <c r="I78" s="66"/>
      <c r="J78" s="66"/>
      <c r="K78" s="66"/>
      <c r="L78" s="66"/>
      <c r="M78" s="66"/>
      <c r="N78" s="66"/>
    </row>
    <row r="79" spans="2:14">
      <c r="B79" s="59" t="s">
        <v>394</v>
      </c>
      <c r="C79" s="66"/>
      <c r="D79" s="66"/>
      <c r="E79" s="66"/>
      <c r="F79" s="66"/>
      <c r="G79" s="66"/>
      <c r="H79" s="160"/>
      <c r="I79" s="66"/>
      <c r="J79" s="66"/>
      <c r="K79" s="66"/>
      <c r="L79" s="66"/>
      <c r="M79" s="66"/>
      <c r="N79" s="66"/>
    </row>
    <row r="80" spans="2:14">
      <c r="B80" s="59" t="s">
        <v>590</v>
      </c>
      <c r="C80" s="66"/>
      <c r="D80" s="66"/>
      <c r="E80" s="66"/>
      <c r="F80" s="66"/>
      <c r="G80" s="66"/>
      <c r="H80" s="160"/>
      <c r="I80" s="66"/>
      <c r="J80" s="66"/>
      <c r="K80" s="66"/>
      <c r="L80" s="66"/>
      <c r="M80" s="66"/>
      <c r="N80" s="66"/>
    </row>
    <row r="81" spans="2:14">
      <c r="B81" s="59" t="s">
        <v>396</v>
      </c>
      <c r="C81" s="66"/>
      <c r="D81" s="66"/>
      <c r="E81" s="66"/>
      <c r="F81" s="66"/>
      <c r="G81" s="66"/>
      <c r="H81" s="160"/>
      <c r="I81" s="66"/>
      <c r="J81" s="66"/>
      <c r="K81" s="66"/>
      <c r="L81" s="66"/>
      <c r="M81" s="66"/>
      <c r="N81" s="66"/>
    </row>
    <row r="82" spans="2:14">
      <c r="B82" s="59" t="s">
        <v>397</v>
      </c>
      <c r="C82" s="66"/>
      <c r="D82" s="66"/>
      <c r="E82" s="66"/>
      <c r="F82" s="66"/>
      <c r="G82" s="66"/>
      <c r="H82" s="160"/>
      <c r="I82" s="66"/>
      <c r="J82" s="66"/>
      <c r="K82" s="66"/>
      <c r="L82" s="66"/>
      <c r="M82" s="66"/>
      <c r="N82" s="66"/>
    </row>
    <row r="83" spans="2:14">
      <c r="B83" s="59" t="s">
        <v>398</v>
      </c>
      <c r="C83" s="66">
        <v>537362811000</v>
      </c>
      <c r="D83" s="66">
        <v>570634366000</v>
      </c>
      <c r="E83" s="66">
        <v>484886221000</v>
      </c>
      <c r="F83" s="66">
        <v>475583646000</v>
      </c>
      <c r="G83" s="66">
        <v>585887982000</v>
      </c>
      <c r="H83" s="160">
        <v>641799846000</v>
      </c>
      <c r="I83" s="66">
        <v>680475421000</v>
      </c>
      <c r="J83" s="66">
        <v>830355827000</v>
      </c>
      <c r="K83" s="66">
        <v>874161289000</v>
      </c>
      <c r="L83" s="66"/>
      <c r="M83" s="66"/>
      <c r="N83" s="66"/>
    </row>
    <row r="84" spans="2:14">
      <c r="B84" s="59" t="s">
        <v>399</v>
      </c>
      <c r="C84" s="66"/>
      <c r="D84" s="66"/>
      <c r="E84" s="66"/>
      <c r="F84" s="66"/>
      <c r="G84" s="66"/>
      <c r="H84" s="160"/>
      <c r="I84" s="66"/>
      <c r="J84" s="66"/>
      <c r="K84" s="66"/>
      <c r="L84" s="66"/>
      <c r="M84" s="66"/>
      <c r="N84" s="66"/>
    </row>
    <row r="85" spans="2:14">
      <c r="B85" s="59" t="s">
        <v>400</v>
      </c>
      <c r="C85" s="66"/>
      <c r="D85" s="66"/>
      <c r="E85" s="66"/>
      <c r="F85" s="161"/>
      <c r="G85" s="66"/>
      <c r="H85" s="160"/>
      <c r="I85" s="66"/>
      <c r="J85" s="66"/>
      <c r="K85" s="66"/>
      <c r="L85" s="66"/>
      <c r="M85" s="66"/>
      <c r="N85" s="66"/>
    </row>
    <row r="86" spans="2:14">
      <c r="B86" s="59" t="s">
        <v>401</v>
      </c>
      <c r="C86" s="66"/>
      <c r="D86" s="66"/>
      <c r="E86" s="66"/>
      <c r="F86" s="66"/>
      <c r="G86" s="66"/>
      <c r="H86" s="160"/>
      <c r="I86" s="66"/>
      <c r="J86" s="66"/>
      <c r="K86" s="66"/>
      <c r="L86" s="66"/>
      <c r="M86" s="66"/>
      <c r="N86" s="66"/>
    </row>
    <row r="87" spans="2:14">
      <c r="B87" s="59" t="s">
        <v>328</v>
      </c>
      <c r="C87" s="66">
        <v>21743664000</v>
      </c>
      <c r="D87" s="66">
        <f t="shared" ref="D87:H87" si="42">+D77-D84-D85-D83-D78-D86-D82-D81-D80-D79</f>
        <v>25975863000</v>
      </c>
      <c r="E87" s="66">
        <f t="shared" si="42"/>
        <v>69343682000</v>
      </c>
      <c r="F87" s="66">
        <f t="shared" si="42"/>
        <v>32710946000</v>
      </c>
      <c r="G87" s="66">
        <f t="shared" si="42"/>
        <v>38888201000</v>
      </c>
      <c r="H87" s="66">
        <f t="shared" si="42"/>
        <v>35321959000</v>
      </c>
      <c r="I87" s="66">
        <f t="shared" ref="I87:M87" si="43">+I77-I84-I85-I83-I78-I86-I82-I81-I80-I79</f>
        <v>44580619000</v>
      </c>
      <c r="J87" s="66">
        <f>+J77-J84-J85-J83-J78-J86-J82-J81-J80-J79</f>
        <v>44272294000</v>
      </c>
      <c r="K87" s="66">
        <f t="shared" si="43"/>
        <v>56332760000</v>
      </c>
      <c r="L87" s="66">
        <f t="shared" si="43"/>
        <v>0</v>
      </c>
      <c r="M87" s="66">
        <f t="shared" si="43"/>
        <v>0</v>
      </c>
      <c r="N87" s="66"/>
    </row>
    <row r="88" spans="2:14" ht="14.65" thickBot="1">
      <c r="B88" s="60" t="s">
        <v>329</v>
      </c>
      <c r="C88" s="70">
        <v>669702201000</v>
      </c>
      <c r="D88" s="70">
        <f t="shared" ref="D88:H88" si="44">+D77+D68</f>
        <v>726400665000</v>
      </c>
      <c r="E88" s="70">
        <f t="shared" si="44"/>
        <v>759587987000</v>
      </c>
      <c r="F88" s="70">
        <f t="shared" si="44"/>
        <v>599630237000</v>
      </c>
      <c r="G88" s="70">
        <f t="shared" si="44"/>
        <v>808720768000</v>
      </c>
      <c r="H88" s="162">
        <f t="shared" si="44"/>
        <v>826345264000</v>
      </c>
      <c r="I88" s="162">
        <f t="shared" ref="I88:M88" si="45">+I77+I68</f>
        <v>878539623000</v>
      </c>
      <c r="J88" s="162">
        <f>+J77+J68</f>
        <v>1028362975000</v>
      </c>
      <c r="K88" s="162">
        <f t="shared" si="45"/>
        <v>1068888896000</v>
      </c>
      <c r="L88" s="162">
        <f t="shared" si="45"/>
        <v>0</v>
      </c>
      <c r="M88" s="162">
        <f t="shared" si="45"/>
        <v>0</v>
      </c>
      <c r="N88" s="70"/>
    </row>
    <row r="89" spans="2:14" ht="14.65" thickBot="1">
      <c r="B89" s="61"/>
      <c r="C89" s="72"/>
      <c r="D89" s="72"/>
      <c r="E89" s="72"/>
      <c r="F89" s="72"/>
      <c r="G89" s="72"/>
      <c r="H89" s="163"/>
      <c r="I89" s="72"/>
      <c r="J89" s="72"/>
      <c r="K89" s="72"/>
      <c r="L89" s="72"/>
      <c r="M89" s="72"/>
      <c r="N89" s="72"/>
    </row>
    <row r="90" spans="2:14">
      <c r="B90" s="57" t="s">
        <v>330</v>
      </c>
      <c r="C90" s="62"/>
      <c r="D90" s="62"/>
      <c r="E90" s="62"/>
      <c r="F90" s="62"/>
      <c r="G90" s="62"/>
      <c r="H90" s="164"/>
      <c r="I90" s="62"/>
      <c r="J90" s="62"/>
      <c r="K90" s="62"/>
      <c r="L90" s="62"/>
      <c r="M90" s="62"/>
      <c r="N90" s="62"/>
    </row>
    <row r="91" spans="2:14">
      <c r="B91" s="58" t="s">
        <v>310</v>
      </c>
      <c r="C91" s="64">
        <v>114875441000</v>
      </c>
      <c r="D91" s="64">
        <v>107967022000</v>
      </c>
      <c r="E91" s="64">
        <v>168893432000</v>
      </c>
      <c r="F91" s="64">
        <v>170057153000</v>
      </c>
      <c r="G91" s="64">
        <v>113094948000</v>
      </c>
      <c r="H91" s="141">
        <v>115010077000</v>
      </c>
      <c r="I91" s="64">
        <v>132702528000</v>
      </c>
      <c r="J91" s="64">
        <v>170390719000</v>
      </c>
      <c r="K91" s="64">
        <v>203653335000</v>
      </c>
      <c r="L91" s="64"/>
      <c r="M91" s="64"/>
      <c r="N91" s="64"/>
    </row>
    <row r="92" spans="2:14">
      <c r="B92" s="59" t="s">
        <v>402</v>
      </c>
      <c r="C92" s="66"/>
      <c r="D92" s="66"/>
      <c r="E92" s="66"/>
      <c r="F92" s="66"/>
      <c r="G92" s="66"/>
      <c r="H92" s="160"/>
      <c r="I92" s="66"/>
      <c r="J92" s="66"/>
      <c r="K92" s="66"/>
      <c r="L92" s="66"/>
      <c r="M92" s="66"/>
      <c r="N92" s="66"/>
    </row>
    <row r="93" spans="2:14">
      <c r="B93" s="59" t="s">
        <v>403</v>
      </c>
      <c r="C93" s="66"/>
      <c r="D93" s="66"/>
      <c r="E93" s="66"/>
      <c r="F93" s="66"/>
      <c r="G93" s="66"/>
      <c r="H93" s="160"/>
      <c r="I93" s="66"/>
      <c r="J93" s="66"/>
      <c r="K93" s="66"/>
      <c r="L93" s="66"/>
      <c r="M93" s="66"/>
      <c r="N93" s="66"/>
    </row>
    <row r="94" spans="2:14">
      <c r="B94" s="59" t="s">
        <v>404</v>
      </c>
      <c r="C94" s="66"/>
      <c r="D94" s="66"/>
      <c r="E94" s="66"/>
      <c r="F94" s="66"/>
      <c r="G94" s="66"/>
      <c r="H94" s="160"/>
      <c r="I94" s="66"/>
      <c r="J94" s="66"/>
      <c r="K94" s="66"/>
      <c r="L94" s="66"/>
      <c r="M94" s="66"/>
      <c r="N94" s="66"/>
    </row>
    <row r="95" spans="2:14">
      <c r="B95" s="59" t="s">
        <v>405</v>
      </c>
      <c r="C95" s="66">
        <v>51101239000</v>
      </c>
      <c r="D95" s="66">
        <v>72238417000</v>
      </c>
      <c r="E95" s="66">
        <v>38154843000</v>
      </c>
      <c r="F95" s="66">
        <v>42819598000</v>
      </c>
      <c r="G95" s="66">
        <v>59172221000</v>
      </c>
      <c r="H95" s="160">
        <v>70992084000</v>
      </c>
      <c r="I95" s="66">
        <v>84431427000</v>
      </c>
      <c r="J95" s="66">
        <v>84037245000</v>
      </c>
      <c r="K95" s="66">
        <v>82536137000</v>
      </c>
      <c r="L95" s="66"/>
      <c r="M95" s="66"/>
      <c r="N95" s="66"/>
    </row>
    <row r="96" spans="2:14">
      <c r="B96" s="59" t="s">
        <v>406</v>
      </c>
      <c r="C96" s="66"/>
      <c r="D96" s="66"/>
      <c r="E96" s="66"/>
      <c r="F96" s="66"/>
      <c r="G96" s="66"/>
      <c r="H96" s="160"/>
      <c r="I96" s="66"/>
      <c r="J96" s="66"/>
      <c r="K96" s="66"/>
      <c r="L96" s="66"/>
      <c r="M96" s="66"/>
      <c r="N96" s="66"/>
    </row>
    <row r="97" spans="2:14">
      <c r="B97" s="59" t="s">
        <v>407</v>
      </c>
      <c r="C97" s="66"/>
      <c r="D97" s="66"/>
      <c r="E97" s="66"/>
      <c r="F97" s="66"/>
      <c r="G97" s="66"/>
      <c r="H97" s="160"/>
      <c r="I97" s="66"/>
      <c r="J97" s="66"/>
      <c r="K97" s="66"/>
      <c r="L97" s="66"/>
      <c r="M97" s="66"/>
      <c r="N97" s="66"/>
    </row>
    <row r="98" spans="2:14">
      <c r="B98" s="59" t="s">
        <v>408</v>
      </c>
      <c r="C98" s="66"/>
      <c r="D98" s="66"/>
      <c r="E98" s="66"/>
      <c r="F98" s="66"/>
      <c r="G98" s="66"/>
      <c r="H98" s="160"/>
      <c r="I98" s="66"/>
      <c r="J98" s="66"/>
      <c r="K98" s="66"/>
      <c r="L98" s="66"/>
      <c r="M98" s="66"/>
      <c r="N98" s="66"/>
    </row>
    <row r="99" spans="2:14">
      <c r="B99" s="59" t="s">
        <v>409</v>
      </c>
      <c r="C99" s="66"/>
      <c r="D99" s="66"/>
      <c r="E99" s="66"/>
      <c r="F99" s="66"/>
      <c r="G99" s="66"/>
      <c r="H99" s="160"/>
      <c r="I99" s="66"/>
      <c r="J99" s="66"/>
      <c r="K99" s="66"/>
      <c r="L99" s="66"/>
      <c r="M99" s="66"/>
      <c r="N99" s="66"/>
    </row>
    <row r="100" spans="2:14">
      <c r="B100" s="59" t="s">
        <v>410</v>
      </c>
      <c r="C100" s="66">
        <v>63774202000</v>
      </c>
      <c r="D100" s="66">
        <f t="shared" ref="D100:M100" si="46">+D91-D92-D98-D99-D97-D96-D95-D94-D93</f>
        <v>35728605000</v>
      </c>
      <c r="E100" s="66">
        <f t="shared" si="46"/>
        <v>130738589000</v>
      </c>
      <c r="F100" s="66">
        <f t="shared" si="46"/>
        <v>127237555000</v>
      </c>
      <c r="G100" s="66">
        <f t="shared" si="46"/>
        <v>53922727000</v>
      </c>
      <c r="H100" s="66">
        <f t="shared" si="46"/>
        <v>44017993000</v>
      </c>
      <c r="I100" s="66">
        <f t="shared" si="46"/>
        <v>48271101000</v>
      </c>
      <c r="J100" s="66">
        <f>+J91-J92-J98-J99-J97-J96-J95-J94-J93</f>
        <v>86353474000</v>
      </c>
      <c r="K100" s="66">
        <f t="shared" si="46"/>
        <v>121117198000</v>
      </c>
      <c r="L100" s="66">
        <f t="shared" si="46"/>
        <v>0</v>
      </c>
      <c r="M100" s="66">
        <f t="shared" si="46"/>
        <v>0</v>
      </c>
      <c r="N100" s="66"/>
    </row>
    <row r="101" spans="2:14">
      <c r="B101" s="58" t="s">
        <v>319</v>
      </c>
      <c r="C101" s="64">
        <v>297608686000</v>
      </c>
      <c r="D101" s="64">
        <v>342089105000</v>
      </c>
      <c r="E101" s="64">
        <v>291260653000</v>
      </c>
      <c r="F101" s="64">
        <v>288498649000</v>
      </c>
      <c r="G101" s="64">
        <v>322037670000</v>
      </c>
      <c r="H101" s="141">
        <v>344134233000</v>
      </c>
      <c r="I101" s="64">
        <v>344657399000</v>
      </c>
      <c r="J101" s="64">
        <v>386203672000</v>
      </c>
      <c r="K101" s="64">
        <v>383795986000</v>
      </c>
      <c r="L101" s="64"/>
      <c r="M101" s="64"/>
      <c r="N101" s="64"/>
    </row>
    <row r="102" spans="2:14">
      <c r="B102" s="59" t="s">
        <v>411</v>
      </c>
      <c r="C102" s="66"/>
      <c r="D102" s="66"/>
      <c r="E102" s="66"/>
      <c r="F102" s="66"/>
      <c r="G102" s="66"/>
      <c r="H102" s="160"/>
      <c r="I102" s="66"/>
      <c r="J102" s="66"/>
      <c r="K102" s="66"/>
      <c r="L102" s="66"/>
      <c r="M102" s="66"/>
      <c r="N102" s="66"/>
    </row>
    <row r="103" spans="2:14">
      <c r="B103" s="59" t="s">
        <v>412</v>
      </c>
      <c r="C103" s="66"/>
      <c r="D103" s="66"/>
      <c r="E103" s="66"/>
      <c r="F103" s="66"/>
      <c r="G103" s="66"/>
      <c r="H103" s="160"/>
      <c r="I103" s="66"/>
      <c r="J103" s="66"/>
      <c r="K103" s="66"/>
      <c r="L103" s="66"/>
      <c r="M103" s="66"/>
      <c r="N103" s="66"/>
    </row>
    <row r="104" spans="2:14">
      <c r="B104" s="59" t="s">
        <v>413</v>
      </c>
      <c r="C104" s="66"/>
      <c r="D104" s="66"/>
      <c r="E104" s="66"/>
      <c r="F104" s="66"/>
      <c r="G104" s="66"/>
      <c r="H104" s="160"/>
      <c r="I104" s="66"/>
      <c r="J104" s="66"/>
      <c r="K104" s="66"/>
      <c r="L104" s="66"/>
      <c r="M104" s="66"/>
      <c r="N104" s="66"/>
    </row>
    <row r="105" spans="2:14">
      <c r="B105" s="59" t="s">
        <v>414</v>
      </c>
      <c r="C105" s="66"/>
      <c r="D105" s="66"/>
      <c r="E105" s="66"/>
      <c r="F105" s="66"/>
      <c r="G105" s="66"/>
      <c r="H105" s="160"/>
      <c r="I105" s="66"/>
      <c r="J105" s="66"/>
      <c r="K105" s="66"/>
      <c r="L105" s="66"/>
      <c r="M105" s="66"/>
      <c r="N105" s="66"/>
    </row>
    <row r="106" spans="2:14">
      <c r="B106" s="59" t="s">
        <v>341</v>
      </c>
      <c r="C106" s="66">
        <v>297608686000</v>
      </c>
      <c r="D106" s="66">
        <f t="shared" ref="D106:H106" si="47">+D101-D102-D104-D105-D103</f>
        <v>342089105000</v>
      </c>
      <c r="E106" s="66">
        <f t="shared" si="47"/>
        <v>291260653000</v>
      </c>
      <c r="F106" s="66">
        <f t="shared" si="47"/>
        <v>288498649000</v>
      </c>
      <c r="G106" s="66">
        <f t="shared" si="47"/>
        <v>322037670000</v>
      </c>
      <c r="H106" s="66">
        <f t="shared" si="47"/>
        <v>344134233000</v>
      </c>
      <c r="I106" s="66">
        <f t="shared" ref="I106:M106" si="48">+I101-I102-I104-I105-I103</f>
        <v>344657399000</v>
      </c>
      <c r="J106" s="66">
        <f>+J101-J102-J104-J105-J103</f>
        <v>386203672000</v>
      </c>
      <c r="K106" s="66">
        <f t="shared" si="48"/>
        <v>383795986000</v>
      </c>
      <c r="L106" s="66">
        <f t="shared" si="48"/>
        <v>0</v>
      </c>
      <c r="M106" s="66">
        <f t="shared" si="48"/>
        <v>0</v>
      </c>
      <c r="N106" s="66"/>
    </row>
    <row r="107" spans="2:14" ht="14.65" thickBot="1">
      <c r="B107" s="60" t="s">
        <v>342</v>
      </c>
      <c r="C107" s="70">
        <v>412484127000</v>
      </c>
      <c r="D107" s="70">
        <f t="shared" ref="D107:H107" si="49">+D101+D91</f>
        <v>450056127000</v>
      </c>
      <c r="E107" s="70">
        <f t="shared" si="49"/>
        <v>460154085000</v>
      </c>
      <c r="F107" s="70">
        <f t="shared" si="49"/>
        <v>458555802000</v>
      </c>
      <c r="G107" s="70">
        <f t="shared" si="49"/>
        <v>435132618000</v>
      </c>
      <c r="H107" s="162">
        <f t="shared" si="49"/>
        <v>459144310000</v>
      </c>
      <c r="I107" s="162">
        <f t="shared" ref="I107:M107" si="50">+I101+I91</f>
        <v>477359927000</v>
      </c>
      <c r="J107" s="162">
        <f>+J101+J91</f>
        <v>556594391000</v>
      </c>
      <c r="K107" s="162">
        <f t="shared" si="50"/>
        <v>587449321000</v>
      </c>
      <c r="L107" s="162">
        <f t="shared" si="50"/>
        <v>0</v>
      </c>
      <c r="M107" s="162">
        <f t="shared" si="50"/>
        <v>0</v>
      </c>
      <c r="N107" s="70"/>
    </row>
    <row r="108" spans="2:14" ht="14.65" thickBot="1">
      <c r="B108" s="61"/>
      <c r="C108" s="61"/>
      <c r="D108" s="61"/>
      <c r="E108" s="61"/>
      <c r="F108" s="61"/>
      <c r="G108" s="61"/>
      <c r="H108" s="61"/>
      <c r="I108" s="61"/>
      <c r="J108" s="61"/>
      <c r="K108" s="61"/>
      <c r="L108" s="61"/>
      <c r="M108" s="61"/>
      <c r="N108" s="61"/>
    </row>
    <row r="109" spans="2:14">
      <c r="B109" s="57" t="s">
        <v>343</v>
      </c>
      <c r="C109" s="62"/>
      <c r="D109" s="62"/>
      <c r="E109" s="62"/>
      <c r="F109" s="62"/>
      <c r="G109" s="62"/>
      <c r="H109" s="164"/>
      <c r="I109" s="62"/>
      <c r="J109" s="62"/>
      <c r="K109" s="62"/>
      <c r="L109" s="62"/>
      <c r="M109" s="62"/>
      <c r="N109" s="62"/>
    </row>
    <row r="110" spans="2:14">
      <c r="B110" s="59" t="s">
        <v>415</v>
      </c>
      <c r="C110" s="160">
        <v>47100243000</v>
      </c>
      <c r="D110" s="160">
        <v>47100243000</v>
      </c>
      <c r="E110" s="160">
        <v>47100243000</v>
      </c>
      <c r="F110" s="160">
        <v>39498111000</v>
      </c>
      <c r="G110" s="160">
        <v>39498111000</v>
      </c>
      <c r="H110" s="160">
        <v>39498111000</v>
      </c>
      <c r="I110" s="160">
        <v>39498111000</v>
      </c>
      <c r="J110" s="160">
        <v>39498111000</v>
      </c>
      <c r="K110" s="160">
        <v>39498111000</v>
      </c>
      <c r="L110" s="160"/>
      <c r="M110" s="160"/>
      <c r="N110" s="160"/>
    </row>
    <row r="111" spans="2:14">
      <c r="B111" s="59" t="s">
        <v>416</v>
      </c>
      <c r="C111" s="66">
        <v>66460916000</v>
      </c>
      <c r="D111" s="66">
        <v>78363558000</v>
      </c>
      <c r="E111" s="66">
        <v>97158016000</v>
      </c>
      <c r="F111" s="66">
        <v>114358180000</v>
      </c>
      <c r="G111" s="66">
        <v>187684405000</v>
      </c>
      <c r="H111" s="160">
        <v>196923639000</v>
      </c>
      <c r="I111" s="66">
        <v>213372540000</v>
      </c>
      <c r="J111" s="66">
        <v>231219019000</v>
      </c>
      <c r="K111" s="66">
        <v>248211753000</v>
      </c>
      <c r="L111" s="66"/>
      <c r="M111" s="66"/>
      <c r="N111" s="66"/>
    </row>
    <row r="112" spans="2:14">
      <c r="B112" s="59" t="s">
        <v>345</v>
      </c>
      <c r="C112" s="66">
        <v>116279238000</v>
      </c>
      <c r="D112" s="66">
        <v>131217279000</v>
      </c>
      <c r="E112" s="66">
        <v>129633928000</v>
      </c>
      <c r="F112" s="66">
        <v>83066357000</v>
      </c>
      <c r="G112" s="66">
        <v>145493122000</v>
      </c>
      <c r="H112" s="160">
        <v>128328326000</v>
      </c>
      <c r="I112" s="66">
        <v>145571346000</v>
      </c>
      <c r="J112" s="66">
        <v>197908726000</v>
      </c>
      <c r="K112" s="66">
        <v>190419110000</v>
      </c>
      <c r="L112" s="66"/>
      <c r="M112" s="66"/>
      <c r="N112" s="66"/>
    </row>
    <row r="113" spans="2:14">
      <c r="B113" s="59" t="s">
        <v>419</v>
      </c>
      <c r="C113" s="66">
        <v>27377677000</v>
      </c>
      <c r="D113" s="66">
        <v>19663458000</v>
      </c>
      <c r="E113" s="66">
        <v>25541715000</v>
      </c>
      <c r="F113" s="66">
        <v>13692547000</v>
      </c>
      <c r="G113" s="66">
        <v>912512000</v>
      </c>
      <c r="H113" s="160">
        <v>2450878000</v>
      </c>
      <c r="I113" s="66">
        <v>2737699000</v>
      </c>
      <c r="J113" s="66">
        <v>3142728000</v>
      </c>
      <c r="K113" s="66">
        <v>3310601000</v>
      </c>
      <c r="L113" s="66"/>
      <c r="M113" s="66"/>
      <c r="N113" s="66"/>
    </row>
    <row r="114" spans="2:14" ht="14.65" thickBot="1">
      <c r="B114" s="60" t="s">
        <v>420</v>
      </c>
      <c r="C114" s="70">
        <v>229840397000</v>
      </c>
      <c r="D114" s="70">
        <f t="shared" ref="D114:F114" si="51">+D110+D112+D111</f>
        <v>256681080000</v>
      </c>
      <c r="E114" s="70">
        <f t="shared" si="51"/>
        <v>273892187000</v>
      </c>
      <c r="F114" s="70">
        <f t="shared" si="51"/>
        <v>236922648000</v>
      </c>
      <c r="G114" s="70">
        <f>+G110+G112+G111</f>
        <v>372675638000</v>
      </c>
      <c r="H114" s="70">
        <f>+H110+H112+H111</f>
        <v>364750076000</v>
      </c>
      <c r="I114" s="70">
        <f t="shared" ref="I114:M114" si="52">+I110+I112+I111</f>
        <v>398441997000</v>
      </c>
      <c r="J114" s="70">
        <f>+J110+J112+J111</f>
        <v>468625856000</v>
      </c>
      <c r="K114" s="70">
        <f t="shared" si="52"/>
        <v>478128974000</v>
      </c>
      <c r="L114" s="70">
        <f t="shared" si="52"/>
        <v>0</v>
      </c>
      <c r="M114" s="70">
        <f t="shared" si="52"/>
        <v>0</v>
      </c>
      <c r="N114" s="70"/>
    </row>
    <row r="115" spans="2:14" ht="14.65" thickBot="1">
      <c r="B115" s="60" t="s">
        <v>347</v>
      </c>
      <c r="C115" s="70">
        <v>257218074000</v>
      </c>
      <c r="D115" s="70">
        <f t="shared" ref="D115:N115" si="53">+D114+D113</f>
        <v>276344538000</v>
      </c>
      <c r="E115" s="70">
        <f t="shared" si="53"/>
        <v>299433902000</v>
      </c>
      <c r="F115" s="70">
        <f t="shared" si="53"/>
        <v>250615195000</v>
      </c>
      <c r="G115" s="70">
        <f t="shared" si="53"/>
        <v>373588150000</v>
      </c>
      <c r="H115" s="70">
        <f t="shared" si="53"/>
        <v>367200954000</v>
      </c>
      <c r="I115" s="70">
        <f t="shared" si="53"/>
        <v>401179696000</v>
      </c>
      <c r="J115" s="70">
        <f>+J114+J113</f>
        <v>471768584000</v>
      </c>
      <c r="K115" s="70">
        <f t="shared" si="53"/>
        <v>481439575000</v>
      </c>
      <c r="L115" s="70">
        <f t="shared" si="53"/>
        <v>0</v>
      </c>
      <c r="M115" s="70">
        <f t="shared" si="53"/>
        <v>0</v>
      </c>
      <c r="N115" s="70">
        <f t="shared" si="53"/>
        <v>0</v>
      </c>
    </row>
    <row r="117" spans="2:14" ht="14.65" thickBot="1">
      <c r="B117" s="75" t="s">
        <v>348</v>
      </c>
    </row>
    <row r="118" spans="2:14" ht="14.65" thickBot="1">
      <c r="B118" s="82" t="s">
        <v>308</v>
      </c>
      <c r="C118" s="88">
        <v>2017</v>
      </c>
      <c r="D118" s="88">
        <v>2018</v>
      </c>
      <c r="E118" s="88">
        <v>2019</v>
      </c>
      <c r="F118" s="88">
        <v>2020</v>
      </c>
      <c r="G118" s="88">
        <v>2021</v>
      </c>
      <c r="H118" s="88">
        <v>2022</v>
      </c>
      <c r="I118" s="88">
        <v>2023</v>
      </c>
      <c r="J118" s="88">
        <v>2024</v>
      </c>
      <c r="K118" s="88">
        <v>2025</v>
      </c>
      <c r="L118" s="88">
        <v>2026</v>
      </c>
      <c r="M118" s="88">
        <v>2027</v>
      </c>
      <c r="N118" s="88">
        <v>2028</v>
      </c>
    </row>
    <row r="119" spans="2:14">
      <c r="B119" s="83" t="s">
        <v>349</v>
      </c>
      <c r="C119" s="90">
        <v>557767708000</v>
      </c>
      <c r="D119" s="90">
        <v>364486246000</v>
      </c>
      <c r="E119" s="90">
        <v>331516616000</v>
      </c>
      <c r="F119" s="90">
        <v>337684571000</v>
      </c>
      <c r="G119" s="90">
        <v>452339507000</v>
      </c>
      <c r="H119" s="90">
        <v>533831796000</v>
      </c>
      <c r="I119" s="90">
        <v>500956305000</v>
      </c>
      <c r="J119" s="90">
        <v>582270340000</v>
      </c>
      <c r="K119" s="90">
        <v>619268559000</v>
      </c>
      <c r="L119" s="90"/>
      <c r="M119" s="90"/>
      <c r="N119" s="90"/>
    </row>
    <row r="120" spans="2:14">
      <c r="B120" s="85" t="s">
        <v>534</v>
      </c>
      <c r="C120" s="66">
        <v>-447583717000</v>
      </c>
      <c r="D120" s="66">
        <v>-277209926000</v>
      </c>
      <c r="E120" s="66">
        <v>-240663571000</v>
      </c>
      <c r="F120" s="66">
        <v>-250482514000</v>
      </c>
      <c r="G120" s="66">
        <v>-363706248000</v>
      </c>
      <c r="H120" s="66">
        <v>-442376339000</v>
      </c>
      <c r="I120" s="66">
        <v>-392369485000</v>
      </c>
      <c r="J120" s="66">
        <v>-455562047000</v>
      </c>
      <c r="K120" s="66">
        <v>-480832657000</v>
      </c>
      <c r="L120" s="66"/>
      <c r="M120" s="66"/>
      <c r="N120" s="66"/>
    </row>
    <row r="121" spans="2:14">
      <c r="B121" s="86" t="s">
        <v>422</v>
      </c>
      <c r="C121" s="64">
        <v>110183991000</v>
      </c>
      <c r="D121" s="64">
        <f>+D119+D120</f>
        <v>87276320000</v>
      </c>
      <c r="E121" s="64">
        <f t="shared" ref="E121:F121" si="54">+E119+E120</f>
        <v>90853045000</v>
      </c>
      <c r="F121" s="64">
        <f t="shared" si="54"/>
        <v>87202057000</v>
      </c>
      <c r="G121" s="64">
        <f>+G119+G120</f>
        <v>88633259000</v>
      </c>
      <c r="H121" s="64">
        <f t="shared" ref="H121:N121" si="55">+H119+H120</f>
        <v>91455457000</v>
      </c>
      <c r="I121" s="64">
        <f t="shared" si="55"/>
        <v>108586820000</v>
      </c>
      <c r="J121" s="64">
        <f>+J119+J120</f>
        <v>126708293000</v>
      </c>
      <c r="K121" s="64">
        <f t="shared" si="55"/>
        <v>138435902000</v>
      </c>
      <c r="L121" s="64">
        <f t="shared" si="55"/>
        <v>0</v>
      </c>
      <c r="M121" s="64">
        <f t="shared" si="55"/>
        <v>0</v>
      </c>
      <c r="N121" s="64">
        <f t="shared" si="55"/>
        <v>0</v>
      </c>
    </row>
    <row r="122" spans="2:14">
      <c r="B122" s="85" t="s">
        <v>592</v>
      </c>
      <c r="C122" s="64">
        <v>174115000</v>
      </c>
      <c r="D122" s="64"/>
      <c r="E122" s="64"/>
      <c r="F122" s="117"/>
      <c r="G122" s="117"/>
      <c r="H122" s="117"/>
      <c r="I122" s="117"/>
      <c r="J122" s="117">
        <v>162784000</v>
      </c>
      <c r="K122" s="117">
        <v>176383000</v>
      </c>
      <c r="L122" s="117"/>
      <c r="M122" s="117"/>
      <c r="N122" s="117"/>
    </row>
    <row r="123" spans="2:14">
      <c r="B123" s="85" t="s">
        <v>536</v>
      </c>
      <c r="C123" s="64">
        <v>-17884194000</v>
      </c>
      <c r="D123" s="64"/>
      <c r="E123" s="64"/>
      <c r="F123" s="117"/>
      <c r="G123" s="117"/>
      <c r="H123" s="117"/>
      <c r="I123" s="117"/>
      <c r="J123" s="117">
        <v>-40045146000</v>
      </c>
      <c r="K123" s="117">
        <v>-46510185000</v>
      </c>
      <c r="L123" s="117"/>
      <c r="M123" s="117"/>
      <c r="N123" s="117"/>
    </row>
    <row r="124" spans="2:14">
      <c r="B124" s="85" t="s">
        <v>537</v>
      </c>
      <c r="C124" s="64">
        <v>-25078850000</v>
      </c>
      <c r="D124" s="64"/>
      <c r="E124" s="64"/>
      <c r="F124" s="117"/>
      <c r="G124" s="117"/>
      <c r="H124" s="117"/>
      <c r="I124" s="117"/>
      <c r="J124" s="117">
        <v>-34021596000</v>
      </c>
      <c r="K124" s="117">
        <v>-39639951000</v>
      </c>
      <c r="L124" s="117"/>
      <c r="M124" s="117"/>
      <c r="N124" s="117"/>
    </row>
    <row r="125" spans="2:14">
      <c r="B125" s="85" t="s">
        <v>593</v>
      </c>
      <c r="C125" s="66">
        <v>-7205046000</v>
      </c>
      <c r="D125" s="66"/>
      <c r="E125" s="66"/>
      <c r="F125" s="117"/>
      <c r="G125" s="117"/>
      <c r="H125" s="117"/>
      <c r="I125" s="117"/>
      <c r="J125" s="117">
        <v>1183878000</v>
      </c>
      <c r="K125" s="117">
        <f>-4435991000-7118163000</f>
        <v>-11554154000</v>
      </c>
      <c r="L125" s="117"/>
      <c r="M125" s="117"/>
      <c r="N125" s="117"/>
    </row>
    <row r="126" spans="2:14">
      <c r="B126" s="86" t="s">
        <v>428</v>
      </c>
      <c r="C126" s="64">
        <v>60190016000</v>
      </c>
      <c r="D126" s="64">
        <v>39979948000</v>
      </c>
      <c r="E126" s="64">
        <v>44289589000</v>
      </c>
      <c r="F126" s="64">
        <v>32842564000</v>
      </c>
      <c r="G126" s="64">
        <v>150666727000</v>
      </c>
      <c r="H126" s="64">
        <v>40173053000</v>
      </c>
      <c r="I126" s="64">
        <v>41098126000</v>
      </c>
      <c r="J126" s="64">
        <v>53988213000</v>
      </c>
      <c r="K126" s="64">
        <f t="shared" ref="K126:N126" si="56">+K121+K125+K122+K123+K124</f>
        <v>40907995000</v>
      </c>
      <c r="L126" s="64">
        <f t="shared" si="56"/>
        <v>0</v>
      </c>
      <c r="M126" s="64">
        <f t="shared" si="56"/>
        <v>0</v>
      </c>
      <c r="N126" s="64">
        <f t="shared" si="56"/>
        <v>0</v>
      </c>
    </row>
    <row r="127" spans="2:14">
      <c r="B127" s="85" t="s">
        <v>429</v>
      </c>
      <c r="C127" s="66">
        <v>1208395000</v>
      </c>
      <c r="D127" s="66"/>
      <c r="E127" s="66"/>
      <c r="F127" s="66"/>
      <c r="G127" s="131"/>
      <c r="H127" s="131"/>
      <c r="I127" s="131"/>
      <c r="J127" s="131">
        <v>3621591000</v>
      </c>
      <c r="K127" s="131">
        <v>3027944000</v>
      </c>
      <c r="L127" s="131"/>
      <c r="M127" s="131"/>
      <c r="N127" s="131"/>
    </row>
    <row r="128" spans="2:14">
      <c r="B128" s="85" t="s">
        <v>430</v>
      </c>
      <c r="C128" s="66">
        <v>-14498688000</v>
      </c>
      <c r="D128" s="66"/>
      <c r="E128" s="66"/>
      <c r="F128" s="66"/>
      <c r="G128" s="131"/>
      <c r="H128" s="131"/>
      <c r="I128" s="131"/>
      <c r="J128" s="131">
        <v>-15280432000</v>
      </c>
      <c r="K128" s="131">
        <v>-21821909000</v>
      </c>
      <c r="L128" s="131"/>
      <c r="M128" s="131"/>
      <c r="N128" s="131"/>
    </row>
    <row r="129" spans="2:14">
      <c r="B129" s="85" t="s">
        <v>431</v>
      </c>
      <c r="C129" s="66">
        <v>840720000</v>
      </c>
      <c r="D129" s="66"/>
      <c r="E129" s="66"/>
      <c r="F129" s="66"/>
      <c r="G129" s="131"/>
      <c r="H129" s="131"/>
      <c r="I129" s="131"/>
      <c r="J129" s="131">
        <v>-2100813000</v>
      </c>
      <c r="K129" s="131">
        <v>-1125343000</v>
      </c>
      <c r="L129" s="131"/>
      <c r="M129" s="131"/>
      <c r="N129" s="131"/>
    </row>
    <row r="130" spans="2:14">
      <c r="B130" s="85" t="s">
        <v>432</v>
      </c>
      <c r="C130" s="66">
        <v>-74197000</v>
      </c>
      <c r="D130" s="66"/>
      <c r="E130" s="66"/>
      <c r="F130" s="66"/>
      <c r="G130" s="131"/>
      <c r="H130" s="131"/>
      <c r="I130" s="131"/>
      <c r="J130" s="131">
        <v>2542843000</v>
      </c>
      <c r="K130" s="131">
        <f>1870828000+679366000</f>
        <v>2550194000</v>
      </c>
      <c r="L130" s="131"/>
      <c r="M130" s="131"/>
      <c r="N130" s="131"/>
    </row>
    <row r="131" spans="2:14">
      <c r="B131" s="85" t="s">
        <v>433</v>
      </c>
      <c r="C131" s="66">
        <v>-2470997000</v>
      </c>
      <c r="D131" s="66"/>
      <c r="E131" s="66"/>
      <c r="F131" s="66"/>
      <c r="G131" s="131"/>
      <c r="H131" s="131"/>
      <c r="I131" s="131"/>
      <c r="J131" s="131">
        <v>-5189402000</v>
      </c>
      <c r="K131" s="131">
        <v>-2588013000</v>
      </c>
      <c r="L131" s="131"/>
      <c r="M131" s="131"/>
      <c r="N131" s="131"/>
    </row>
    <row r="132" spans="2:14">
      <c r="B132" s="86" t="s">
        <v>362</v>
      </c>
      <c r="C132" s="64">
        <v>45195249000</v>
      </c>
      <c r="D132" s="64">
        <v>21713479000</v>
      </c>
      <c r="E132" s="64">
        <v>29242503000</v>
      </c>
      <c r="F132" s="64">
        <v>17289450000</v>
      </c>
      <c r="G132" s="64">
        <v>140358314000</v>
      </c>
      <c r="H132" s="64">
        <v>12682060000</v>
      </c>
      <c r="I132" s="64">
        <v>22332248000</v>
      </c>
      <c r="J132" s="64">
        <v>37582000000</v>
      </c>
      <c r="K132" s="64">
        <f t="shared" ref="K132:N132" si="57">+K126+K127+K128+K129+K130+K131</f>
        <v>20950868000</v>
      </c>
      <c r="L132" s="64">
        <f t="shared" si="57"/>
        <v>0</v>
      </c>
      <c r="M132" s="64">
        <f t="shared" si="57"/>
        <v>0</v>
      </c>
      <c r="N132" s="64">
        <f t="shared" si="57"/>
        <v>0</v>
      </c>
    </row>
    <row r="133" spans="2:14">
      <c r="B133" s="85" t="s">
        <v>363</v>
      </c>
      <c r="C133" s="66">
        <v>-10565684000</v>
      </c>
      <c r="D133" s="66">
        <v>-7969040000</v>
      </c>
      <c r="E133" s="66">
        <v>-13428484000</v>
      </c>
      <c r="F133" s="66">
        <v>1740250000</v>
      </c>
      <c r="G133" s="91">
        <v>-30044990000</v>
      </c>
      <c r="H133" s="91">
        <v>400500000</v>
      </c>
      <c r="I133" s="91">
        <v>-4510478000</v>
      </c>
      <c r="J133" s="91">
        <v>-15443549000</v>
      </c>
      <c r="K133" s="91">
        <v>-2863593000</v>
      </c>
      <c r="L133" s="91"/>
      <c r="M133" s="91"/>
      <c r="N133" s="91"/>
    </row>
    <row r="134" spans="2:14">
      <c r="B134" s="84" t="s">
        <v>365</v>
      </c>
      <c r="C134" s="130">
        <v>34629565000</v>
      </c>
      <c r="D134" s="130">
        <f t="shared" ref="D134:G134" si="58">+D132+D133</f>
        <v>13744439000</v>
      </c>
      <c r="E134" s="130">
        <f t="shared" si="58"/>
        <v>15814019000</v>
      </c>
      <c r="F134" s="130">
        <f t="shared" si="58"/>
        <v>19029700000</v>
      </c>
      <c r="G134" s="130">
        <f t="shared" si="58"/>
        <v>110313324000</v>
      </c>
      <c r="H134" s="130">
        <f>+H132+H133</f>
        <v>13082560000</v>
      </c>
      <c r="I134" s="130">
        <f t="shared" ref="I134:N134" si="59">+I132+I133</f>
        <v>17821770000</v>
      </c>
      <c r="J134" s="130">
        <f>+J132+J133</f>
        <v>22138451000</v>
      </c>
      <c r="K134" s="130">
        <f t="shared" si="59"/>
        <v>18087275000</v>
      </c>
      <c r="L134" s="130">
        <f t="shared" si="59"/>
        <v>0</v>
      </c>
      <c r="M134" s="130">
        <f t="shared" si="59"/>
        <v>0</v>
      </c>
      <c r="N134" s="130">
        <f t="shared" si="59"/>
        <v>0</v>
      </c>
    </row>
    <row r="135" spans="2:14">
      <c r="B135" s="84" t="s">
        <v>754</v>
      </c>
      <c r="C135" s="142">
        <v>139271000</v>
      </c>
      <c r="D135" s="142">
        <v>12560134000</v>
      </c>
      <c r="E135" s="142">
        <v>16671857000</v>
      </c>
      <c r="F135" s="142">
        <v>20129176000</v>
      </c>
      <c r="G135" s="142">
        <v>7412868000</v>
      </c>
      <c r="H135" s="142"/>
      <c r="I135" s="142"/>
      <c r="J135" s="142"/>
      <c r="K135" s="142"/>
      <c r="L135" s="142"/>
      <c r="M135" s="142"/>
      <c r="N135" s="142"/>
    </row>
    <row r="136" spans="2:14">
      <c r="B136" s="87" t="s">
        <v>435</v>
      </c>
      <c r="C136" s="66">
        <v>6553373000</v>
      </c>
      <c r="D136" s="66">
        <v>4754466000</v>
      </c>
      <c r="E136" s="66">
        <v>6044621000</v>
      </c>
      <c r="F136" s="66">
        <v>7312214000</v>
      </c>
      <c r="G136" s="91">
        <v>2725337000</v>
      </c>
      <c r="H136" s="91">
        <v>97157000</v>
      </c>
      <c r="I136" s="91">
        <v>112190000</v>
      </c>
      <c r="J136" s="91">
        <v>210619000</v>
      </c>
      <c r="K136" s="91">
        <v>109886000</v>
      </c>
      <c r="L136" s="91"/>
      <c r="M136" s="91"/>
      <c r="N136" s="91"/>
    </row>
    <row r="137" spans="2:14">
      <c r="B137" s="84" t="s">
        <v>436</v>
      </c>
      <c r="C137" s="66">
        <v>28215463000</v>
      </c>
      <c r="D137" s="66">
        <f t="shared" ref="D137:F137" si="60">+D134-D136+D135</f>
        <v>21550107000</v>
      </c>
      <c r="E137" s="66">
        <f t="shared" si="60"/>
        <v>26441255000</v>
      </c>
      <c r="F137" s="66">
        <f t="shared" si="60"/>
        <v>31846662000</v>
      </c>
      <c r="G137" s="66">
        <f>+G134-G136+G135</f>
        <v>115000855000</v>
      </c>
      <c r="H137" s="66">
        <f t="shared" ref="H137:I137" si="61">+H134-H136+H135</f>
        <v>12985403000</v>
      </c>
      <c r="I137" s="66">
        <f t="shared" si="61"/>
        <v>17709580000</v>
      </c>
      <c r="J137" s="66">
        <f>+J134-J136+J135</f>
        <v>21927832000</v>
      </c>
      <c r="K137" s="66">
        <f t="shared" ref="K137" si="62">+K134-K136+K135</f>
        <v>17977389000</v>
      </c>
      <c r="L137" s="66">
        <f t="shared" ref="L137" si="63">+L134-L136+L135</f>
        <v>0</v>
      </c>
      <c r="M137" s="66">
        <f t="shared" ref="M137" si="64">+M134-M136+M135</f>
        <v>0</v>
      </c>
      <c r="N137" s="66">
        <f t="shared" ref="N137" si="65">+N134-N136+N135</f>
        <v>0</v>
      </c>
    </row>
    <row r="138" spans="2:14">
      <c r="B138" s="84" t="s">
        <v>366</v>
      </c>
      <c r="C138" s="111">
        <v>169</v>
      </c>
      <c r="D138" s="111">
        <v>128.27000000000001</v>
      </c>
      <c r="E138" s="111">
        <v>157.38999999999999</v>
      </c>
      <c r="F138" s="134">
        <v>189.56</v>
      </c>
      <c r="G138" s="134">
        <v>684.53</v>
      </c>
      <c r="H138" s="134">
        <v>77.290000000000006</v>
      </c>
      <c r="I138" s="134">
        <v>105.41</v>
      </c>
      <c r="J138" s="134">
        <v>131</v>
      </c>
      <c r="K138" s="134">
        <v>107.01</v>
      </c>
      <c r="L138" s="134"/>
      <c r="M138" s="134"/>
      <c r="N138" s="134"/>
    </row>
    <row r="140" spans="2:14" ht="14.65" thickBot="1">
      <c r="B140" s="75" t="s">
        <v>367</v>
      </c>
    </row>
    <row r="141" spans="2:14" ht="14.65" thickBot="1">
      <c r="B141" s="82" t="s">
        <v>308</v>
      </c>
      <c r="C141" s="88">
        <v>2017</v>
      </c>
      <c r="D141" s="88">
        <v>2018</v>
      </c>
      <c r="E141" s="88">
        <v>2019</v>
      </c>
      <c r="F141" s="88">
        <v>2020</v>
      </c>
      <c r="G141" s="88">
        <v>2021</v>
      </c>
      <c r="H141" s="88">
        <v>2022</v>
      </c>
      <c r="I141" s="88">
        <v>2023</v>
      </c>
      <c r="J141" s="88">
        <v>2024</v>
      </c>
      <c r="K141" s="88">
        <v>2025</v>
      </c>
      <c r="L141" s="88">
        <v>2026</v>
      </c>
      <c r="M141" s="88">
        <v>2027</v>
      </c>
      <c r="N141" s="88">
        <v>2028</v>
      </c>
    </row>
    <row r="142" spans="2:14">
      <c r="B142" s="83" t="s">
        <v>368</v>
      </c>
      <c r="C142" s="90">
        <v>75072198000</v>
      </c>
      <c r="D142" s="90">
        <v>50756711000</v>
      </c>
      <c r="E142" s="90">
        <v>65837702000</v>
      </c>
      <c r="F142" s="90">
        <v>61843664000</v>
      </c>
      <c r="G142" s="90">
        <v>60761852000</v>
      </c>
      <c r="H142" s="90">
        <v>36620482000</v>
      </c>
      <c r="I142" s="90">
        <v>79951724000</v>
      </c>
      <c r="J142" s="90">
        <v>75757772000</v>
      </c>
      <c r="K142" s="90">
        <v>66653091000</v>
      </c>
      <c r="L142" s="90"/>
      <c r="M142" s="90"/>
      <c r="N142" s="90"/>
    </row>
    <row r="143" spans="2:14">
      <c r="B143" s="86" t="s">
        <v>369</v>
      </c>
      <c r="C143" s="91">
        <v>-40684947000</v>
      </c>
      <c r="D143" s="93">
        <v>-20659548000</v>
      </c>
      <c r="E143" s="93">
        <v>-31147209000</v>
      </c>
      <c r="F143" s="66">
        <v>-17185668000</v>
      </c>
      <c r="G143" s="91">
        <v>92045371000</v>
      </c>
      <c r="H143" s="66">
        <v>-52932133000</v>
      </c>
      <c r="I143" s="66">
        <v>-44385207000</v>
      </c>
      <c r="J143" s="66">
        <v>-77775933000</v>
      </c>
      <c r="K143" s="66">
        <v>-92518042000</v>
      </c>
      <c r="L143" s="66"/>
      <c r="M143" s="66"/>
      <c r="N143" s="66"/>
    </row>
    <row r="144" spans="2:14">
      <c r="B144" s="85" t="s">
        <v>370</v>
      </c>
      <c r="C144" s="93">
        <v>-30445160000</v>
      </c>
      <c r="D144" s="93">
        <v>-30313532000</v>
      </c>
      <c r="E144" s="93">
        <v>-34025205000</v>
      </c>
      <c r="F144" s="93">
        <v>-38969242000</v>
      </c>
      <c r="G144" s="93">
        <v>-54306272000</v>
      </c>
      <c r="H144" s="93">
        <v>-54727728000</v>
      </c>
      <c r="I144" s="93">
        <v>-43145710000</v>
      </c>
      <c r="J144" s="93">
        <v>-85137356000</v>
      </c>
      <c r="K144" s="93">
        <v>-91818590000</v>
      </c>
      <c r="L144" s="93"/>
      <c r="M144" s="93"/>
      <c r="N144" s="93"/>
    </row>
    <row r="145" spans="2:14">
      <c r="B145" s="86" t="s">
        <v>372</v>
      </c>
      <c r="C145" s="120">
        <v>-31632035000</v>
      </c>
      <c r="D145" s="120">
        <v>-34010772000</v>
      </c>
      <c r="E145" s="64">
        <v>-37907245000</v>
      </c>
      <c r="F145" s="120">
        <v>-39048723000</v>
      </c>
      <c r="G145" s="120">
        <v>-81025027000</v>
      </c>
      <c r="H145" s="120">
        <v>-39525565000</v>
      </c>
      <c r="I145" s="120">
        <v>-44242769000</v>
      </c>
      <c r="J145" s="120">
        <v>2146733000</v>
      </c>
      <c r="K145" s="120">
        <v>2491309000</v>
      </c>
      <c r="L145" s="120"/>
      <c r="M145" s="120"/>
      <c r="N145" s="120"/>
    </row>
    <row r="146" spans="2:14">
      <c r="B146" s="85" t="s">
        <v>373</v>
      </c>
      <c r="C146" s="93">
        <v>-18978125000</v>
      </c>
      <c r="D146" s="93">
        <v>-19095126000</v>
      </c>
      <c r="E146" s="66">
        <v>-15812000000</v>
      </c>
      <c r="F146" s="93">
        <v>-13777022000</v>
      </c>
      <c r="G146" s="93">
        <v>-25872000000</v>
      </c>
      <c r="H146" s="93">
        <v>-18816000000</v>
      </c>
      <c r="I146" s="93">
        <v>-7257600000</v>
      </c>
      <c r="J146" s="93">
        <v>-8232000000</v>
      </c>
      <c r="K146" s="93">
        <v>-9912000000</v>
      </c>
      <c r="L146" s="93"/>
      <c r="M146" s="93"/>
      <c r="N146" s="93"/>
    </row>
    <row r="147" spans="2:14">
      <c r="B147" s="85" t="s">
        <v>437</v>
      </c>
      <c r="C147" s="93">
        <v>-13682466000</v>
      </c>
      <c r="D147" s="93">
        <v>-11532856000</v>
      </c>
      <c r="E147" s="66">
        <v>-11057255000</v>
      </c>
      <c r="F147" s="93">
        <v>-9899601000</v>
      </c>
      <c r="G147" s="93">
        <v>-8452330000</v>
      </c>
      <c r="H147" s="93">
        <v>-9956025000</v>
      </c>
      <c r="I147" s="93">
        <v>-14761912000</v>
      </c>
      <c r="J147" s="93">
        <v>-12676893000</v>
      </c>
      <c r="K147" s="93">
        <v>-13465579000</v>
      </c>
      <c r="L147" s="93"/>
      <c r="M147" s="93"/>
      <c r="N147" s="93"/>
    </row>
    <row r="148" spans="2:14">
      <c r="B148" s="86" t="s">
        <v>375</v>
      </c>
      <c r="C148" s="64">
        <v>26572054000</v>
      </c>
      <c r="D148" s="64">
        <v>-3879412000</v>
      </c>
      <c r="E148" s="64">
        <v>-2136277000</v>
      </c>
      <c r="F148" s="64">
        <v>5298118000</v>
      </c>
      <c r="G148" s="64">
        <v>72369639000</v>
      </c>
      <c r="H148" s="64">
        <v>-56211396000</v>
      </c>
      <c r="I148" s="64">
        <v>-6559677000</v>
      </c>
      <c r="J148" s="64">
        <v>3099643000</v>
      </c>
      <c r="K148" s="64">
        <v>-24519917000</v>
      </c>
      <c r="L148" s="64"/>
      <c r="M148" s="64"/>
      <c r="N148" s="64"/>
    </row>
    <row r="149" spans="2:14">
      <c r="B149" s="85"/>
      <c r="C149" s="66"/>
      <c r="D149" s="66"/>
      <c r="E149" s="66"/>
      <c r="F149" s="66"/>
      <c r="G149" s="66"/>
      <c r="H149" s="66"/>
      <c r="I149" s="66"/>
      <c r="J149" s="66"/>
      <c r="K149" s="66"/>
      <c r="L149" s="66"/>
      <c r="M149" s="66"/>
      <c r="N149" s="66"/>
    </row>
    <row r="150" spans="2:14">
      <c r="B150" s="84" t="s">
        <v>376</v>
      </c>
      <c r="C150" s="131">
        <v>30944572000</v>
      </c>
      <c r="D150" s="131">
        <f t="shared" ref="D150:G150" si="66">+D142+D144+D147</f>
        <v>8910323000</v>
      </c>
      <c r="E150" s="131">
        <f t="shared" si="66"/>
        <v>20755242000</v>
      </c>
      <c r="F150" s="131">
        <f t="shared" si="66"/>
        <v>12974821000</v>
      </c>
      <c r="G150" s="131">
        <f t="shared" si="66"/>
        <v>-1996750000</v>
      </c>
      <c r="H150" s="131">
        <f>+H142+H144+H147</f>
        <v>-28063271000</v>
      </c>
      <c r="I150" s="131">
        <f t="shared" ref="I150:L150" si="67">+I142+I144+I147</f>
        <v>22044102000</v>
      </c>
      <c r="J150" s="131">
        <f>+J142+J144+J147</f>
        <v>-22056477000</v>
      </c>
      <c r="K150" s="131">
        <f t="shared" si="67"/>
        <v>-38631078000</v>
      </c>
      <c r="L150" s="131">
        <f t="shared" si="67"/>
        <v>0</v>
      </c>
      <c r="M150" s="131"/>
      <c r="N150" s="131"/>
    </row>
  </sheetData>
  <conditionalFormatting sqref="C67:H73 D74:H74 C75:H107">
    <cfRule type="cellIs" dxfId="127" priority="4" operator="lessThan">
      <formula>0</formula>
    </cfRule>
  </conditionalFormatting>
  <conditionalFormatting sqref="C119:N138">
    <cfRule type="cellIs" dxfId="126" priority="2" operator="lessThan">
      <formula>0</formula>
    </cfRule>
  </conditionalFormatting>
  <conditionalFormatting sqref="C142:N150">
    <cfRule type="cellIs" dxfId="125" priority="1" operator="lessThan">
      <formula>0</formula>
    </cfRule>
  </conditionalFormatting>
  <conditionalFormatting sqref="I67:N107 C109:N115">
    <cfRule type="cellIs" dxfId="124" priority="3" operator="lessThan">
      <formula>0</formula>
    </cfRule>
  </conditionalFormatting>
  <pageMargins left="0.7" right="0.7" top="0.75" bottom="0.75" header="0.3" footer="0.3"/>
  <pageSetup paperSize="9" orientation="portrait" r:id="rId1"/>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DABB9-30AE-4CA0-AFFD-AFA4F7F7FD7D}">
  <sheetPr codeName="Hoja2"/>
  <dimension ref="B2:R139"/>
  <sheetViews>
    <sheetView zoomScale="70" zoomScaleNormal="70" workbookViewId="0">
      <pane xSplit="2" ySplit="6" topLeftCell="C14" activePane="bottomRight" state="frozen"/>
      <selection pane="bottomRight" activeCell="K48" sqref="K48"/>
      <selection pane="bottomLeft" activeCell="A7" sqref="A7"/>
      <selection pane="topRight" activeCell="C1" sqref="C1"/>
    </sheetView>
  </sheetViews>
  <sheetFormatPr defaultColWidth="10.7109375" defaultRowHeight="14.25"/>
  <cols>
    <col min="1" max="1" width="8" customWidth="1"/>
    <col min="2" max="2" width="57.28515625" customWidth="1"/>
    <col min="3" max="3" width="33.28515625" customWidth="1"/>
    <col min="4" max="4" width="35.7109375" customWidth="1"/>
    <col min="5" max="5" width="34" customWidth="1"/>
    <col min="6" max="6" width="33.28515625" customWidth="1"/>
    <col min="7" max="7" width="36" customWidth="1"/>
    <col min="8" max="8" width="38.42578125" customWidth="1"/>
    <col min="9" max="9" width="33.5703125" bestFit="1" customWidth="1"/>
    <col min="10" max="10" width="33.5703125" style="414" bestFit="1" customWidth="1"/>
    <col min="11" max="14" width="33.5703125" bestFit="1" customWidth="1"/>
    <col min="16" max="16" width="17.28515625" bestFit="1" customWidth="1"/>
  </cols>
  <sheetData>
    <row r="2" spans="2:14" ht="21">
      <c r="B2" s="313"/>
      <c r="C2" s="314"/>
      <c r="D2" s="326" t="s">
        <v>265</v>
      </c>
      <c r="E2" s="329" t="s">
        <v>266</v>
      </c>
    </row>
    <row r="3" spans="2:14" ht="23.25">
      <c r="B3" s="376" cm="1">
        <f t="array" aca="1" ref="B3" ca="1">_FV(B6,"Precio")</f>
        <v>1412</v>
      </c>
      <c r="C3" s="316"/>
      <c r="D3" s="327">
        <f>AVERAGE(H49:J49)</f>
        <v>116</v>
      </c>
      <c r="E3" s="327">
        <f>AVERAGE(H48:J48)</f>
        <v>116</v>
      </c>
    </row>
    <row r="4" spans="2:14" ht="28.5">
      <c r="B4" s="317"/>
      <c r="C4" s="318"/>
      <c r="D4" s="328"/>
      <c r="E4" s="328"/>
      <c r="I4" s="833"/>
      <c r="J4" s="834"/>
    </row>
    <row r="6" spans="2:14" ht="33.4">
      <c r="B6" s="97" t="e" vm="37">
        <v>#VALUE!</v>
      </c>
      <c r="C6" s="97">
        <v>2017</v>
      </c>
      <c r="D6" s="97">
        <v>2018</v>
      </c>
      <c r="E6" s="97">
        <v>2019</v>
      </c>
      <c r="F6" s="97">
        <v>2020</v>
      </c>
      <c r="G6" s="97">
        <v>2021</v>
      </c>
      <c r="H6" s="97">
        <v>2022</v>
      </c>
      <c r="I6" s="97">
        <v>2023</v>
      </c>
      <c r="J6" s="415">
        <v>2024</v>
      </c>
      <c r="K6" s="386">
        <v>2025</v>
      </c>
      <c r="L6" s="97">
        <v>2026</v>
      </c>
      <c r="M6" s="97">
        <v>2027</v>
      </c>
      <c r="N6" s="97">
        <v>2028</v>
      </c>
    </row>
    <row r="7" spans="2:14" ht="25.5">
      <c r="B7" s="4" t="s">
        <v>267</v>
      </c>
      <c r="C7" s="5">
        <f>+C71</f>
        <v>59455197000</v>
      </c>
      <c r="D7" s="5">
        <f t="shared" ref="D7:I7" si="0">+D71</f>
        <v>68808183000</v>
      </c>
      <c r="E7" s="5">
        <f t="shared" si="0"/>
        <v>57677873000</v>
      </c>
      <c r="F7" s="5">
        <f t="shared" si="0"/>
        <v>239755445000</v>
      </c>
      <c r="G7" s="5">
        <f t="shared" si="0"/>
        <v>130122012000</v>
      </c>
      <c r="H7" s="5">
        <f t="shared" si="0"/>
        <v>104916773000</v>
      </c>
      <c r="I7" s="5">
        <f t="shared" si="0"/>
        <v>135915575000</v>
      </c>
      <c r="J7" s="416">
        <f t="shared" ref="J7:N7" si="1">+J71</f>
        <v>140690367000</v>
      </c>
      <c r="K7" s="387">
        <f t="shared" si="1"/>
        <v>0</v>
      </c>
      <c r="L7" s="5">
        <f t="shared" si="1"/>
        <v>0</v>
      </c>
      <c r="M7" s="5">
        <f t="shared" si="1"/>
        <v>0</v>
      </c>
      <c r="N7" s="5">
        <f t="shared" si="1"/>
        <v>0</v>
      </c>
    </row>
    <row r="8" spans="2:14" ht="25.5">
      <c r="B8" s="6" t="s">
        <v>268</v>
      </c>
      <c r="C8" s="7">
        <v>0</v>
      </c>
      <c r="D8" s="7">
        <v>0</v>
      </c>
      <c r="E8" s="7">
        <v>0</v>
      </c>
      <c r="F8" s="7">
        <v>0</v>
      </c>
      <c r="G8" s="7">
        <v>0</v>
      </c>
      <c r="H8" s="7">
        <v>0</v>
      </c>
      <c r="I8" s="7">
        <v>0</v>
      </c>
      <c r="J8" s="417">
        <v>0</v>
      </c>
      <c r="K8" s="388">
        <v>0</v>
      </c>
      <c r="L8" s="7">
        <v>0</v>
      </c>
      <c r="M8" s="7">
        <v>0</v>
      </c>
      <c r="N8" s="7">
        <v>0</v>
      </c>
    </row>
    <row r="9" spans="2:14" ht="25.5">
      <c r="B9" s="6" t="s">
        <v>377</v>
      </c>
      <c r="C9" s="7">
        <f>C74</f>
        <v>3315148000</v>
      </c>
      <c r="D9" s="7">
        <f t="shared" ref="D9:N9" si="2">D74</f>
        <v>3740723000</v>
      </c>
      <c r="E9" s="7">
        <f t="shared" si="2"/>
        <v>5825301000</v>
      </c>
      <c r="F9" s="7">
        <f t="shared" si="2"/>
        <v>4255875000</v>
      </c>
      <c r="G9" s="7">
        <f t="shared" si="2"/>
        <v>7156121000</v>
      </c>
      <c r="H9" s="7">
        <f t="shared" si="2"/>
        <v>10993144000</v>
      </c>
      <c r="I9" s="7">
        <f t="shared" si="2"/>
        <v>12971872000</v>
      </c>
      <c r="J9" s="7">
        <f t="shared" si="2"/>
        <v>14117658000</v>
      </c>
      <c r="K9" s="7">
        <f t="shared" si="2"/>
        <v>0</v>
      </c>
      <c r="L9" s="7">
        <f t="shared" si="2"/>
        <v>0</v>
      </c>
      <c r="M9" s="7">
        <f t="shared" si="2"/>
        <v>0</v>
      </c>
      <c r="N9" s="7">
        <f t="shared" si="2"/>
        <v>0</v>
      </c>
    </row>
    <row r="10" spans="2:14" ht="25.5">
      <c r="B10" s="4" t="s">
        <v>269</v>
      </c>
      <c r="C10" s="5">
        <f>+C77</f>
        <v>389956368000</v>
      </c>
      <c r="D10" s="5">
        <f t="shared" ref="D10:I10" si="3">+D77</f>
        <v>421436939000</v>
      </c>
      <c r="E10" s="5">
        <f t="shared" si="3"/>
        <v>656440238000</v>
      </c>
      <c r="F10" s="5">
        <f t="shared" si="3"/>
        <v>531304806000</v>
      </c>
      <c r="G10" s="5">
        <f t="shared" si="3"/>
        <v>434429160000</v>
      </c>
      <c r="H10" s="5">
        <f t="shared" si="3"/>
        <v>447991634000</v>
      </c>
      <c r="I10" s="5">
        <f t="shared" si="3"/>
        <v>486612955000</v>
      </c>
      <c r="J10" s="416">
        <f t="shared" ref="J10:N10" si="4">+J77</f>
        <v>528481553000</v>
      </c>
      <c r="K10" s="387">
        <f t="shared" si="4"/>
        <v>0</v>
      </c>
      <c r="L10" s="5">
        <f t="shared" si="4"/>
        <v>0</v>
      </c>
      <c r="M10" s="5">
        <f t="shared" si="4"/>
        <v>0</v>
      </c>
      <c r="N10" s="5">
        <f t="shared" si="4"/>
        <v>0</v>
      </c>
    </row>
    <row r="11" spans="2:14" ht="25.5">
      <c r="B11" s="6" t="s">
        <v>270</v>
      </c>
      <c r="C11" s="7">
        <f>+C78</f>
        <v>350587189000</v>
      </c>
      <c r="D11" s="7">
        <f t="shared" ref="D11:I11" si="5">+D78</f>
        <v>370535261000</v>
      </c>
      <c r="E11" s="7">
        <f t="shared" si="5"/>
        <v>446677061000</v>
      </c>
      <c r="F11" s="7">
        <f t="shared" si="5"/>
        <v>452140672000</v>
      </c>
      <c r="G11" s="7">
        <f t="shared" si="5"/>
        <v>416105187000</v>
      </c>
      <c r="H11" s="7">
        <f t="shared" si="5"/>
        <v>423227967000</v>
      </c>
      <c r="I11" s="7">
        <f t="shared" si="5"/>
        <v>457193541000</v>
      </c>
      <c r="J11" s="417">
        <f t="shared" ref="J11:N11" si="6">+J78</f>
        <v>499163433000</v>
      </c>
      <c r="K11" s="388">
        <f t="shared" si="6"/>
        <v>0</v>
      </c>
      <c r="L11" s="7">
        <f t="shared" si="6"/>
        <v>0</v>
      </c>
      <c r="M11" s="7">
        <f t="shared" si="6"/>
        <v>0</v>
      </c>
      <c r="N11" s="7">
        <f t="shared" si="6"/>
        <v>0</v>
      </c>
    </row>
    <row r="12" spans="2:14" ht="25.5">
      <c r="B12" s="6" t="s">
        <v>271</v>
      </c>
      <c r="C12" s="7">
        <f>+C81</f>
        <v>3433941000</v>
      </c>
      <c r="D12" s="7">
        <f t="shared" ref="D12:I12" si="7">+D81</f>
        <v>5643060000</v>
      </c>
      <c r="E12" s="7">
        <f t="shared" si="7"/>
        <v>46942596000</v>
      </c>
      <c r="F12" s="7">
        <f t="shared" si="7"/>
        <v>13609509000</v>
      </c>
      <c r="G12" s="7">
        <f t="shared" si="7"/>
        <v>8739222000</v>
      </c>
      <c r="H12" s="7">
        <f t="shared" si="7"/>
        <v>9379068000</v>
      </c>
      <c r="I12" s="7">
        <f t="shared" si="7"/>
        <v>11910097000</v>
      </c>
      <c r="J12" s="417">
        <f t="shared" ref="J12:N12" si="8">+J81</f>
        <v>17490904000</v>
      </c>
      <c r="K12" s="388">
        <f t="shared" si="8"/>
        <v>0</v>
      </c>
      <c r="L12" s="7">
        <f t="shared" si="8"/>
        <v>0</v>
      </c>
      <c r="M12" s="7">
        <f t="shared" si="8"/>
        <v>0</v>
      </c>
      <c r="N12" s="7">
        <f t="shared" si="8"/>
        <v>0</v>
      </c>
    </row>
    <row r="13" spans="2:14" ht="25.5">
      <c r="B13" s="8" t="s">
        <v>272</v>
      </c>
      <c r="C13" s="9">
        <f t="shared" ref="C13:I13" si="9">SUM(C7:C10)</f>
        <v>452726713000</v>
      </c>
      <c r="D13" s="9">
        <f t="shared" si="9"/>
        <v>493985845000</v>
      </c>
      <c r="E13" s="9">
        <f t="shared" si="9"/>
        <v>719943412000</v>
      </c>
      <c r="F13" s="9">
        <f t="shared" si="9"/>
        <v>775316126000</v>
      </c>
      <c r="G13" s="9">
        <f t="shared" si="9"/>
        <v>571707293000</v>
      </c>
      <c r="H13" s="9">
        <f t="shared" si="9"/>
        <v>563901551000</v>
      </c>
      <c r="I13" s="9">
        <f t="shared" si="9"/>
        <v>635500402000</v>
      </c>
      <c r="J13" s="418">
        <f t="shared" ref="J13:N13" si="10">SUM(J7:J10)</f>
        <v>683289578000</v>
      </c>
      <c r="K13" s="389">
        <f t="shared" si="10"/>
        <v>0</v>
      </c>
      <c r="L13" s="9">
        <f t="shared" si="10"/>
        <v>0</v>
      </c>
      <c r="M13" s="9">
        <f t="shared" si="10"/>
        <v>0</v>
      </c>
      <c r="N13" s="9">
        <f t="shared" si="10"/>
        <v>0</v>
      </c>
    </row>
    <row r="14" spans="2:14" ht="25.5">
      <c r="B14" s="10" t="s">
        <v>273</v>
      </c>
      <c r="C14" s="11">
        <f>+C87</f>
        <v>44293239000</v>
      </c>
      <c r="D14" s="11">
        <f t="shared" ref="D14:I14" si="11">+D87</f>
        <v>42758467000</v>
      </c>
      <c r="E14" s="11">
        <f t="shared" si="11"/>
        <v>78124766000</v>
      </c>
      <c r="F14" s="11">
        <f t="shared" si="11"/>
        <v>164847062000</v>
      </c>
      <c r="G14" s="11">
        <f t="shared" si="11"/>
        <v>92917991000</v>
      </c>
      <c r="H14" s="11">
        <f t="shared" si="11"/>
        <v>179150522000</v>
      </c>
      <c r="I14" s="11">
        <f t="shared" si="11"/>
        <v>119747857000</v>
      </c>
      <c r="J14" s="419">
        <f t="shared" ref="J14:N14" si="12">+J87</f>
        <v>134795849000</v>
      </c>
      <c r="K14" s="390">
        <f t="shared" si="12"/>
        <v>0</v>
      </c>
      <c r="L14" s="11">
        <f t="shared" si="12"/>
        <v>0</v>
      </c>
      <c r="M14" s="11">
        <f t="shared" si="12"/>
        <v>0</v>
      </c>
      <c r="N14" s="11">
        <f t="shared" si="12"/>
        <v>0</v>
      </c>
    </row>
    <row r="15" spans="2:14" ht="25.5">
      <c r="B15" s="10" t="s">
        <v>274</v>
      </c>
      <c r="C15" s="11">
        <f>+C94</f>
        <v>53691020000</v>
      </c>
      <c r="D15" s="11">
        <f t="shared" ref="D15:I15" si="13">+D94</f>
        <v>61457125000</v>
      </c>
      <c r="E15" s="11">
        <f t="shared" si="13"/>
        <v>190604668000</v>
      </c>
      <c r="F15" s="11">
        <f t="shared" si="13"/>
        <v>84889196000</v>
      </c>
      <c r="G15" s="11">
        <f t="shared" si="13"/>
        <v>171827366000</v>
      </c>
      <c r="H15" s="11">
        <f t="shared" si="13"/>
        <v>85060467000</v>
      </c>
      <c r="I15" s="11">
        <f t="shared" si="13"/>
        <v>190456630000</v>
      </c>
      <c r="J15" s="419">
        <f t="shared" ref="J15:N15" si="14">+J94</f>
        <v>196936823000</v>
      </c>
      <c r="K15" s="390">
        <f t="shared" si="14"/>
        <v>0</v>
      </c>
      <c r="L15" s="11">
        <f t="shared" si="14"/>
        <v>0</v>
      </c>
      <c r="M15" s="11">
        <f t="shared" si="14"/>
        <v>0</v>
      </c>
      <c r="N15" s="11">
        <f t="shared" si="14"/>
        <v>0</v>
      </c>
    </row>
    <row r="16" spans="2:14" ht="25.5">
      <c r="B16" s="12" t="s">
        <v>275</v>
      </c>
      <c r="C16" s="13">
        <f>+C100</f>
        <v>97984259000</v>
      </c>
      <c r="D16" s="13">
        <f t="shared" ref="D16:I16" si="15">+D100</f>
        <v>104215592000</v>
      </c>
      <c r="E16" s="13">
        <f t="shared" si="15"/>
        <v>268729434000</v>
      </c>
      <c r="F16" s="13">
        <f t="shared" si="15"/>
        <v>249736258000</v>
      </c>
      <c r="G16" s="13">
        <f t="shared" si="15"/>
        <v>264745357000</v>
      </c>
      <c r="H16" s="13">
        <f t="shared" si="15"/>
        <v>264210989000</v>
      </c>
      <c r="I16" s="13">
        <f t="shared" si="15"/>
        <v>310204487000</v>
      </c>
      <c r="J16" s="420">
        <f t="shared" ref="J16:N16" si="16">+J100</f>
        <v>331732672000</v>
      </c>
      <c r="K16" s="391">
        <f t="shared" si="16"/>
        <v>0</v>
      </c>
      <c r="L16" s="13">
        <f t="shared" si="16"/>
        <v>0</v>
      </c>
      <c r="M16" s="13">
        <f t="shared" si="16"/>
        <v>0</v>
      </c>
      <c r="N16" s="13">
        <f t="shared" si="16"/>
        <v>0</v>
      </c>
    </row>
    <row r="17" spans="2:14" ht="25.5">
      <c r="B17" s="14" t="s">
        <v>276</v>
      </c>
      <c r="C17" s="15">
        <f>+C106</f>
        <v>351414951000</v>
      </c>
      <c r="D17" s="15">
        <f t="shared" ref="D17:I17" si="17">+D106</f>
        <v>386012062000</v>
      </c>
      <c r="E17" s="15">
        <f t="shared" si="17"/>
        <v>445361036000</v>
      </c>
      <c r="F17" s="15">
        <f t="shared" si="17"/>
        <v>521323993000</v>
      </c>
      <c r="G17" s="15">
        <f t="shared" si="17"/>
        <v>299805815000</v>
      </c>
      <c r="H17" s="15">
        <f t="shared" si="17"/>
        <v>288697418000</v>
      </c>
      <c r="I17" s="15">
        <f t="shared" si="17"/>
        <v>312324043000</v>
      </c>
      <c r="J17" s="421">
        <f t="shared" ref="J17:N17" si="18">+J106</f>
        <v>337439248000</v>
      </c>
      <c r="K17" s="392">
        <f t="shared" si="18"/>
        <v>0</v>
      </c>
      <c r="L17" s="15">
        <f t="shared" si="18"/>
        <v>0</v>
      </c>
      <c r="M17" s="15">
        <f t="shared" si="18"/>
        <v>0</v>
      </c>
      <c r="N17" s="15">
        <f t="shared" si="18"/>
        <v>0</v>
      </c>
    </row>
    <row r="18" spans="2:14" ht="25.5">
      <c r="B18" s="16" t="s">
        <v>277</v>
      </c>
      <c r="C18" s="17">
        <f>+C17-C12</f>
        <v>347981010000</v>
      </c>
      <c r="D18" s="17">
        <f t="shared" ref="D18:I18" si="19">+D17-D12</f>
        <v>380369002000</v>
      </c>
      <c r="E18" s="17">
        <f t="shared" si="19"/>
        <v>398418440000</v>
      </c>
      <c r="F18" s="17">
        <f t="shared" si="19"/>
        <v>507714484000</v>
      </c>
      <c r="G18" s="17">
        <f t="shared" si="19"/>
        <v>291066593000</v>
      </c>
      <c r="H18" s="17">
        <f t="shared" si="19"/>
        <v>279318350000</v>
      </c>
      <c r="I18" s="17">
        <f t="shared" si="19"/>
        <v>300413946000</v>
      </c>
      <c r="J18" s="422">
        <f t="shared" ref="J18:N18" si="20">+J17-J12</f>
        <v>319948344000</v>
      </c>
      <c r="K18" s="393">
        <f t="shared" si="20"/>
        <v>0</v>
      </c>
      <c r="L18" s="17">
        <f t="shared" si="20"/>
        <v>0</v>
      </c>
      <c r="M18" s="17">
        <f t="shared" si="20"/>
        <v>0</v>
      </c>
      <c r="N18" s="17">
        <f t="shared" si="20"/>
        <v>0</v>
      </c>
    </row>
    <row r="19" spans="2:14" ht="25.5">
      <c r="B19" s="79" t="s">
        <v>278</v>
      </c>
      <c r="C19" s="80">
        <v>1000000000</v>
      </c>
      <c r="D19" s="80">
        <v>1000000000</v>
      </c>
      <c r="E19" s="80">
        <v>1000000000</v>
      </c>
      <c r="F19" s="80">
        <v>1000000000</v>
      </c>
      <c r="G19" s="80">
        <v>1000000000</v>
      </c>
      <c r="H19" s="80">
        <v>1000000000</v>
      </c>
      <c r="I19" s="80">
        <v>1000000000</v>
      </c>
      <c r="J19" s="80">
        <v>1000000000</v>
      </c>
      <c r="K19" s="394"/>
      <c r="L19" s="80"/>
      <c r="M19" s="80"/>
      <c r="N19" s="80"/>
    </row>
    <row r="20" spans="2:14" ht="12" customHeight="1">
      <c r="B20" s="55"/>
      <c r="C20" s="56"/>
      <c r="D20" s="56"/>
      <c r="E20" s="56"/>
      <c r="F20" s="56"/>
      <c r="G20" s="56"/>
      <c r="H20" s="56"/>
    </row>
    <row r="21" spans="2:14" ht="25.5">
      <c r="B21" s="18" t="s">
        <v>279</v>
      </c>
      <c r="C21" s="19">
        <f t="shared" ref="C21:F21" si="21">(C17/C19)</f>
        <v>351.41495099999997</v>
      </c>
      <c r="D21" s="19">
        <f t="shared" si="21"/>
        <v>386.01206200000001</v>
      </c>
      <c r="E21" s="19">
        <f t="shared" si="21"/>
        <v>445.36103600000001</v>
      </c>
      <c r="F21" s="19">
        <f t="shared" si="21"/>
        <v>521.32399299999997</v>
      </c>
      <c r="G21" s="19">
        <f t="shared" ref="G21:N21" si="22">(G17/G19)</f>
        <v>299.805815</v>
      </c>
      <c r="H21" s="19">
        <f t="shared" si="22"/>
        <v>288.69741800000003</v>
      </c>
      <c r="I21" s="19">
        <f t="shared" si="22"/>
        <v>312.32404300000002</v>
      </c>
      <c r="J21" s="424">
        <f t="shared" si="22"/>
        <v>337.43924800000002</v>
      </c>
      <c r="K21" s="19" t="e">
        <f t="shared" si="22"/>
        <v>#DIV/0!</v>
      </c>
      <c r="L21" s="19" t="e">
        <f t="shared" si="22"/>
        <v>#DIV/0!</v>
      </c>
      <c r="M21" s="19" t="e">
        <f t="shared" si="22"/>
        <v>#DIV/0!</v>
      </c>
      <c r="N21" s="19" t="e">
        <f t="shared" si="22"/>
        <v>#DIV/0!</v>
      </c>
    </row>
    <row r="22" spans="2:14" ht="25.5">
      <c r="B22" s="20" t="s">
        <v>280</v>
      </c>
      <c r="C22" s="21">
        <f>+C18/C19</f>
        <v>347.98101000000003</v>
      </c>
      <c r="D22" s="21">
        <f t="shared" ref="D22:H22" si="23">+D18/D19</f>
        <v>380.36900200000002</v>
      </c>
      <c r="E22" s="21">
        <f t="shared" si="23"/>
        <v>398.41843999999998</v>
      </c>
      <c r="F22" s="21">
        <f t="shared" si="23"/>
        <v>507.71448400000003</v>
      </c>
      <c r="G22" s="21">
        <f t="shared" si="23"/>
        <v>291.06659300000001</v>
      </c>
      <c r="H22" s="21">
        <f t="shared" si="23"/>
        <v>279.31835000000001</v>
      </c>
      <c r="I22" s="21">
        <f t="shared" ref="I22:J22" si="24">+I18/I19</f>
        <v>300.41394600000001</v>
      </c>
      <c r="J22" s="425">
        <f t="shared" si="24"/>
        <v>319.94834400000002</v>
      </c>
      <c r="K22" s="21" t="e">
        <f t="shared" ref="K22:N22" si="25">+K18/K19</f>
        <v>#DIV/0!</v>
      </c>
      <c r="L22" s="21" t="e">
        <f t="shared" si="25"/>
        <v>#DIV/0!</v>
      </c>
      <c r="M22" s="21" t="e">
        <f t="shared" si="25"/>
        <v>#DIV/0!</v>
      </c>
      <c r="N22" s="21" t="e">
        <f t="shared" si="25"/>
        <v>#DIV/0!</v>
      </c>
    </row>
    <row r="23" spans="2:14" ht="25.5">
      <c r="B23" s="20" t="s">
        <v>281</v>
      </c>
      <c r="C23" s="21">
        <f>+C11/C19</f>
        <v>350.58718900000002</v>
      </c>
      <c r="D23" s="21">
        <f t="shared" ref="D23:H23" si="26">+D11/D19</f>
        <v>370.53526099999999</v>
      </c>
      <c r="E23" s="21">
        <f t="shared" si="26"/>
        <v>446.67706099999998</v>
      </c>
      <c r="F23" s="21">
        <f t="shared" si="26"/>
        <v>452.140672</v>
      </c>
      <c r="G23" s="21">
        <f t="shared" si="26"/>
        <v>416.105187</v>
      </c>
      <c r="H23" s="21">
        <f t="shared" si="26"/>
        <v>423.22796699999998</v>
      </c>
      <c r="I23" s="21">
        <f t="shared" ref="I23:J23" si="27">+I11/I19</f>
        <v>457.19354099999998</v>
      </c>
      <c r="J23" s="425">
        <f t="shared" si="27"/>
        <v>499.163433</v>
      </c>
      <c r="K23" s="21" t="e">
        <f t="shared" ref="K23:N23" si="28">+K11/K19</f>
        <v>#DIV/0!</v>
      </c>
      <c r="L23" s="21" t="e">
        <f t="shared" si="28"/>
        <v>#DIV/0!</v>
      </c>
      <c r="M23" s="21" t="e">
        <f t="shared" si="28"/>
        <v>#DIV/0!</v>
      </c>
      <c r="N23" s="21" t="e">
        <f t="shared" si="28"/>
        <v>#DIV/0!</v>
      </c>
    </row>
    <row r="24" spans="2:14" ht="25.5">
      <c r="B24" s="76" t="s">
        <v>282</v>
      </c>
      <c r="C24" s="77">
        <v>525</v>
      </c>
      <c r="D24" s="77">
        <v>509</v>
      </c>
      <c r="E24" s="77">
        <v>375</v>
      </c>
      <c r="F24" s="77">
        <v>283</v>
      </c>
      <c r="G24" s="77">
        <v>260.57</v>
      </c>
      <c r="H24" s="77">
        <v>484</v>
      </c>
      <c r="I24" s="77">
        <v>825</v>
      </c>
      <c r="J24" s="426">
        <v>892</v>
      </c>
      <c r="K24" s="77"/>
      <c r="L24" s="77"/>
      <c r="M24" s="77"/>
      <c r="N24" s="77"/>
    </row>
    <row r="25" spans="2:14" ht="25.5">
      <c r="B25" s="18" t="s">
        <v>283</v>
      </c>
      <c r="C25" s="22">
        <f t="shared" ref="C25:I25" si="29">+C24/C44</f>
        <v>5.0480769230769234</v>
      </c>
      <c r="D25" s="22">
        <f t="shared" si="29"/>
        <v>5.5934065934065931</v>
      </c>
      <c r="E25" s="22">
        <f t="shared" si="29"/>
        <v>2.7777777777777777</v>
      </c>
      <c r="F25" s="22">
        <f t="shared" si="29"/>
        <v>2.193798449612403</v>
      </c>
      <c r="G25" s="22">
        <f t="shared" si="29"/>
        <v>2.0043846153846152</v>
      </c>
      <c r="H25" s="22">
        <f t="shared" si="29"/>
        <v>4.4403669724770642</v>
      </c>
      <c r="I25" s="22">
        <f t="shared" si="29"/>
        <v>6.25</v>
      </c>
      <c r="J25" s="427">
        <f>+J24/J44</f>
        <v>6.371428571428571</v>
      </c>
      <c r="K25" s="22" t="e">
        <f t="shared" ref="K25:N25" si="30">+K24/K44</f>
        <v>#DIV/0!</v>
      </c>
      <c r="L25" s="22" t="e">
        <f t="shared" si="30"/>
        <v>#DIV/0!</v>
      </c>
      <c r="M25" s="22" t="e">
        <f t="shared" si="30"/>
        <v>#DIV/0!</v>
      </c>
      <c r="N25" s="22" t="e">
        <f t="shared" si="30"/>
        <v>#DIV/0!</v>
      </c>
    </row>
    <row r="26" spans="2:14" ht="25.5">
      <c r="B26" s="18" t="s">
        <v>301</v>
      </c>
      <c r="C26" s="22">
        <f t="shared" ref="C26:H26" si="31">+C24/C21</f>
        <v>1.4939603409190181</v>
      </c>
      <c r="D26" s="22">
        <f t="shared" si="31"/>
        <v>1.3186116448350778</v>
      </c>
      <c r="E26" s="22">
        <f t="shared" si="31"/>
        <v>0.84201348947823085</v>
      </c>
      <c r="F26" s="22">
        <f t="shared" si="31"/>
        <v>0.54284860048633909</v>
      </c>
      <c r="G26" s="22">
        <f>+G24/G21</f>
        <v>0.8691292395379322</v>
      </c>
      <c r="H26" s="22">
        <f t="shared" si="31"/>
        <v>1.6764957696989169</v>
      </c>
      <c r="I26" s="22">
        <f t="shared" ref="I26:J26" si="32">+I24/I21</f>
        <v>2.6414873221912023</v>
      </c>
      <c r="J26" s="427">
        <f t="shared" si="32"/>
        <v>2.6434387976113554</v>
      </c>
      <c r="K26" s="22" t="e">
        <f t="shared" ref="K26:N26" si="33">+K24/K21</f>
        <v>#DIV/0!</v>
      </c>
      <c r="L26" s="22" t="e">
        <f t="shared" si="33"/>
        <v>#DIV/0!</v>
      </c>
      <c r="M26" s="22" t="e">
        <f t="shared" si="33"/>
        <v>#DIV/0!</v>
      </c>
      <c r="N26" s="22" t="e">
        <f t="shared" si="33"/>
        <v>#DIV/0!</v>
      </c>
    </row>
    <row r="27" spans="2:14" ht="25.5">
      <c r="B27" s="18" t="s">
        <v>285</v>
      </c>
      <c r="C27" s="22">
        <f>+C25*C26</f>
        <v>7.5416267209854286</v>
      </c>
      <c r="D27" s="22">
        <f t="shared" ref="D27:H27" si="34">+D25*D26</f>
        <v>7.3755310683632365</v>
      </c>
      <c r="E27" s="22">
        <f t="shared" si="34"/>
        <v>2.3389263596617522</v>
      </c>
      <c r="F27" s="22">
        <f t="shared" si="34"/>
        <v>1.1909004181211935</v>
      </c>
      <c r="G27" s="22">
        <f t="shared" si="34"/>
        <v>1.7420692765107613</v>
      </c>
      <c r="H27" s="22">
        <f t="shared" si="34"/>
        <v>7.4442564452685849</v>
      </c>
      <c r="I27" s="22">
        <f>+I25*I26</f>
        <v>16.509295763695015</v>
      </c>
      <c r="J27" s="427">
        <f t="shared" ref="J27:N27" si="35">+J25*J26</f>
        <v>16.842481481923777</v>
      </c>
      <c r="K27" s="22" t="e">
        <f t="shared" si="35"/>
        <v>#DIV/0!</v>
      </c>
      <c r="L27" s="22" t="e">
        <f t="shared" si="35"/>
        <v>#DIV/0!</v>
      </c>
      <c r="M27" s="22" t="e">
        <f t="shared" si="35"/>
        <v>#DIV/0!</v>
      </c>
      <c r="N27" s="22" t="e">
        <f t="shared" si="35"/>
        <v>#DIV/0!</v>
      </c>
    </row>
    <row r="28" spans="2:14" ht="25.5">
      <c r="B28" s="23" t="s">
        <v>286</v>
      </c>
      <c r="C28" s="24">
        <v>2</v>
      </c>
      <c r="D28" s="24">
        <v>2</v>
      </c>
      <c r="E28" s="24">
        <v>2</v>
      </c>
      <c r="F28" s="24">
        <v>2</v>
      </c>
      <c r="G28" s="24">
        <v>2</v>
      </c>
      <c r="H28" s="24">
        <v>2</v>
      </c>
      <c r="I28" s="24">
        <v>2</v>
      </c>
      <c r="J28" s="24">
        <v>2</v>
      </c>
      <c r="K28" s="24"/>
      <c r="L28" s="24"/>
      <c r="M28" s="24"/>
      <c r="N28" s="24"/>
    </row>
    <row r="29" spans="2:14" ht="25.5">
      <c r="B29" s="23" t="s">
        <v>287</v>
      </c>
      <c r="C29" s="24">
        <v>2.5</v>
      </c>
      <c r="D29" s="24">
        <v>2.5</v>
      </c>
      <c r="E29" s="24">
        <v>2.5</v>
      </c>
      <c r="F29" s="24">
        <v>2.5</v>
      </c>
      <c r="G29" s="24">
        <v>2.5</v>
      </c>
      <c r="H29" s="24">
        <v>2.5</v>
      </c>
      <c r="I29" s="24">
        <v>2.5</v>
      </c>
      <c r="J29" s="24">
        <v>2.5</v>
      </c>
      <c r="K29" s="24"/>
      <c r="L29" s="24"/>
      <c r="M29" s="24"/>
      <c r="N29" s="24"/>
    </row>
    <row r="30" spans="2:14" ht="25.5">
      <c r="B30" s="25" t="s">
        <v>288</v>
      </c>
      <c r="C30" s="26">
        <f>+C28*C21</f>
        <v>702.82990199999995</v>
      </c>
      <c r="D30" s="26">
        <f t="shared" ref="D30:H30" si="36">+D28*D21</f>
        <v>772.02412400000003</v>
      </c>
      <c r="E30" s="26">
        <f t="shared" si="36"/>
        <v>890.72207200000003</v>
      </c>
      <c r="F30" s="26">
        <f t="shared" si="36"/>
        <v>1042.6479859999999</v>
      </c>
      <c r="G30" s="26">
        <f t="shared" si="36"/>
        <v>599.61162999999999</v>
      </c>
      <c r="H30" s="26">
        <f t="shared" si="36"/>
        <v>577.39483600000005</v>
      </c>
      <c r="I30" s="26">
        <f t="shared" ref="I30" si="37">+I28*I21</f>
        <v>624.64808600000003</v>
      </c>
      <c r="J30" s="429">
        <f>+J28*J21</f>
        <v>674.87849600000004</v>
      </c>
      <c r="K30" s="26" t="e">
        <f t="shared" ref="K30:N30" si="38">+K28*K21</f>
        <v>#DIV/0!</v>
      </c>
      <c r="L30" s="26" t="e">
        <f t="shared" si="38"/>
        <v>#DIV/0!</v>
      </c>
      <c r="M30" s="26" t="e">
        <f t="shared" si="38"/>
        <v>#DIV/0!</v>
      </c>
      <c r="N30" s="26" t="e">
        <f t="shared" si="38"/>
        <v>#DIV/0!</v>
      </c>
    </row>
    <row r="31" spans="2:14" ht="25.5">
      <c r="B31" s="25" t="s">
        <v>289</v>
      </c>
      <c r="C31" s="26">
        <f>AVERAGE(C30,C32)</f>
        <v>790.68363974999988</v>
      </c>
      <c r="D31" s="26">
        <f t="shared" ref="D31:H31" si="39">AVERAGE(D30,D32)</f>
        <v>868.52713949999998</v>
      </c>
      <c r="E31" s="26">
        <f t="shared" si="39"/>
        <v>1002.0623310000001</v>
      </c>
      <c r="F31" s="26">
        <f t="shared" si="39"/>
        <v>1172.9789842499999</v>
      </c>
      <c r="G31" s="26">
        <f t="shared" si="39"/>
        <v>674.56308375000003</v>
      </c>
      <c r="H31" s="26">
        <f t="shared" si="39"/>
        <v>649.5691905000001</v>
      </c>
      <c r="I31" s="26">
        <f t="shared" ref="I31" si="40">AVERAGE(I30,I32)</f>
        <v>702.72909675000005</v>
      </c>
      <c r="J31" s="429">
        <f>AVERAGE(J30,J32)</f>
        <v>759.23830800000007</v>
      </c>
      <c r="K31" s="26" t="e">
        <f t="shared" ref="K31:N31" si="41">AVERAGE(K30,K32)</f>
        <v>#DIV/0!</v>
      </c>
      <c r="L31" s="26" t="e">
        <f t="shared" si="41"/>
        <v>#DIV/0!</v>
      </c>
      <c r="M31" s="26" t="e">
        <f t="shared" si="41"/>
        <v>#DIV/0!</v>
      </c>
      <c r="N31" s="26" t="e">
        <f t="shared" si="41"/>
        <v>#DIV/0!</v>
      </c>
    </row>
    <row r="32" spans="2:14" ht="25.5">
      <c r="B32" s="25" t="s">
        <v>290</v>
      </c>
      <c r="C32" s="26">
        <f>+C21*C29</f>
        <v>878.53737749999993</v>
      </c>
      <c r="D32" s="26">
        <f t="shared" ref="D32:H32" si="42">+D21*D29</f>
        <v>965.03015500000004</v>
      </c>
      <c r="E32" s="26">
        <f t="shared" si="42"/>
        <v>1113.4025900000001</v>
      </c>
      <c r="F32" s="26">
        <f t="shared" si="42"/>
        <v>1303.3099824999999</v>
      </c>
      <c r="G32" s="26">
        <f t="shared" si="42"/>
        <v>749.51453749999996</v>
      </c>
      <c r="H32" s="26">
        <f t="shared" si="42"/>
        <v>721.74354500000004</v>
      </c>
      <c r="I32" s="26">
        <f t="shared" ref="I32" si="43">+I21*I29</f>
        <v>780.81010750000007</v>
      </c>
      <c r="J32" s="429">
        <f>+J21*J29</f>
        <v>843.59812000000011</v>
      </c>
      <c r="K32" s="26" t="e">
        <f t="shared" ref="K32:N32" si="44">+K21*K29</f>
        <v>#DIV/0!</v>
      </c>
      <c r="L32" s="26" t="e">
        <f t="shared" si="44"/>
        <v>#DIV/0!</v>
      </c>
      <c r="M32" s="26" t="e">
        <f t="shared" si="44"/>
        <v>#DIV/0!</v>
      </c>
      <c r="N32" s="26" t="e">
        <f t="shared" si="44"/>
        <v>#DIV/0!</v>
      </c>
    </row>
    <row r="34" spans="2:18" ht="25.5">
      <c r="B34" s="27" t="s">
        <v>291</v>
      </c>
      <c r="C34" s="28">
        <f t="shared" ref="C34:I34" si="45">C7-C14</f>
        <v>15161958000</v>
      </c>
      <c r="D34" s="28">
        <f t="shared" si="45"/>
        <v>26049716000</v>
      </c>
      <c r="E34" s="28">
        <f t="shared" si="45"/>
        <v>-20446893000</v>
      </c>
      <c r="F34" s="28">
        <f t="shared" si="45"/>
        <v>74908383000</v>
      </c>
      <c r="G34" s="28">
        <f t="shared" si="45"/>
        <v>37204021000</v>
      </c>
      <c r="H34" s="28">
        <f t="shared" si="45"/>
        <v>-74233749000</v>
      </c>
      <c r="I34" s="81">
        <f t="shared" si="45"/>
        <v>16167718000</v>
      </c>
      <c r="J34" s="430">
        <f t="shared" ref="J34:N34" si="46">J7-J14</f>
        <v>5894518000</v>
      </c>
      <c r="K34" s="395">
        <f t="shared" si="46"/>
        <v>0</v>
      </c>
      <c r="L34" s="81">
        <f t="shared" si="46"/>
        <v>0</v>
      </c>
      <c r="M34" s="81">
        <f t="shared" si="46"/>
        <v>0</v>
      </c>
      <c r="N34" s="81">
        <f t="shared" si="46"/>
        <v>0</v>
      </c>
    </row>
    <row r="35" spans="2:18" ht="25.5">
      <c r="B35" s="30" t="s">
        <v>149</v>
      </c>
      <c r="C35" s="31">
        <f t="shared" ref="C35:H35" si="47">C7/C14</f>
        <v>1.3423086308951124</v>
      </c>
      <c r="D35" s="31">
        <f t="shared" si="47"/>
        <v>1.6092294188189675</v>
      </c>
      <c r="E35" s="31">
        <f t="shared" si="47"/>
        <v>0.73827898569321793</v>
      </c>
      <c r="F35" s="31">
        <f t="shared" si="47"/>
        <v>1.4544113925427435</v>
      </c>
      <c r="G35" s="31">
        <f t="shared" si="47"/>
        <v>1.4003963129164081</v>
      </c>
      <c r="H35" s="31">
        <f t="shared" si="47"/>
        <v>0.5856347602492612</v>
      </c>
      <c r="I35" s="31">
        <f t="shared" ref="I35:J35" si="48">I7/I14</f>
        <v>1.1350146750434122</v>
      </c>
      <c r="J35" s="431">
        <f t="shared" si="48"/>
        <v>1.04372922492591</v>
      </c>
      <c r="K35" s="396" t="e">
        <f t="shared" ref="K35:N35" si="49">K7/K14</f>
        <v>#DIV/0!</v>
      </c>
      <c r="L35" s="31" t="e">
        <f t="shared" si="49"/>
        <v>#DIV/0!</v>
      </c>
      <c r="M35" s="31" t="e">
        <f t="shared" si="49"/>
        <v>#DIV/0!</v>
      </c>
      <c r="N35" s="31" t="e">
        <f t="shared" si="49"/>
        <v>#DIV/0!</v>
      </c>
    </row>
    <row r="36" spans="2:18" ht="25.5">
      <c r="B36" s="30" t="s">
        <v>292</v>
      </c>
      <c r="C36" s="31">
        <f>+(C7-C8)/C14</f>
        <v>1.3423086308951124</v>
      </c>
      <c r="D36" s="31">
        <f t="shared" ref="D36:I36" si="50">+(D7-D8)/D14</f>
        <v>1.6092294188189675</v>
      </c>
      <c r="E36" s="31">
        <f t="shared" si="50"/>
        <v>0.73827898569321793</v>
      </c>
      <c r="F36" s="31">
        <f t="shared" si="50"/>
        <v>1.4544113925427435</v>
      </c>
      <c r="G36" s="31">
        <f t="shared" si="50"/>
        <v>1.4003963129164081</v>
      </c>
      <c r="H36" s="31">
        <f t="shared" si="50"/>
        <v>0.5856347602492612</v>
      </c>
      <c r="I36" s="31">
        <f t="shared" si="50"/>
        <v>1.1350146750434122</v>
      </c>
      <c r="J36" s="431">
        <f t="shared" ref="J36:N36" si="51">+(J7-J8)/J14</f>
        <v>1.04372922492591</v>
      </c>
      <c r="K36" s="396" t="e">
        <f t="shared" si="51"/>
        <v>#DIV/0!</v>
      </c>
      <c r="L36" s="31" t="e">
        <f t="shared" si="51"/>
        <v>#DIV/0!</v>
      </c>
      <c r="M36" s="31" t="e">
        <f t="shared" si="51"/>
        <v>#DIV/0!</v>
      </c>
      <c r="N36" s="31" t="e">
        <f t="shared" si="51"/>
        <v>#DIV/0!</v>
      </c>
    </row>
    <row r="37" spans="2:18" ht="25.5">
      <c r="B37" s="32" t="s">
        <v>153</v>
      </c>
      <c r="C37" s="33">
        <f t="shared" ref="C37:I37" si="52">C16/C13</f>
        <v>0.21643136176062136</v>
      </c>
      <c r="D37" s="33">
        <f t="shared" si="52"/>
        <v>0.21096878190912535</v>
      </c>
      <c r="E37" s="33">
        <f t="shared" si="52"/>
        <v>0.37326466152870358</v>
      </c>
      <c r="F37" s="33">
        <f t="shared" si="52"/>
        <v>0.32210894321060463</v>
      </c>
      <c r="G37" s="33">
        <f t="shared" si="52"/>
        <v>0.4630785023062492</v>
      </c>
      <c r="H37" s="33">
        <f t="shared" si="52"/>
        <v>0.46854098650989523</v>
      </c>
      <c r="I37" s="33">
        <f t="shared" si="52"/>
        <v>0.48812634268011051</v>
      </c>
      <c r="J37" s="432">
        <f t="shared" ref="J37:N37" si="53">J16/J13</f>
        <v>0.48549353404597079</v>
      </c>
      <c r="K37" s="397" t="e">
        <f t="shared" si="53"/>
        <v>#DIV/0!</v>
      </c>
      <c r="L37" s="33" t="e">
        <f t="shared" si="53"/>
        <v>#DIV/0!</v>
      </c>
      <c r="M37" s="33" t="e">
        <f t="shared" si="53"/>
        <v>#DIV/0!</v>
      </c>
      <c r="N37" s="33" t="e">
        <f t="shared" si="53"/>
        <v>#DIV/0!</v>
      </c>
    </row>
    <row r="38" spans="2:18" ht="18">
      <c r="I38" s="34"/>
      <c r="J38" s="433"/>
      <c r="K38" s="34"/>
      <c r="L38" s="34"/>
      <c r="M38" s="34"/>
      <c r="N38" s="34"/>
    </row>
    <row r="39" spans="2:18" ht="25.5">
      <c r="B39" s="35" t="s">
        <v>293</v>
      </c>
      <c r="C39" s="36">
        <f>+C110+C111</f>
        <v>211028403000</v>
      </c>
      <c r="D39" s="36">
        <f t="shared" ref="D39:I39" si="54">+D110+D111</f>
        <v>202768279000</v>
      </c>
      <c r="E39" s="36">
        <f t="shared" si="54"/>
        <v>283327408000</v>
      </c>
      <c r="F39" s="36">
        <f t="shared" si="54"/>
        <v>218542317000</v>
      </c>
      <c r="G39" s="36">
        <f t="shared" si="54"/>
        <v>222878888000</v>
      </c>
      <c r="H39" s="36">
        <f t="shared" si="54"/>
        <v>233698278000</v>
      </c>
      <c r="I39" s="36">
        <f t="shared" si="54"/>
        <v>272670258000</v>
      </c>
      <c r="J39" s="434">
        <f t="shared" ref="J39:N39" si="55">+J110+J111</f>
        <v>291967525000</v>
      </c>
      <c r="K39" s="398">
        <f t="shared" si="55"/>
        <v>0</v>
      </c>
      <c r="L39" s="36">
        <f t="shared" si="55"/>
        <v>0</v>
      </c>
      <c r="M39" s="36">
        <f t="shared" si="55"/>
        <v>0</v>
      </c>
      <c r="N39" s="36">
        <f t="shared" si="55"/>
        <v>0</v>
      </c>
    </row>
    <row r="40" spans="2:18" ht="25.5">
      <c r="B40" s="39" t="s">
        <v>181</v>
      </c>
      <c r="C40" s="40">
        <f>+C110+C111+C112+C115</f>
        <v>135404573000</v>
      </c>
      <c r="D40" s="40">
        <f t="shared" ref="D40:I40" si="56">+D110+D111+D112+D115</f>
        <v>121844304000</v>
      </c>
      <c r="E40" s="40">
        <f t="shared" si="56"/>
        <v>188939654000</v>
      </c>
      <c r="F40" s="40">
        <f t="shared" si="56"/>
        <v>146358198000</v>
      </c>
      <c r="G40" s="40">
        <f t="shared" si="56"/>
        <v>148034646000</v>
      </c>
      <c r="H40" s="40">
        <f t="shared" si="56"/>
        <v>153622084000</v>
      </c>
      <c r="I40" s="40">
        <f t="shared" si="56"/>
        <v>186981111000</v>
      </c>
      <c r="J40" s="435">
        <f t="shared" ref="J40:N40" si="57">+J110+J111+J112+J115</f>
        <v>201238098000</v>
      </c>
      <c r="K40" s="399">
        <f t="shared" si="57"/>
        <v>0</v>
      </c>
      <c r="L40" s="40">
        <f t="shared" si="57"/>
        <v>0</v>
      </c>
      <c r="M40" s="40">
        <f t="shared" si="57"/>
        <v>0</v>
      </c>
      <c r="N40" s="40">
        <f t="shared" si="57"/>
        <v>0</v>
      </c>
    </row>
    <row r="41" spans="2:18" ht="25.5">
      <c r="B41" s="35" t="s">
        <v>294</v>
      </c>
      <c r="C41" s="41">
        <f>C40/C39</f>
        <v>0.6416414618841616</v>
      </c>
      <c r="D41" s="41">
        <f t="shared" ref="D41:I41" si="58">D40/D39</f>
        <v>0.60090416805283431</v>
      </c>
      <c r="E41" s="41">
        <f t="shared" si="58"/>
        <v>0.66685978364648713</v>
      </c>
      <c r="F41" s="41">
        <f t="shared" si="58"/>
        <v>0.66970186831138978</v>
      </c>
      <c r="G41" s="41">
        <f t="shared" si="58"/>
        <v>0.66419321869552761</v>
      </c>
      <c r="H41" s="41">
        <f t="shared" si="58"/>
        <v>0.65735222918501779</v>
      </c>
      <c r="I41" s="41">
        <f t="shared" si="58"/>
        <v>0.68574076384964577</v>
      </c>
      <c r="J41" s="436">
        <f t="shared" ref="J41:N41" si="59">J40/J39</f>
        <v>0.68924822375365202</v>
      </c>
      <c r="K41" s="400" t="e">
        <f t="shared" si="59"/>
        <v>#DIV/0!</v>
      </c>
      <c r="L41" s="41" t="e">
        <f t="shared" si="59"/>
        <v>#DIV/0!</v>
      </c>
      <c r="M41" s="41" t="e">
        <f t="shared" si="59"/>
        <v>#DIV/0!</v>
      </c>
      <c r="N41" s="41" t="e">
        <f t="shared" si="59"/>
        <v>#DIV/0!</v>
      </c>
    </row>
    <row r="42" spans="2:18" ht="25.5">
      <c r="B42" s="43" t="s">
        <v>295</v>
      </c>
      <c r="C42" s="44">
        <f>+C126</f>
        <v>104079458000</v>
      </c>
      <c r="D42" s="44">
        <f>+D126</f>
        <v>90869246000</v>
      </c>
      <c r="E42" s="44">
        <f t="shared" ref="E42:I42" si="60">+E126</f>
        <v>135124258000</v>
      </c>
      <c r="F42" s="44">
        <f t="shared" si="60"/>
        <v>128628683000</v>
      </c>
      <c r="G42" s="44">
        <f t="shared" si="60"/>
        <v>129863090000</v>
      </c>
      <c r="H42" s="44">
        <f t="shared" si="60"/>
        <v>108846940000</v>
      </c>
      <c r="I42" s="44">
        <f t="shared" si="60"/>
        <v>131600369000</v>
      </c>
      <c r="J42" s="437">
        <f t="shared" ref="J42:N42" si="61">+J126</f>
        <v>140145938000</v>
      </c>
      <c r="K42" s="401">
        <f t="shared" si="61"/>
        <v>0</v>
      </c>
      <c r="L42" s="44">
        <f t="shared" si="61"/>
        <v>0</v>
      </c>
      <c r="M42" s="44">
        <f t="shared" si="61"/>
        <v>0</v>
      </c>
      <c r="N42" s="44">
        <f t="shared" si="61"/>
        <v>0</v>
      </c>
    </row>
    <row r="43" spans="2:18" ht="25.5">
      <c r="B43" s="30" t="s">
        <v>296</v>
      </c>
      <c r="C43" s="45">
        <f>C42/C39</f>
        <v>0.49320118297061649</v>
      </c>
      <c r="D43" s="45">
        <f t="shared" ref="D43:I43" si="62">D42/D39</f>
        <v>0.44814330154668819</v>
      </c>
      <c r="E43" s="45">
        <f t="shared" si="62"/>
        <v>0.47691911966384842</v>
      </c>
      <c r="F43" s="45">
        <f t="shared" si="62"/>
        <v>0.58857563498789112</v>
      </c>
      <c r="G43" s="45">
        <f t="shared" si="62"/>
        <v>0.58266214070486566</v>
      </c>
      <c r="H43" s="45">
        <f t="shared" si="62"/>
        <v>0.46575841692765918</v>
      </c>
      <c r="I43" s="45">
        <f t="shared" si="62"/>
        <v>0.48263558323255046</v>
      </c>
      <c r="J43" s="438">
        <f t="shared" ref="J43:N43" si="63">J42/J39</f>
        <v>0.4800052266086785</v>
      </c>
      <c r="K43" s="402" t="e">
        <f t="shared" si="63"/>
        <v>#DIV/0!</v>
      </c>
      <c r="L43" s="45" t="e">
        <f t="shared" si="63"/>
        <v>#DIV/0!</v>
      </c>
      <c r="M43" s="45" t="e">
        <f t="shared" si="63"/>
        <v>#DIV/0!</v>
      </c>
      <c r="N43" s="45" t="e">
        <f t="shared" si="63"/>
        <v>#DIV/0!</v>
      </c>
    </row>
    <row r="44" spans="2:18" ht="25.5">
      <c r="B44" s="46" t="s">
        <v>159</v>
      </c>
      <c r="C44" s="47">
        <f>+C127</f>
        <v>104</v>
      </c>
      <c r="D44" s="47">
        <f t="shared" ref="D44:I44" si="64">+D127</f>
        <v>91</v>
      </c>
      <c r="E44" s="47">
        <f t="shared" si="64"/>
        <v>135</v>
      </c>
      <c r="F44" s="47">
        <f t="shared" si="64"/>
        <v>129</v>
      </c>
      <c r="G44" s="47">
        <f t="shared" si="64"/>
        <v>130</v>
      </c>
      <c r="H44" s="47">
        <f t="shared" si="64"/>
        <v>109</v>
      </c>
      <c r="I44" s="47">
        <f t="shared" si="64"/>
        <v>132</v>
      </c>
      <c r="J44" s="439">
        <f t="shared" ref="J44:N44" si="65">+J127</f>
        <v>140</v>
      </c>
      <c r="K44" s="403">
        <f t="shared" si="65"/>
        <v>0</v>
      </c>
      <c r="L44" s="47">
        <f t="shared" si="65"/>
        <v>0</v>
      </c>
      <c r="M44" s="47">
        <f t="shared" si="65"/>
        <v>0</v>
      </c>
      <c r="N44" s="47">
        <f t="shared" si="65"/>
        <v>0</v>
      </c>
    </row>
    <row r="45" spans="2:18" ht="25.5">
      <c r="B45" s="48" t="s">
        <v>160</v>
      </c>
      <c r="C45" s="49">
        <f t="shared" ref="C45:H45" si="66">C42/C17</f>
        <v>0.29617253820256501</v>
      </c>
      <c r="D45" s="49">
        <f t="shared" si="66"/>
        <v>0.23540519829662732</v>
      </c>
      <c r="E45" s="49">
        <f t="shared" si="66"/>
        <v>0.30340386131129798</v>
      </c>
      <c r="F45" s="49">
        <f t="shared" si="66"/>
        <v>0.24673463091502101</v>
      </c>
      <c r="G45" s="49">
        <f t="shared" si="66"/>
        <v>0.43315734219498042</v>
      </c>
      <c r="H45" s="49">
        <f t="shared" si="66"/>
        <v>0.37702775713775177</v>
      </c>
      <c r="I45" s="49">
        <f t="shared" ref="I45:N45" si="67">I42/I17</f>
        <v>0.42135843188992017</v>
      </c>
      <c r="J45" s="49">
        <f>J42/J17</f>
        <v>0.41532198412201299</v>
      </c>
      <c r="K45" s="404" t="e">
        <f t="shared" si="67"/>
        <v>#DIV/0!</v>
      </c>
      <c r="L45" s="49" t="e">
        <f t="shared" si="67"/>
        <v>#DIV/0!</v>
      </c>
      <c r="M45" s="49" t="e">
        <f t="shared" si="67"/>
        <v>#DIV/0!</v>
      </c>
      <c r="N45" s="49" t="e">
        <f t="shared" si="67"/>
        <v>#DIV/0!</v>
      </c>
    </row>
    <row r="46" spans="2:18" ht="25.5">
      <c r="B46" s="48" t="s">
        <v>302</v>
      </c>
      <c r="C46" s="49">
        <f>AVERAGE(H45:J45)</f>
        <v>0.40456939104989503</v>
      </c>
      <c r="D46" s="49"/>
      <c r="E46" s="49"/>
      <c r="F46" s="49"/>
      <c r="G46" s="49"/>
      <c r="H46" s="49"/>
      <c r="I46" s="49"/>
      <c r="J46" s="440"/>
      <c r="K46" s="404"/>
      <c r="L46" s="49"/>
      <c r="M46" s="49"/>
      <c r="N46" s="49"/>
    </row>
    <row r="47" spans="2:18" ht="25.5">
      <c r="B47" s="48" t="s">
        <v>298</v>
      </c>
      <c r="C47" s="50">
        <f>+C139</f>
        <v>82475020000</v>
      </c>
      <c r="D47" s="50">
        <f t="shared" ref="D47:I47" si="68">+D139</f>
        <v>90200666000</v>
      </c>
      <c r="E47" s="50">
        <f t="shared" si="68"/>
        <v>98500067000</v>
      </c>
      <c r="F47" s="50">
        <f t="shared" si="68"/>
        <v>103075760000</v>
      </c>
      <c r="G47" s="50">
        <f t="shared" si="68"/>
        <v>74947911000</v>
      </c>
      <c r="H47" s="50">
        <f t="shared" si="68"/>
        <v>119703301000</v>
      </c>
      <c r="I47" s="50">
        <f t="shared" si="68"/>
        <v>155317307000</v>
      </c>
      <c r="J47" s="441">
        <f t="shared" ref="J47:N47" si="69">+J139</f>
        <v>140153155000</v>
      </c>
      <c r="K47" s="405">
        <f t="shared" si="69"/>
        <v>0</v>
      </c>
      <c r="L47" s="50">
        <f t="shared" si="69"/>
        <v>0</v>
      </c>
      <c r="M47" s="50">
        <f t="shared" si="69"/>
        <v>0</v>
      </c>
      <c r="N47" s="50">
        <f t="shared" si="69"/>
        <v>0</v>
      </c>
    </row>
    <row r="48" spans="2:18" ht="25.5">
      <c r="B48" s="51" t="s">
        <v>111</v>
      </c>
      <c r="C48" s="51">
        <f>SUM(C50:C53)</f>
        <v>59</v>
      </c>
      <c r="D48" s="51">
        <f t="shared" ref="D48:N48" si="70">SUM(D50:D53)</f>
        <v>51</v>
      </c>
      <c r="E48" s="51">
        <f t="shared" si="70"/>
        <v>65</v>
      </c>
      <c r="F48" s="51">
        <f t="shared" si="70"/>
        <v>30.535</v>
      </c>
      <c r="G48" s="51">
        <f t="shared" si="70"/>
        <v>110</v>
      </c>
      <c r="H48" s="51">
        <f t="shared" si="70"/>
        <v>120</v>
      </c>
      <c r="I48" s="51">
        <f t="shared" si="70"/>
        <v>108</v>
      </c>
      <c r="J48" s="51">
        <f t="shared" si="70"/>
        <v>120</v>
      </c>
      <c r="K48" s="51">
        <f t="shared" si="70"/>
        <v>35</v>
      </c>
      <c r="L48" s="51">
        <f t="shared" si="70"/>
        <v>0</v>
      </c>
      <c r="M48" s="51">
        <f t="shared" si="70"/>
        <v>0</v>
      </c>
      <c r="N48" s="51">
        <f t="shared" si="70"/>
        <v>0</v>
      </c>
      <c r="O48" s="68"/>
      <c r="P48" s="68"/>
      <c r="Q48" s="382"/>
      <c r="R48" s="382"/>
    </row>
    <row r="49" spans="2:18" ht="25.5">
      <c r="B49" s="51" t="s">
        <v>112</v>
      </c>
      <c r="C49" s="51">
        <f>+C50+C51+C52</f>
        <v>59</v>
      </c>
      <c r="D49" s="51">
        <f t="shared" ref="D49:N49" si="71">+D50+D51+D52</f>
        <v>51</v>
      </c>
      <c r="E49" s="51">
        <f t="shared" si="71"/>
        <v>65</v>
      </c>
      <c r="F49" s="51">
        <f t="shared" si="71"/>
        <v>30.535</v>
      </c>
      <c r="G49" s="51">
        <f t="shared" si="71"/>
        <v>110</v>
      </c>
      <c r="H49" s="51">
        <f t="shared" si="71"/>
        <v>120</v>
      </c>
      <c r="I49" s="51">
        <f t="shared" si="71"/>
        <v>108</v>
      </c>
      <c r="J49" s="51">
        <f t="shared" si="71"/>
        <v>120</v>
      </c>
      <c r="K49" s="51">
        <f t="shared" si="71"/>
        <v>35</v>
      </c>
      <c r="L49" s="51">
        <f t="shared" si="71"/>
        <v>0</v>
      </c>
      <c r="M49" s="51">
        <f t="shared" si="71"/>
        <v>0</v>
      </c>
      <c r="N49" s="51">
        <f t="shared" si="71"/>
        <v>0</v>
      </c>
      <c r="O49" s="68"/>
      <c r="P49" s="68"/>
      <c r="Q49" s="382"/>
      <c r="R49" s="382"/>
    </row>
    <row r="50" spans="2:18" ht="18">
      <c r="B50" s="135" t="s">
        <v>114</v>
      </c>
      <c r="C50" s="94">
        <v>39</v>
      </c>
      <c r="D50" s="94">
        <v>41</v>
      </c>
      <c r="E50" s="94">
        <v>45</v>
      </c>
      <c r="F50" s="94">
        <v>20.535</v>
      </c>
      <c r="G50" s="94">
        <v>0</v>
      </c>
      <c r="H50" s="94">
        <v>65</v>
      </c>
      <c r="I50" s="94">
        <f>53+15</f>
        <v>68</v>
      </c>
      <c r="J50" s="443">
        <v>60</v>
      </c>
      <c r="K50" s="407"/>
      <c r="L50" s="94"/>
      <c r="M50" s="94"/>
      <c r="N50" s="94"/>
    </row>
    <row r="51" spans="2:18" ht="18">
      <c r="B51" s="135" t="s">
        <v>115</v>
      </c>
      <c r="C51" s="94">
        <v>10</v>
      </c>
      <c r="D51" s="94">
        <v>10</v>
      </c>
      <c r="E51" s="94">
        <v>10</v>
      </c>
      <c r="F51" s="94">
        <v>10</v>
      </c>
      <c r="G51" s="94">
        <v>30</v>
      </c>
      <c r="H51" s="94">
        <v>55</v>
      </c>
      <c r="I51" s="94">
        <v>40</v>
      </c>
      <c r="J51" s="443">
        <v>60</v>
      </c>
      <c r="K51" s="407">
        <v>35</v>
      </c>
      <c r="L51" s="94"/>
      <c r="M51" s="94"/>
      <c r="N51" s="94"/>
    </row>
    <row r="52" spans="2:18" ht="18">
      <c r="B52" s="135" t="s">
        <v>116</v>
      </c>
      <c r="C52" s="94">
        <v>10</v>
      </c>
      <c r="D52" s="94"/>
      <c r="E52" s="94">
        <v>10</v>
      </c>
      <c r="F52" s="94">
        <v>0</v>
      </c>
      <c r="G52" s="94">
        <v>80</v>
      </c>
      <c r="H52" s="94">
        <v>0</v>
      </c>
      <c r="I52" s="94">
        <v>0</v>
      </c>
      <c r="J52" s="443">
        <v>0</v>
      </c>
      <c r="K52" s="407"/>
      <c r="L52" s="94"/>
      <c r="M52" s="94"/>
      <c r="N52" s="94"/>
    </row>
    <row r="53" spans="2:18" ht="18">
      <c r="B53" s="135" t="s">
        <v>117</v>
      </c>
      <c r="C53" s="94"/>
      <c r="D53" s="94"/>
      <c r="E53" s="94"/>
      <c r="F53" s="94">
        <v>0</v>
      </c>
      <c r="G53" s="94">
        <v>0</v>
      </c>
      <c r="H53" s="94">
        <v>0</v>
      </c>
      <c r="I53" s="94">
        <v>0</v>
      </c>
      <c r="J53" s="443">
        <v>0</v>
      </c>
      <c r="K53" s="407"/>
      <c r="L53" s="94"/>
      <c r="M53" s="94"/>
      <c r="N53" s="94"/>
    </row>
    <row r="54" spans="2:18" ht="25.5">
      <c r="B54" s="51" t="s">
        <v>119</v>
      </c>
      <c r="C54" s="51">
        <f>SUM(C56:C59)</f>
        <v>61</v>
      </c>
      <c r="D54" s="51">
        <f t="shared" ref="D54:N54" si="72">SUM(D56:D59)</f>
        <v>65</v>
      </c>
      <c r="E54" s="51">
        <f t="shared" si="72"/>
        <v>40.534999999999997</v>
      </c>
      <c r="F54" s="51">
        <f t="shared" si="72"/>
        <v>100</v>
      </c>
      <c r="G54" s="51">
        <f>SUM(G56:G59)</f>
        <v>115</v>
      </c>
      <c r="H54" s="51">
        <f t="shared" si="72"/>
        <v>108</v>
      </c>
      <c r="I54" s="51">
        <f t="shared" si="72"/>
        <v>100</v>
      </c>
      <c r="J54" s="51">
        <f t="shared" si="72"/>
        <v>55</v>
      </c>
      <c r="K54" s="51">
        <f t="shared" si="72"/>
        <v>0</v>
      </c>
      <c r="L54" s="51">
        <f t="shared" si="72"/>
        <v>0</v>
      </c>
      <c r="M54" s="51">
        <f t="shared" si="72"/>
        <v>0</v>
      </c>
      <c r="N54" s="51">
        <f t="shared" si="72"/>
        <v>0</v>
      </c>
    </row>
    <row r="55" spans="2:18" ht="25.5">
      <c r="B55" s="51" t="s">
        <v>120</v>
      </c>
      <c r="C55" s="51">
        <f>+C56+C57+C58</f>
        <v>61</v>
      </c>
      <c r="D55" s="51">
        <f t="shared" ref="D55:N55" si="73">+D56+D57+D58</f>
        <v>65</v>
      </c>
      <c r="E55" s="51">
        <f t="shared" si="73"/>
        <v>40.534999999999997</v>
      </c>
      <c r="F55" s="51">
        <f t="shared" si="73"/>
        <v>100</v>
      </c>
      <c r="G55" s="51">
        <f t="shared" si="73"/>
        <v>115</v>
      </c>
      <c r="H55" s="51">
        <f t="shared" si="73"/>
        <v>108</v>
      </c>
      <c r="I55" s="51">
        <f t="shared" si="73"/>
        <v>100</v>
      </c>
      <c r="J55" s="51">
        <f t="shared" si="73"/>
        <v>55</v>
      </c>
      <c r="K55" s="51">
        <f t="shared" si="73"/>
        <v>0</v>
      </c>
      <c r="L55" s="51">
        <f t="shared" si="73"/>
        <v>0</v>
      </c>
      <c r="M55" s="51">
        <f t="shared" si="73"/>
        <v>0</v>
      </c>
      <c r="N55" s="51">
        <f t="shared" si="73"/>
        <v>0</v>
      </c>
    </row>
    <row r="56" spans="2:18" ht="18">
      <c r="B56" s="135" t="s">
        <v>121</v>
      </c>
      <c r="C56" s="94">
        <v>41</v>
      </c>
      <c r="D56" s="94">
        <v>45</v>
      </c>
      <c r="E56" s="94">
        <v>20.535</v>
      </c>
      <c r="F56" s="94"/>
      <c r="G56" s="94">
        <v>65</v>
      </c>
      <c r="H56" s="789">
        <v>53</v>
      </c>
      <c r="I56" s="94">
        <v>60</v>
      </c>
      <c r="J56" s="443"/>
      <c r="K56" s="407"/>
      <c r="L56" s="94"/>
      <c r="M56" s="94"/>
      <c r="N56" s="94"/>
    </row>
    <row r="57" spans="2:18" ht="18">
      <c r="B57" s="135" t="s">
        <v>122</v>
      </c>
      <c r="C57" s="94">
        <v>20</v>
      </c>
      <c r="D57" s="94">
        <v>20</v>
      </c>
      <c r="E57" s="94">
        <v>20</v>
      </c>
      <c r="F57" s="789">
        <v>20</v>
      </c>
      <c r="G57" s="94">
        <v>50</v>
      </c>
      <c r="H57" s="94">
        <v>55</v>
      </c>
      <c r="I57" s="94">
        <v>40</v>
      </c>
      <c r="J57" s="443">
        <v>55</v>
      </c>
      <c r="K57" s="407"/>
      <c r="L57" s="94"/>
      <c r="M57" s="94"/>
      <c r="N57" s="94"/>
    </row>
    <row r="58" spans="2:18" ht="18">
      <c r="B58" s="135" t="s">
        <v>123</v>
      </c>
      <c r="C58" s="94"/>
      <c r="D58" s="94"/>
      <c r="E58" s="94"/>
      <c r="F58" s="94">
        <v>80</v>
      </c>
      <c r="G58" s="94"/>
      <c r="H58" s="94"/>
      <c r="I58" s="94"/>
      <c r="J58" s="443"/>
      <c r="K58" s="407"/>
      <c r="L58" s="94"/>
      <c r="M58" s="94"/>
      <c r="N58" s="94"/>
    </row>
    <row r="59" spans="2:18" ht="18">
      <c r="B59" s="135" t="s">
        <v>124</v>
      </c>
      <c r="C59" s="94"/>
      <c r="D59" s="94"/>
      <c r="E59" s="94"/>
      <c r="F59" s="94"/>
      <c r="G59" s="94"/>
      <c r="H59" s="94"/>
      <c r="I59" s="94"/>
      <c r="J59" s="443"/>
      <c r="K59" s="407"/>
      <c r="L59" s="94"/>
      <c r="M59" s="94"/>
      <c r="N59" s="94"/>
    </row>
    <row r="60" spans="2:18" ht="28.5">
      <c r="B60" s="538" t="s">
        <v>167</v>
      </c>
      <c r="C60" s="539">
        <f>(C56+C57+C58)/C44</f>
        <v>0.58653846153846156</v>
      </c>
      <c r="D60" s="539">
        <f>(D56+D57+D58)/D44</f>
        <v>0.7142857142857143</v>
      </c>
      <c r="E60" s="539">
        <f>(E56+E57+E58)/E44</f>
        <v>0.30025925925925923</v>
      </c>
      <c r="F60" s="539">
        <f t="shared" ref="F60:N60" si="74">(F56+F57+F58)/F44</f>
        <v>0.77519379844961245</v>
      </c>
      <c r="G60" s="539">
        <f>(G56+G57+G58)/G44</f>
        <v>0.88461538461538458</v>
      </c>
      <c r="H60" s="539">
        <f>(H56+H57+H58)/H44</f>
        <v>0.99082568807339455</v>
      </c>
      <c r="I60" s="539">
        <f>(I56+I57+I58)/I44</f>
        <v>0.75757575757575757</v>
      </c>
      <c r="J60" s="539">
        <f t="shared" si="74"/>
        <v>0.39285714285714285</v>
      </c>
      <c r="K60" s="539" t="e">
        <f t="shared" si="74"/>
        <v>#DIV/0!</v>
      </c>
      <c r="L60" s="539" t="e">
        <f t="shared" si="74"/>
        <v>#DIV/0!</v>
      </c>
      <c r="M60" s="539" t="e">
        <f t="shared" si="74"/>
        <v>#DIV/0!</v>
      </c>
      <c r="N60" s="539" t="e">
        <f t="shared" si="74"/>
        <v>#DIV/0!</v>
      </c>
    </row>
    <row r="61" spans="2:18" ht="28.5">
      <c r="B61" s="537" t="s">
        <v>303</v>
      </c>
      <c r="C61" s="54">
        <f>AVERAGE(G60:I60)</f>
        <v>0.8776722767548456</v>
      </c>
      <c r="D61" s="54"/>
      <c r="E61" s="54"/>
      <c r="F61" s="54"/>
      <c r="G61" s="54"/>
      <c r="H61" s="54"/>
      <c r="I61" s="54"/>
      <c r="J61" s="533"/>
      <c r="K61" s="408"/>
      <c r="L61" s="54"/>
      <c r="M61" s="54"/>
      <c r="N61" s="54"/>
    </row>
    <row r="62" spans="2:18" ht="25.5">
      <c r="B62" s="30" t="s">
        <v>299</v>
      </c>
      <c r="C62" s="45" t="e">
        <f>+C48/B24</f>
        <v>#VALUE!</v>
      </c>
      <c r="D62" s="45">
        <f t="shared" ref="D62:I62" si="75">+D48/D24</f>
        <v>0.10019646365422397</v>
      </c>
      <c r="E62" s="45">
        <f t="shared" si="75"/>
        <v>0.17333333333333334</v>
      </c>
      <c r="F62" s="45">
        <f t="shared" si="75"/>
        <v>0.10789752650176679</v>
      </c>
      <c r="G62" s="45">
        <f t="shared" si="75"/>
        <v>0.42215143723375675</v>
      </c>
      <c r="H62" s="45">
        <f t="shared" si="75"/>
        <v>0.24793388429752067</v>
      </c>
      <c r="I62" s="45">
        <f t="shared" si="75"/>
        <v>0.13090909090909092</v>
      </c>
      <c r="J62" s="832">
        <f>+J48/J24</f>
        <v>0.13452914798206278</v>
      </c>
      <c r="K62" s="402" t="e">
        <f t="shared" ref="K62:N62" si="76">+K48/K24</f>
        <v>#DIV/0!</v>
      </c>
      <c r="L62" s="45" t="e">
        <f t="shared" si="76"/>
        <v>#DIV/0!</v>
      </c>
      <c r="M62" s="45" t="e">
        <f t="shared" si="76"/>
        <v>#DIV/0!</v>
      </c>
      <c r="N62" s="45" t="e">
        <f t="shared" si="76"/>
        <v>#DIV/0!</v>
      </c>
    </row>
    <row r="63" spans="2:18" ht="25.5">
      <c r="B63" s="55" t="s">
        <v>305</v>
      </c>
      <c r="C63" s="534">
        <f>AVERAGE(H62:J62)</f>
        <v>0.17112404106289145</v>
      </c>
      <c r="D63" s="534"/>
      <c r="E63" s="534"/>
      <c r="F63" s="534"/>
      <c r="G63" s="534"/>
      <c r="H63" s="534"/>
      <c r="I63" s="534"/>
      <c r="J63" s="534"/>
      <c r="K63" s="534"/>
      <c r="L63" s="534"/>
      <c r="M63" s="534"/>
      <c r="N63" s="534"/>
    </row>
    <row r="64" spans="2:18" ht="25.5">
      <c r="B64" s="354" t="s">
        <v>176</v>
      </c>
      <c r="C64" s="355">
        <f t="shared" ref="C64:N64" si="77">+C45*(100%-C60)</f>
        <v>0.1224559532952913</v>
      </c>
      <c r="D64" s="355">
        <f t="shared" si="77"/>
        <v>6.7258628084750652E-2</v>
      </c>
      <c r="E64" s="355">
        <f t="shared" si="77"/>
        <v>0.21230404265756864</v>
      </c>
      <c r="F64" s="355">
        <f t="shared" si="77"/>
        <v>5.5467475166942698E-2</v>
      </c>
      <c r="G64" s="355">
        <f t="shared" si="77"/>
        <v>4.9979693330190061E-2</v>
      </c>
      <c r="H64" s="355">
        <f>+H45*(100%-H60)</f>
        <v>3.4589702489701791E-3</v>
      </c>
      <c r="I64" s="355">
        <f t="shared" si="77"/>
        <v>0.10214749863998066</v>
      </c>
      <c r="J64" s="444">
        <f>+J45*(100%-J60)</f>
        <v>0.25215977607407936</v>
      </c>
      <c r="K64" s="355" t="e">
        <f t="shared" si="77"/>
        <v>#DIV/0!</v>
      </c>
      <c r="L64" s="355" t="e">
        <f t="shared" si="77"/>
        <v>#DIV/0!</v>
      </c>
      <c r="M64" s="355" t="e">
        <f t="shared" si="77"/>
        <v>#DIV/0!</v>
      </c>
      <c r="N64" s="355" t="e">
        <f t="shared" si="77"/>
        <v>#DIV/0!</v>
      </c>
    </row>
    <row r="65" spans="2:14" ht="25.5">
      <c r="B65" s="55" t="s">
        <v>306</v>
      </c>
      <c r="C65" s="534">
        <f>AVERAGE(H64:J64)</f>
        <v>0.11925541498767674</v>
      </c>
      <c r="D65" s="534"/>
      <c r="E65" s="534"/>
      <c r="F65" s="534"/>
      <c r="G65" s="534"/>
      <c r="H65" s="534"/>
      <c r="I65" s="534"/>
      <c r="J65" s="535"/>
      <c r="K65" s="534"/>
      <c r="L65" s="534"/>
      <c r="M65" s="534"/>
      <c r="N65" s="534"/>
    </row>
    <row r="66" spans="2:14" ht="25.5">
      <c r="B66" s="543" t="s">
        <v>300</v>
      </c>
      <c r="C66" s="785">
        <f ca="1">B3</f>
        <v>1412</v>
      </c>
    </row>
    <row r="67" spans="2:14" ht="25.5">
      <c r="B67" s="543"/>
    </row>
    <row r="68" spans="2:14">
      <c r="B68" s="75" t="s">
        <v>307</v>
      </c>
    </row>
    <row r="69" spans="2:14" ht="14.65" thickBot="1"/>
    <row r="70" spans="2:14" ht="23.25">
      <c r="B70" s="57" t="s">
        <v>309</v>
      </c>
      <c r="C70" s="74">
        <f t="shared" ref="C70:N70" si="78">+C6</f>
        <v>2017</v>
      </c>
      <c r="D70" s="74">
        <f t="shared" si="78"/>
        <v>2018</v>
      </c>
      <c r="E70" s="74">
        <f t="shared" si="78"/>
        <v>2019</v>
      </c>
      <c r="F70" s="74">
        <f t="shared" si="78"/>
        <v>2020</v>
      </c>
      <c r="G70" s="74">
        <f t="shared" si="78"/>
        <v>2021</v>
      </c>
      <c r="H70" s="74">
        <f t="shared" si="78"/>
        <v>2022</v>
      </c>
      <c r="I70" s="74">
        <v>2023</v>
      </c>
      <c r="J70" s="445">
        <f t="shared" si="78"/>
        <v>2024</v>
      </c>
      <c r="K70" s="409">
        <v>2024</v>
      </c>
      <c r="L70" s="74">
        <f t="shared" si="78"/>
        <v>2026</v>
      </c>
      <c r="M70" s="74">
        <v>2025</v>
      </c>
      <c r="N70" s="74">
        <f t="shared" si="78"/>
        <v>2028</v>
      </c>
    </row>
    <row r="71" spans="2:14">
      <c r="B71" s="58" t="s">
        <v>310</v>
      </c>
      <c r="C71" s="64">
        <v>59455197000</v>
      </c>
      <c r="D71" s="64">
        <v>68808183000</v>
      </c>
      <c r="E71" s="64">
        <v>57677873000</v>
      </c>
      <c r="F71" s="64">
        <v>239755445000</v>
      </c>
      <c r="G71" s="64">
        <v>130122012000</v>
      </c>
      <c r="H71" s="64">
        <v>104916773000</v>
      </c>
      <c r="I71" s="64">
        <v>135915575000</v>
      </c>
      <c r="J71" s="65">
        <v>140690367000</v>
      </c>
      <c r="K71" s="196"/>
      <c r="L71" s="64"/>
      <c r="M71" s="64"/>
      <c r="N71" s="64"/>
    </row>
    <row r="72" spans="2:14">
      <c r="B72" s="59" t="s">
        <v>311</v>
      </c>
      <c r="C72" s="66">
        <v>53948420000</v>
      </c>
      <c r="D72" s="66">
        <v>61167868000</v>
      </c>
      <c r="E72" s="66">
        <v>42255016000</v>
      </c>
      <c r="F72" s="66">
        <v>85717185000</v>
      </c>
      <c r="G72" s="66">
        <v>100276457000</v>
      </c>
      <c r="H72" s="66">
        <v>92043715000</v>
      </c>
      <c r="I72" s="66">
        <v>89441275000</v>
      </c>
      <c r="J72" s="67">
        <v>68004981000</v>
      </c>
      <c r="K72" s="105"/>
      <c r="L72" s="66"/>
      <c r="M72" s="66"/>
      <c r="N72" s="66"/>
    </row>
    <row r="73" spans="2:14">
      <c r="B73" s="59" t="s">
        <v>312</v>
      </c>
      <c r="C73" s="139"/>
      <c r="D73" s="66"/>
      <c r="E73" s="66"/>
      <c r="F73" s="66"/>
      <c r="G73" s="66"/>
      <c r="H73" s="66"/>
      <c r="I73" s="66">
        <v>31361233000</v>
      </c>
      <c r="J73" s="67">
        <v>54662693000</v>
      </c>
      <c r="K73" s="105"/>
      <c r="L73" s="66"/>
      <c r="M73" s="66"/>
      <c r="N73" s="66"/>
    </row>
    <row r="74" spans="2:14">
      <c r="B74" s="59" t="s">
        <v>313</v>
      </c>
      <c r="C74" s="68">
        <v>3315148000</v>
      </c>
      <c r="D74" s="66">
        <v>3740723000</v>
      </c>
      <c r="E74" s="66">
        <v>5825301000</v>
      </c>
      <c r="F74" s="66">
        <v>4255875000</v>
      </c>
      <c r="G74" s="66">
        <v>7156121000</v>
      </c>
      <c r="H74" s="66">
        <v>10993144000</v>
      </c>
      <c r="I74" s="66">
        <v>12971872000</v>
      </c>
      <c r="J74" s="67">
        <v>14117658000</v>
      </c>
      <c r="K74" s="105"/>
      <c r="L74" s="66"/>
      <c r="M74" s="66"/>
      <c r="N74" s="66"/>
    </row>
    <row r="75" spans="2:14">
      <c r="B75" s="59" t="s">
        <v>314</v>
      </c>
      <c r="C75" s="66">
        <v>938877000</v>
      </c>
      <c r="D75" s="66">
        <v>1169469000</v>
      </c>
      <c r="E75" s="66">
        <v>931853000</v>
      </c>
      <c r="F75" s="66">
        <v>149334783000</v>
      </c>
      <c r="G75" s="66">
        <v>1172024000</v>
      </c>
      <c r="H75" s="66">
        <v>1310280000</v>
      </c>
      <c r="I75" s="66">
        <v>1529267000</v>
      </c>
      <c r="J75" s="67">
        <v>1586136000</v>
      </c>
      <c r="K75" s="105"/>
      <c r="L75" s="66"/>
      <c r="M75" s="66"/>
      <c r="N75" s="66"/>
    </row>
    <row r="76" spans="2:14">
      <c r="B76" s="59" t="s">
        <v>318</v>
      </c>
      <c r="C76" s="66">
        <f t="shared" ref="C76:H76" si="79">+C71-C72-C74-C75</f>
        <v>1252752000</v>
      </c>
      <c r="D76" s="66">
        <f t="shared" si="79"/>
        <v>2730123000</v>
      </c>
      <c r="E76" s="66">
        <f t="shared" si="79"/>
        <v>8665703000</v>
      </c>
      <c r="F76" s="66">
        <f t="shared" si="79"/>
        <v>447602000</v>
      </c>
      <c r="G76" s="66">
        <f t="shared" si="79"/>
        <v>21517410000</v>
      </c>
      <c r="H76" s="66">
        <f t="shared" si="79"/>
        <v>569634000</v>
      </c>
      <c r="I76" s="66">
        <f t="shared" ref="I76:N76" si="80">+I71-I72-I74-I75-I73</f>
        <v>611928000</v>
      </c>
      <c r="J76" s="67">
        <f t="shared" si="80"/>
        <v>2318899000</v>
      </c>
      <c r="K76" s="105">
        <f t="shared" si="80"/>
        <v>0</v>
      </c>
      <c r="L76" s="66">
        <f t="shared" si="80"/>
        <v>0</v>
      </c>
      <c r="M76" s="66">
        <f t="shared" si="80"/>
        <v>0</v>
      </c>
      <c r="N76" s="66">
        <f t="shared" si="80"/>
        <v>0</v>
      </c>
    </row>
    <row r="77" spans="2:14">
      <c r="B77" s="58" t="s">
        <v>319</v>
      </c>
      <c r="C77" s="64">
        <v>389956368000</v>
      </c>
      <c r="D77" s="64">
        <v>421436939000</v>
      </c>
      <c r="E77" s="64">
        <v>656440238000</v>
      </c>
      <c r="F77" s="64">
        <v>531304806000</v>
      </c>
      <c r="G77" s="69">
        <v>434429160000</v>
      </c>
      <c r="H77" s="69">
        <v>447991634000</v>
      </c>
      <c r="I77" s="69">
        <v>486612955000</v>
      </c>
      <c r="J77" s="446">
        <v>528481553000</v>
      </c>
      <c r="K77" s="69"/>
      <c r="L77" s="69"/>
      <c r="M77" s="69"/>
      <c r="N77" s="69"/>
    </row>
    <row r="78" spans="2:14">
      <c r="B78" s="59" t="s">
        <v>320</v>
      </c>
      <c r="C78" s="66">
        <v>350587189000</v>
      </c>
      <c r="D78" s="66">
        <v>370535261000</v>
      </c>
      <c r="E78" s="66">
        <v>446677061000</v>
      </c>
      <c r="F78" s="66">
        <v>452140672000</v>
      </c>
      <c r="G78" s="66">
        <v>416105187000</v>
      </c>
      <c r="H78" s="66">
        <v>423227967000</v>
      </c>
      <c r="I78" s="66">
        <v>457193541000</v>
      </c>
      <c r="J78" s="67">
        <v>499163433000</v>
      </c>
      <c r="K78" s="105"/>
      <c r="L78" s="66"/>
      <c r="M78" s="66"/>
      <c r="N78" s="66"/>
    </row>
    <row r="79" spans="2:14">
      <c r="B79" s="59" t="s">
        <v>321</v>
      </c>
      <c r="C79" s="66">
        <v>8628235000</v>
      </c>
      <c r="D79" s="66">
        <v>12652540000</v>
      </c>
      <c r="E79" s="66">
        <v>112548592000</v>
      </c>
      <c r="F79" s="66">
        <v>0</v>
      </c>
      <c r="G79" s="66">
        <v>0</v>
      </c>
      <c r="H79" s="66"/>
      <c r="I79" s="66"/>
      <c r="J79" s="67"/>
      <c r="K79" s="105"/>
      <c r="L79" s="66"/>
      <c r="M79" s="66"/>
      <c r="N79" s="66"/>
    </row>
    <row r="80" spans="2:14">
      <c r="B80" s="59" t="s">
        <v>322</v>
      </c>
      <c r="C80" s="66">
        <v>2904617000</v>
      </c>
      <c r="D80" s="66">
        <v>2949405000</v>
      </c>
      <c r="E80" s="66">
        <v>3059614000</v>
      </c>
      <c r="F80" s="66">
        <v>3108927000</v>
      </c>
      <c r="G80" s="66">
        <v>3360204000</v>
      </c>
      <c r="H80" s="66">
        <v>3663402000</v>
      </c>
      <c r="I80" s="66">
        <v>3850881000</v>
      </c>
      <c r="J80" s="67">
        <v>4070160000</v>
      </c>
      <c r="K80" s="105"/>
      <c r="L80" s="66"/>
      <c r="M80" s="66"/>
      <c r="N80" s="66"/>
    </row>
    <row r="81" spans="2:14">
      <c r="B81" s="59" t="s">
        <v>323</v>
      </c>
      <c r="C81" s="66">
        <v>3433941000</v>
      </c>
      <c r="D81" s="66">
        <v>5643060000</v>
      </c>
      <c r="E81" s="66">
        <v>46942596000</v>
      </c>
      <c r="F81" s="66">
        <v>13609509000</v>
      </c>
      <c r="G81" s="66">
        <v>8739222000</v>
      </c>
      <c r="H81" s="66">
        <v>9379068000</v>
      </c>
      <c r="I81" s="66">
        <v>11910097000</v>
      </c>
      <c r="J81" s="67">
        <v>17490904000</v>
      </c>
      <c r="K81" s="105"/>
      <c r="L81" s="66"/>
      <c r="M81" s="66"/>
      <c r="N81" s="66"/>
    </row>
    <row r="82" spans="2:14">
      <c r="B82" s="59" t="s">
        <v>324</v>
      </c>
      <c r="C82" s="66">
        <v>24402386000</v>
      </c>
      <c r="D82" s="66">
        <v>29656673000</v>
      </c>
      <c r="E82" s="66">
        <v>47212375000</v>
      </c>
      <c r="F82" s="66">
        <v>31108253000</v>
      </c>
      <c r="G82" s="66">
        <v>6224547000</v>
      </c>
      <c r="H82" s="66">
        <v>11721197000</v>
      </c>
      <c r="I82" s="66">
        <v>13658436000</v>
      </c>
      <c r="J82" s="67">
        <v>7757056000</v>
      </c>
      <c r="K82" s="105"/>
      <c r="L82" s="66"/>
      <c r="M82" s="66"/>
      <c r="N82" s="66"/>
    </row>
    <row r="83" spans="2:14">
      <c r="B83" s="59" t="s">
        <v>328</v>
      </c>
      <c r="C83" s="66">
        <f t="shared" ref="C83:F83" si="81">+C77-C80-C81-C82-C79-C78</f>
        <v>0</v>
      </c>
      <c r="D83" s="66">
        <f t="shared" si="81"/>
        <v>0</v>
      </c>
      <c r="E83" s="66">
        <f t="shared" si="81"/>
        <v>0</v>
      </c>
      <c r="F83" s="66">
        <f t="shared" si="81"/>
        <v>31337445000</v>
      </c>
      <c r="G83" s="66">
        <f>+G77-G80-G81-G82-G79-G78</f>
        <v>0</v>
      </c>
      <c r="H83" s="66">
        <f t="shared" ref="H83:I83" si="82">+H77-H80-H81-H82-H79-H78</f>
        <v>0</v>
      </c>
      <c r="I83" s="66">
        <f t="shared" si="82"/>
        <v>0</v>
      </c>
      <c r="J83" s="67">
        <f t="shared" ref="J83:N83" si="83">+J77-J80-J81-J82-J79-J78</f>
        <v>0</v>
      </c>
      <c r="K83" s="105">
        <f t="shared" si="83"/>
        <v>0</v>
      </c>
      <c r="L83" s="66">
        <f t="shared" si="83"/>
        <v>0</v>
      </c>
      <c r="M83" s="66">
        <f t="shared" si="83"/>
        <v>0</v>
      </c>
      <c r="N83" s="66">
        <f t="shared" si="83"/>
        <v>0</v>
      </c>
    </row>
    <row r="84" spans="2:14" ht="14.65" thickBot="1">
      <c r="B84" s="60" t="s">
        <v>329</v>
      </c>
      <c r="C84" s="70">
        <f t="shared" ref="C84:I84" si="84">+C77+C71</f>
        <v>449411565000</v>
      </c>
      <c r="D84" s="70">
        <f t="shared" si="84"/>
        <v>490245122000</v>
      </c>
      <c r="E84" s="70">
        <f t="shared" si="84"/>
        <v>714118111000</v>
      </c>
      <c r="F84" s="70">
        <f t="shared" si="84"/>
        <v>771060251000</v>
      </c>
      <c r="G84" s="70">
        <f t="shared" si="84"/>
        <v>564551172000</v>
      </c>
      <c r="H84" s="70">
        <f t="shared" si="84"/>
        <v>552908407000</v>
      </c>
      <c r="I84" s="70">
        <f t="shared" si="84"/>
        <v>622528530000</v>
      </c>
      <c r="J84" s="71">
        <f t="shared" ref="J84:N84" si="85">+J77+J71</f>
        <v>669171920000</v>
      </c>
      <c r="K84" s="106">
        <f t="shared" si="85"/>
        <v>0</v>
      </c>
      <c r="L84" s="70">
        <f t="shared" si="85"/>
        <v>0</v>
      </c>
      <c r="M84" s="70">
        <f t="shared" si="85"/>
        <v>0</v>
      </c>
      <c r="N84" s="70">
        <f t="shared" si="85"/>
        <v>0</v>
      </c>
    </row>
    <row r="85" spans="2:14" ht="14.65" thickBot="1">
      <c r="B85" s="61"/>
      <c r="C85" s="72"/>
      <c r="D85" s="72"/>
      <c r="E85" s="72"/>
      <c r="F85" s="72"/>
      <c r="G85" s="72"/>
      <c r="H85" s="72"/>
      <c r="I85" s="72"/>
      <c r="J85" s="73"/>
      <c r="K85" s="107"/>
      <c r="L85" s="72"/>
      <c r="M85" s="72"/>
      <c r="N85" s="72"/>
    </row>
    <row r="86" spans="2:14">
      <c r="B86" s="57" t="s">
        <v>330</v>
      </c>
      <c r="C86" s="62"/>
      <c r="D86" s="62"/>
      <c r="E86" s="62"/>
      <c r="F86" s="62"/>
      <c r="G86" s="62"/>
      <c r="H86" s="62"/>
      <c r="I86" s="62"/>
      <c r="J86" s="63"/>
      <c r="K86" s="104"/>
      <c r="L86" s="62"/>
      <c r="M86" s="62"/>
      <c r="N86" s="62"/>
    </row>
    <row r="87" spans="2:14">
      <c r="B87" s="58" t="s">
        <v>310</v>
      </c>
      <c r="C87" s="64">
        <v>44293239000</v>
      </c>
      <c r="D87" s="64">
        <v>42758467000</v>
      </c>
      <c r="E87" s="64">
        <v>78124766000</v>
      </c>
      <c r="F87" s="64">
        <v>164847062000</v>
      </c>
      <c r="G87" s="64">
        <v>92917991000</v>
      </c>
      <c r="H87" s="64">
        <v>179150522000</v>
      </c>
      <c r="I87" s="64">
        <v>119747857000</v>
      </c>
      <c r="J87" s="65">
        <v>134795849000</v>
      </c>
      <c r="K87" s="196"/>
      <c r="L87" s="64"/>
      <c r="M87" s="64"/>
      <c r="N87" s="64"/>
    </row>
    <row r="88" spans="2:14">
      <c r="B88" s="59" t="s">
        <v>687</v>
      </c>
      <c r="C88" s="66">
        <f t="shared" ref="C88:F88" si="86">+C87-C89-C90-C93</f>
        <v>1162688000</v>
      </c>
      <c r="D88" s="66">
        <f t="shared" si="86"/>
        <v>1194865000</v>
      </c>
      <c r="E88" s="66">
        <f t="shared" si="86"/>
        <v>10840979000</v>
      </c>
      <c r="F88" s="66">
        <f t="shared" si="86"/>
        <v>99933404000</v>
      </c>
      <c r="G88" s="66">
        <f>+G87-G89-G90-G93</f>
        <v>1393355000</v>
      </c>
      <c r="H88" s="66">
        <v>99711133000</v>
      </c>
      <c r="I88" s="66">
        <v>5241121000</v>
      </c>
      <c r="J88" s="67">
        <v>2672608000</v>
      </c>
      <c r="K88" s="105"/>
      <c r="L88" s="66"/>
      <c r="M88" s="66"/>
      <c r="N88" s="66"/>
    </row>
    <row r="89" spans="2:14">
      <c r="B89" s="59" t="s">
        <v>688</v>
      </c>
      <c r="C89" s="66">
        <v>35594638000</v>
      </c>
      <c r="D89" s="66">
        <v>33718144000</v>
      </c>
      <c r="E89" s="66">
        <v>58746366000</v>
      </c>
      <c r="F89" s="66">
        <v>55773319000</v>
      </c>
      <c r="G89" s="66">
        <v>61327231000</v>
      </c>
      <c r="H89" s="66">
        <v>58311332000</v>
      </c>
      <c r="I89" s="66">
        <v>92454849000</v>
      </c>
      <c r="J89" s="67">
        <v>115547018000</v>
      </c>
      <c r="K89" s="105"/>
      <c r="L89" s="66"/>
      <c r="M89" s="66"/>
      <c r="N89" s="66"/>
    </row>
    <row r="90" spans="2:14">
      <c r="B90" s="59" t="s">
        <v>689</v>
      </c>
      <c r="C90" s="66">
        <v>371311000</v>
      </c>
      <c r="D90" s="66">
        <v>211368000</v>
      </c>
      <c r="E90" s="66">
        <v>212159000</v>
      </c>
      <c r="F90" s="66">
        <v>246519000</v>
      </c>
      <c r="G90" s="66">
        <v>21279887000</v>
      </c>
      <c r="H90" s="66">
        <v>2204191000</v>
      </c>
      <c r="I90" s="66">
        <v>1860637000</v>
      </c>
      <c r="J90" s="67">
        <v>2264854000</v>
      </c>
      <c r="K90" s="105"/>
      <c r="L90" s="66"/>
      <c r="M90" s="66"/>
      <c r="N90" s="66"/>
    </row>
    <row r="91" spans="2:14">
      <c r="B91" s="59" t="s">
        <v>755</v>
      </c>
      <c r="C91" s="66"/>
      <c r="D91" s="66"/>
      <c r="E91" s="66"/>
      <c r="F91" s="66"/>
      <c r="G91" s="66"/>
      <c r="H91" s="66">
        <v>445780000</v>
      </c>
      <c r="I91" s="66">
        <v>364843000</v>
      </c>
      <c r="J91" s="67">
        <v>461498000</v>
      </c>
      <c r="K91" s="105"/>
      <c r="L91" s="66"/>
      <c r="M91" s="66"/>
      <c r="N91" s="66"/>
    </row>
    <row r="92" spans="2:14">
      <c r="B92" s="59" t="s">
        <v>756</v>
      </c>
      <c r="C92" s="66"/>
      <c r="D92" s="66"/>
      <c r="E92" s="66"/>
      <c r="F92" s="66"/>
      <c r="G92" s="66"/>
      <c r="H92" s="66">
        <v>8200903000</v>
      </c>
      <c r="I92" s="66">
        <v>8545565000</v>
      </c>
      <c r="J92" s="67">
        <v>1729258000</v>
      </c>
      <c r="K92" s="105"/>
      <c r="L92" s="66"/>
      <c r="M92" s="66"/>
      <c r="N92" s="66"/>
    </row>
    <row r="93" spans="2:14">
      <c r="B93" s="59" t="s">
        <v>337</v>
      </c>
      <c r="C93" s="66">
        <v>7164602000</v>
      </c>
      <c r="D93" s="66">
        <v>7634090000</v>
      </c>
      <c r="E93" s="66">
        <v>8325262000</v>
      </c>
      <c r="F93" s="66">
        <v>8893820000</v>
      </c>
      <c r="G93" s="66">
        <v>8917518000</v>
      </c>
      <c r="H93" s="66">
        <v>10277183000</v>
      </c>
      <c r="I93" s="66">
        <v>11280842000</v>
      </c>
      <c r="J93" s="67">
        <v>12120613000</v>
      </c>
      <c r="K93" s="105"/>
      <c r="L93" s="66"/>
      <c r="M93" s="66"/>
      <c r="N93" s="66"/>
    </row>
    <row r="94" spans="2:14">
      <c r="B94" s="58" t="s">
        <v>319</v>
      </c>
      <c r="C94" s="64">
        <v>53691020000</v>
      </c>
      <c r="D94" s="64">
        <v>61457125000</v>
      </c>
      <c r="E94" s="64">
        <v>190604668000</v>
      </c>
      <c r="F94" s="64">
        <v>84889196000</v>
      </c>
      <c r="G94" s="64">
        <v>171827366000</v>
      </c>
      <c r="H94" s="64">
        <v>85060467000</v>
      </c>
      <c r="I94" s="64">
        <v>190456630000</v>
      </c>
      <c r="J94" s="65">
        <v>196936823000</v>
      </c>
      <c r="K94" s="196"/>
      <c r="L94" s="64"/>
      <c r="M94" s="64"/>
      <c r="N94" s="64"/>
    </row>
    <row r="95" spans="2:14">
      <c r="B95" s="59" t="s">
        <v>331</v>
      </c>
      <c r="C95" s="66">
        <v>99430000</v>
      </c>
      <c r="D95" s="66">
        <v>5077834000</v>
      </c>
      <c r="E95" s="66">
        <v>108521998000</v>
      </c>
      <c r="F95" s="66">
        <v>6589705000</v>
      </c>
      <c r="G95" s="66">
        <v>98120815000</v>
      </c>
      <c r="H95" s="66">
        <v>2619365000</v>
      </c>
      <c r="I95" s="66">
        <v>101149777000</v>
      </c>
      <c r="J95" s="67">
        <v>99496788000</v>
      </c>
      <c r="K95" s="105"/>
      <c r="L95" s="66"/>
      <c r="M95" s="66"/>
      <c r="N95" s="66"/>
    </row>
    <row r="96" spans="2:14">
      <c r="B96" s="59" t="s">
        <v>339</v>
      </c>
      <c r="C96" s="66">
        <v>52903533000</v>
      </c>
      <c r="D96" s="66">
        <v>55880736000</v>
      </c>
      <c r="E96" s="66">
        <v>81440570000</v>
      </c>
      <c r="F96" s="66">
        <v>77691992000</v>
      </c>
      <c r="G96" s="66">
        <v>73128824000</v>
      </c>
      <c r="H96" s="66">
        <v>3682774000</v>
      </c>
      <c r="I96" s="66">
        <v>2047015000</v>
      </c>
      <c r="J96" s="67">
        <v>217431000</v>
      </c>
      <c r="K96" s="105"/>
      <c r="L96" s="66"/>
      <c r="M96" s="66"/>
      <c r="N96" s="66"/>
    </row>
    <row r="97" spans="2:14">
      <c r="B97" s="59" t="s">
        <v>690</v>
      </c>
      <c r="C97" s="66">
        <v>0</v>
      </c>
      <c r="D97" s="66">
        <v>0</v>
      </c>
      <c r="E97" s="66">
        <v>0</v>
      </c>
      <c r="F97" s="66">
        <v>0</v>
      </c>
      <c r="G97" s="66">
        <v>0</v>
      </c>
      <c r="H97" s="66">
        <v>0</v>
      </c>
      <c r="I97" s="66"/>
      <c r="J97" s="67"/>
      <c r="K97" s="105"/>
      <c r="L97" s="66"/>
      <c r="M97" s="66"/>
      <c r="N97" s="66"/>
    </row>
    <row r="98" spans="2:14">
      <c r="B98" s="59" t="s">
        <v>691</v>
      </c>
      <c r="C98" s="66">
        <v>688057000</v>
      </c>
      <c r="D98" s="66">
        <v>498555000</v>
      </c>
      <c r="E98" s="66">
        <v>642100000</v>
      </c>
      <c r="F98" s="66">
        <v>607499000</v>
      </c>
      <c r="G98" s="66">
        <v>577727000</v>
      </c>
      <c r="H98" s="66">
        <v>593755000</v>
      </c>
      <c r="I98" s="66">
        <v>685986000</v>
      </c>
      <c r="J98" s="67">
        <v>840412000</v>
      </c>
      <c r="K98" s="105"/>
      <c r="L98" s="66"/>
      <c r="M98" s="66"/>
      <c r="N98" s="66"/>
    </row>
    <row r="99" spans="2:14">
      <c r="B99" s="59" t="s">
        <v>341</v>
      </c>
      <c r="C99" s="66">
        <f t="shared" ref="C99:F99" si="87">+C94-C95-C96-C97-C98</f>
        <v>0</v>
      </c>
      <c r="D99" s="66">
        <f t="shared" si="87"/>
        <v>0</v>
      </c>
      <c r="E99" s="66">
        <f t="shared" si="87"/>
        <v>0</v>
      </c>
      <c r="F99" s="66">
        <f t="shared" si="87"/>
        <v>0</v>
      </c>
      <c r="G99" s="66">
        <f>+G94-G95-G96-G97-G98</f>
        <v>0</v>
      </c>
      <c r="H99" s="66">
        <v>78164573000</v>
      </c>
      <c r="I99" s="66">
        <v>86573852000</v>
      </c>
      <c r="J99" s="67">
        <v>96382192000</v>
      </c>
      <c r="K99" s="105"/>
      <c r="L99" s="66"/>
      <c r="M99" s="66"/>
      <c r="N99" s="66"/>
    </row>
    <row r="100" spans="2:14" ht="14.65" thickBot="1">
      <c r="B100" s="60" t="s">
        <v>342</v>
      </c>
      <c r="C100" s="70">
        <f t="shared" ref="C100:F100" si="88">+C94+C87</f>
        <v>97984259000</v>
      </c>
      <c r="D100" s="70">
        <f t="shared" si="88"/>
        <v>104215592000</v>
      </c>
      <c r="E100" s="70">
        <f t="shared" si="88"/>
        <v>268729434000</v>
      </c>
      <c r="F100" s="70">
        <f t="shared" si="88"/>
        <v>249736258000</v>
      </c>
      <c r="G100" s="70">
        <f t="shared" ref="G100:N100" si="89">+G94+G87</f>
        <v>264745357000</v>
      </c>
      <c r="H100" s="70">
        <f t="shared" si="89"/>
        <v>264210989000</v>
      </c>
      <c r="I100" s="70">
        <f t="shared" si="89"/>
        <v>310204487000</v>
      </c>
      <c r="J100" s="71">
        <f>+J94+J87</f>
        <v>331732672000</v>
      </c>
      <c r="K100" s="106">
        <f t="shared" si="89"/>
        <v>0</v>
      </c>
      <c r="L100" s="70">
        <f t="shared" si="89"/>
        <v>0</v>
      </c>
      <c r="M100" s="70">
        <f t="shared" si="89"/>
        <v>0</v>
      </c>
      <c r="N100" s="70">
        <f t="shared" si="89"/>
        <v>0</v>
      </c>
    </row>
    <row r="101" spans="2:14" ht="14.65" thickBot="1"/>
    <row r="102" spans="2:14">
      <c r="B102" s="57" t="s">
        <v>343</v>
      </c>
      <c r="C102" s="62"/>
      <c r="D102" s="62"/>
      <c r="E102" s="62"/>
      <c r="F102" s="62"/>
      <c r="G102" s="62"/>
      <c r="H102" s="62"/>
      <c r="I102" s="62"/>
      <c r="J102" s="63"/>
      <c r="K102" s="104"/>
      <c r="L102" s="62"/>
      <c r="M102" s="62"/>
      <c r="N102" s="62"/>
    </row>
    <row r="103" spans="2:14">
      <c r="B103" s="59" t="s">
        <v>344</v>
      </c>
      <c r="C103" s="66">
        <v>1763918000</v>
      </c>
      <c r="D103" s="66">
        <v>1763918000</v>
      </c>
      <c r="E103" s="66">
        <v>1763918000</v>
      </c>
      <c r="F103" s="66">
        <v>1763918000</v>
      </c>
      <c r="G103" s="66">
        <v>872102000</v>
      </c>
      <c r="H103" s="66">
        <v>872102000</v>
      </c>
      <c r="I103" s="66">
        <v>872102000</v>
      </c>
      <c r="J103" s="67">
        <v>872102000</v>
      </c>
      <c r="K103" s="105"/>
      <c r="L103" s="66"/>
      <c r="M103" s="66"/>
      <c r="N103" s="66"/>
    </row>
    <row r="104" spans="2:14">
      <c r="B104" s="59" t="s">
        <v>345</v>
      </c>
      <c r="C104" s="66">
        <v>-11823080000</v>
      </c>
      <c r="D104" s="66">
        <v>-7091155000</v>
      </c>
      <c r="E104" s="66">
        <v>-17859250000</v>
      </c>
      <c r="F104" s="66">
        <v>-29989855000</v>
      </c>
      <c r="G104" s="66">
        <v>-535164000</v>
      </c>
      <c r="H104" s="66">
        <v>-490501000</v>
      </c>
      <c r="I104" s="66">
        <v>-464245000</v>
      </c>
      <c r="J104" s="67">
        <v>-494978000</v>
      </c>
      <c r="K104" s="105"/>
      <c r="L104" s="66"/>
      <c r="M104" s="66"/>
      <c r="N104" s="66"/>
    </row>
    <row r="105" spans="2:14">
      <c r="B105" s="59" t="s">
        <v>346</v>
      </c>
      <c r="C105" s="66">
        <v>361474113000</v>
      </c>
      <c r="D105" s="66">
        <v>391339299000</v>
      </c>
      <c r="E105" s="66">
        <v>461456368000</v>
      </c>
      <c r="F105" s="66">
        <v>549549930000</v>
      </c>
      <c r="G105" s="66">
        <v>299468877000</v>
      </c>
      <c r="H105" s="66">
        <v>288315817000</v>
      </c>
      <c r="I105" s="66">
        <v>311916186000</v>
      </c>
      <c r="J105" s="67">
        <v>337062124000</v>
      </c>
      <c r="K105" s="105"/>
      <c r="L105" s="66"/>
      <c r="M105" s="66"/>
      <c r="N105" s="66"/>
    </row>
    <row r="106" spans="2:14" ht="14.65" thickBot="1">
      <c r="B106" s="60" t="s">
        <v>347</v>
      </c>
      <c r="C106" s="70">
        <f t="shared" ref="C106:I106" si="90">+C103+C105+C104</f>
        <v>351414951000</v>
      </c>
      <c r="D106" s="70">
        <f t="shared" si="90"/>
        <v>386012062000</v>
      </c>
      <c r="E106" s="70">
        <f t="shared" si="90"/>
        <v>445361036000</v>
      </c>
      <c r="F106" s="70">
        <f t="shared" si="90"/>
        <v>521323993000</v>
      </c>
      <c r="G106" s="70">
        <f t="shared" si="90"/>
        <v>299805815000</v>
      </c>
      <c r="H106" s="70">
        <f t="shared" si="90"/>
        <v>288697418000</v>
      </c>
      <c r="I106" s="70">
        <f t="shared" si="90"/>
        <v>312324043000</v>
      </c>
      <c r="J106" s="71">
        <f>+J103+J105+J104</f>
        <v>337439248000</v>
      </c>
      <c r="K106" s="106">
        <f t="shared" ref="K106:N106" si="91">+K103+K105+K104</f>
        <v>0</v>
      </c>
      <c r="L106" s="70">
        <f t="shared" si="91"/>
        <v>0</v>
      </c>
      <c r="M106" s="70">
        <f t="shared" si="91"/>
        <v>0</v>
      </c>
      <c r="N106" s="70">
        <f t="shared" si="91"/>
        <v>0</v>
      </c>
    </row>
    <row r="108" spans="2:14" ht="14.65" thickBot="1">
      <c r="B108" s="75" t="s">
        <v>348</v>
      </c>
    </row>
    <row r="109" spans="2:14" ht="14.65" thickBot="1">
      <c r="B109" s="82" t="s">
        <v>308</v>
      </c>
      <c r="C109" s="88">
        <v>2017</v>
      </c>
      <c r="D109" s="88">
        <v>2018</v>
      </c>
      <c r="E109" s="88">
        <v>2019</v>
      </c>
      <c r="F109" s="88">
        <v>2020</v>
      </c>
      <c r="G109" s="88">
        <v>2021</v>
      </c>
      <c r="H109" s="88">
        <v>2022</v>
      </c>
      <c r="I109" s="88">
        <v>2023</v>
      </c>
      <c r="J109" s="89">
        <v>2024</v>
      </c>
      <c r="K109" s="103">
        <v>2025</v>
      </c>
      <c r="L109" s="88">
        <v>2026</v>
      </c>
      <c r="M109" s="88">
        <v>2027</v>
      </c>
      <c r="N109" s="88">
        <v>2028</v>
      </c>
    </row>
    <row r="110" spans="2:14">
      <c r="B110" s="83" t="s">
        <v>349</v>
      </c>
      <c r="C110" s="90">
        <v>181889065000</v>
      </c>
      <c r="D110" s="90">
        <v>196346333000</v>
      </c>
      <c r="E110" s="90">
        <v>222264267000</v>
      </c>
      <c r="F110" s="90">
        <v>190673014000</v>
      </c>
      <c r="G110" s="90">
        <v>203310835000</v>
      </c>
      <c r="H110" s="90">
        <v>222091789000</v>
      </c>
      <c r="I110" s="90">
        <v>239424965000</v>
      </c>
      <c r="J110" s="109">
        <v>251522594000</v>
      </c>
      <c r="K110" s="410"/>
      <c r="L110" s="90"/>
      <c r="M110" s="90"/>
      <c r="N110" s="90"/>
    </row>
    <row r="111" spans="2:14">
      <c r="B111" s="84" t="s">
        <v>350</v>
      </c>
      <c r="C111" s="64">
        <v>29139338000</v>
      </c>
      <c r="D111" s="64">
        <v>6421946000</v>
      </c>
      <c r="E111" s="64">
        <v>61063141000</v>
      </c>
      <c r="F111" s="64">
        <v>27869303000</v>
      </c>
      <c r="G111" s="64">
        <v>19568053000</v>
      </c>
      <c r="H111" s="64">
        <v>11606489000</v>
      </c>
      <c r="I111" s="64">
        <v>33245293000</v>
      </c>
      <c r="J111" s="65">
        <v>40444931000</v>
      </c>
      <c r="K111" s="196"/>
      <c r="L111" s="64"/>
      <c r="M111" s="64"/>
      <c r="N111" s="64"/>
    </row>
    <row r="112" spans="2:14">
      <c r="B112" s="85" t="s">
        <v>692</v>
      </c>
      <c r="C112" s="66">
        <v>-41265699000</v>
      </c>
      <c r="D112" s="66">
        <v>-46808645000</v>
      </c>
      <c r="E112" s="66">
        <v>-51755391000</v>
      </c>
      <c r="F112" s="66">
        <v>-43270758000</v>
      </c>
      <c r="G112" s="66">
        <v>-41615360000</v>
      </c>
      <c r="H112" s="66">
        <v>-44854279000</v>
      </c>
      <c r="I112" s="66">
        <v>-50049884000</v>
      </c>
      <c r="J112" s="67">
        <v>-54950590000</v>
      </c>
      <c r="K112" s="105"/>
      <c r="L112" s="66"/>
      <c r="M112" s="66"/>
      <c r="N112" s="66"/>
    </row>
    <row r="113" spans="2:14">
      <c r="B113" s="86" t="s">
        <v>693</v>
      </c>
      <c r="C113" s="64">
        <f t="shared" ref="C113:G113" si="92">+C110+C111+C112</f>
        <v>169762704000</v>
      </c>
      <c r="D113" s="64">
        <f t="shared" si="92"/>
        <v>155959634000</v>
      </c>
      <c r="E113" s="64">
        <f t="shared" si="92"/>
        <v>231572017000</v>
      </c>
      <c r="F113" s="64">
        <f t="shared" si="92"/>
        <v>175271559000</v>
      </c>
      <c r="G113" s="64">
        <f t="shared" si="92"/>
        <v>181263528000</v>
      </c>
      <c r="H113" s="64">
        <f t="shared" ref="H113:N113" si="93">+H110+H111+H112</f>
        <v>188843999000</v>
      </c>
      <c r="I113" s="64">
        <f t="shared" si="93"/>
        <v>222620374000</v>
      </c>
      <c r="J113" s="65">
        <f t="shared" si="93"/>
        <v>237016935000</v>
      </c>
      <c r="K113" s="196">
        <f t="shared" si="93"/>
        <v>0</v>
      </c>
      <c r="L113" s="64">
        <f t="shared" si="93"/>
        <v>0</v>
      </c>
      <c r="M113" s="64">
        <f t="shared" si="93"/>
        <v>0</v>
      </c>
      <c r="N113" s="64">
        <f t="shared" si="93"/>
        <v>0</v>
      </c>
    </row>
    <row r="114" spans="2:14">
      <c r="B114" s="85" t="s">
        <v>353</v>
      </c>
      <c r="C114" s="66">
        <v>-3713594000</v>
      </c>
      <c r="D114" s="66">
        <v>-3713594000</v>
      </c>
      <c r="E114" s="66">
        <v>-7180432000</v>
      </c>
      <c r="F114" s="66">
        <v>-7185174000</v>
      </c>
      <c r="G114" s="66">
        <v>-5480163000</v>
      </c>
      <c r="H114" s="66">
        <v>-7565218000</v>
      </c>
      <c r="I114" s="66">
        <v>-7751033000</v>
      </c>
      <c r="J114" s="67">
        <v>-10680843000</v>
      </c>
      <c r="K114" s="105"/>
      <c r="L114" s="66"/>
      <c r="M114" s="66"/>
      <c r="N114" s="66"/>
    </row>
    <row r="115" spans="2:14">
      <c r="B115" s="85" t="s">
        <v>354</v>
      </c>
      <c r="C115" s="66">
        <v>-34358131000</v>
      </c>
      <c r="D115" s="66">
        <v>-34115330000</v>
      </c>
      <c r="E115" s="66">
        <v>-42632363000</v>
      </c>
      <c r="F115" s="66">
        <v>-28913361000</v>
      </c>
      <c r="G115" s="66">
        <v>-33228882000</v>
      </c>
      <c r="H115" s="66">
        <v>-35221915000</v>
      </c>
      <c r="I115" s="66">
        <v>-35639263000</v>
      </c>
      <c r="J115" s="67">
        <v>-35778837000</v>
      </c>
      <c r="K115" s="105"/>
      <c r="L115" s="66"/>
      <c r="M115" s="66"/>
      <c r="N115" s="66"/>
    </row>
    <row r="116" spans="2:14">
      <c r="B116" s="86" t="s">
        <v>355</v>
      </c>
      <c r="C116" s="64">
        <f t="shared" ref="C116:F116" si="94">+C113+C114+C115</f>
        <v>131690979000</v>
      </c>
      <c r="D116" s="64">
        <f t="shared" si="94"/>
        <v>118130710000</v>
      </c>
      <c r="E116" s="64">
        <f t="shared" si="94"/>
        <v>181759222000</v>
      </c>
      <c r="F116" s="64">
        <f t="shared" si="94"/>
        <v>139173024000</v>
      </c>
      <c r="G116" s="64">
        <f t="shared" ref="G116:N116" si="95">+G113+G114+G115</f>
        <v>142554483000</v>
      </c>
      <c r="H116" s="64">
        <f t="shared" si="95"/>
        <v>146056866000</v>
      </c>
      <c r="I116" s="64">
        <f t="shared" si="95"/>
        <v>179230078000</v>
      </c>
      <c r="J116" s="65">
        <f t="shared" si="95"/>
        <v>190557255000</v>
      </c>
      <c r="K116" s="196">
        <f t="shared" si="95"/>
        <v>0</v>
      </c>
      <c r="L116" s="64">
        <f t="shared" si="95"/>
        <v>0</v>
      </c>
      <c r="M116" s="64">
        <f t="shared" si="95"/>
        <v>0</v>
      </c>
      <c r="N116" s="64">
        <f t="shared" si="95"/>
        <v>0</v>
      </c>
    </row>
    <row r="117" spans="2:14">
      <c r="B117" s="85" t="s">
        <v>356</v>
      </c>
      <c r="C117" s="66">
        <v>-84924000</v>
      </c>
      <c r="D117" s="66">
        <v>-131150000</v>
      </c>
      <c r="E117" s="66">
        <v>-852998000</v>
      </c>
      <c r="F117" s="66">
        <v>-486092000</v>
      </c>
      <c r="G117" s="66">
        <v>-1436893000</v>
      </c>
      <c r="H117" s="66">
        <v>-9364072000</v>
      </c>
      <c r="I117" s="66">
        <v>-11351754000</v>
      </c>
      <c r="J117" s="67">
        <v>-7344667000</v>
      </c>
      <c r="K117" s="105"/>
      <c r="L117" s="66"/>
      <c r="M117" s="66"/>
      <c r="N117" s="66"/>
    </row>
    <row r="118" spans="2:14">
      <c r="B118" s="85" t="s">
        <v>357</v>
      </c>
      <c r="C118" s="66">
        <v>994753000</v>
      </c>
      <c r="D118" s="66">
        <v>1176548000</v>
      </c>
      <c r="E118" s="66">
        <v>1669291000</v>
      </c>
      <c r="F118" s="66">
        <v>175378000</v>
      </c>
      <c r="G118" s="66">
        <v>844565000</v>
      </c>
      <c r="H118" s="66">
        <v>4971914000</v>
      </c>
      <c r="I118" s="66">
        <v>6303403000</v>
      </c>
      <c r="J118" s="67">
        <v>2763166000</v>
      </c>
      <c r="K118" s="105"/>
      <c r="L118" s="66"/>
      <c r="M118" s="66"/>
      <c r="N118" s="66"/>
    </row>
    <row r="119" spans="2:14" ht="28.5">
      <c r="B119" s="87" t="s">
        <v>358</v>
      </c>
      <c r="C119" s="66">
        <v>2951634000</v>
      </c>
      <c r="D119" s="66">
        <v>2889663000</v>
      </c>
      <c r="E119" s="66">
        <v>3069285000</v>
      </c>
      <c r="F119" s="66">
        <v>24759152000</v>
      </c>
      <c r="G119" s="66">
        <v>3159645000</v>
      </c>
      <c r="H119" s="66"/>
      <c r="I119" s="66"/>
      <c r="J119" s="67"/>
      <c r="K119" s="105"/>
      <c r="L119" s="66"/>
      <c r="M119" s="66"/>
      <c r="N119" s="66"/>
    </row>
    <row r="120" spans="2:14">
      <c r="B120" s="85" t="s">
        <v>359</v>
      </c>
      <c r="C120" s="66">
        <v>-40214000</v>
      </c>
      <c r="D120" s="66">
        <v>38772000</v>
      </c>
      <c r="E120" s="66">
        <v>-2974286000</v>
      </c>
      <c r="F120" s="66">
        <v>-53390000</v>
      </c>
      <c r="G120" s="66">
        <v>-793417000</v>
      </c>
      <c r="H120" s="66">
        <v>-86767000</v>
      </c>
      <c r="I120" s="66">
        <v>-100202000</v>
      </c>
      <c r="J120" s="67">
        <v>-86230000</v>
      </c>
      <c r="K120" s="105"/>
      <c r="L120" s="66"/>
      <c r="M120" s="66"/>
      <c r="N120" s="66"/>
    </row>
    <row r="121" spans="2:14">
      <c r="B121" s="85" t="s">
        <v>360</v>
      </c>
      <c r="C121" s="66">
        <v>1131484000</v>
      </c>
      <c r="D121" s="66">
        <v>1058878000</v>
      </c>
      <c r="E121" s="66">
        <v>1093903000</v>
      </c>
      <c r="F121" s="66">
        <v>1676743000</v>
      </c>
      <c r="G121" s="66">
        <v>2723869000</v>
      </c>
      <c r="H121" s="66">
        <v>85264000</v>
      </c>
      <c r="I121" s="66">
        <v>115773000</v>
      </c>
      <c r="J121" s="67">
        <v>56942000</v>
      </c>
      <c r="K121" s="105"/>
      <c r="L121" s="66"/>
      <c r="M121" s="66"/>
      <c r="N121" s="66"/>
    </row>
    <row r="122" spans="2:14">
      <c r="B122" s="85" t="s">
        <v>361</v>
      </c>
      <c r="C122" s="66">
        <v>-356466000</v>
      </c>
      <c r="D122" s="66">
        <v>-331831000</v>
      </c>
      <c r="E122" s="66">
        <v>-504184000</v>
      </c>
      <c r="F122" s="66">
        <v>-505192000</v>
      </c>
      <c r="G122" s="66">
        <v>-21420190000</v>
      </c>
      <c r="H122" s="66">
        <v>-1013931000</v>
      </c>
      <c r="I122" s="66">
        <v>-328152000</v>
      </c>
      <c r="J122" s="67">
        <v>-153796000</v>
      </c>
      <c r="K122" s="105"/>
      <c r="L122" s="66"/>
      <c r="M122" s="66"/>
      <c r="N122" s="66"/>
    </row>
    <row r="123" spans="2:14">
      <c r="B123" s="86" t="s">
        <v>362</v>
      </c>
      <c r="C123" s="64">
        <v>136692449000</v>
      </c>
      <c r="D123" s="64">
        <v>123014574000</v>
      </c>
      <c r="E123" s="64">
        <v>183247521000</v>
      </c>
      <c r="F123" s="64">
        <v>164798419000</v>
      </c>
      <c r="G123" s="64">
        <v>117132660000</v>
      </c>
      <c r="H123" s="64">
        <v>144491707000</v>
      </c>
      <c r="I123" s="64">
        <v>177926535000</v>
      </c>
      <c r="J123" s="65">
        <v>190043462000</v>
      </c>
      <c r="K123" s="196"/>
      <c r="L123" s="64"/>
      <c r="M123" s="64"/>
      <c r="N123" s="64"/>
    </row>
    <row r="124" spans="2:14">
      <c r="B124" s="85" t="s">
        <v>363</v>
      </c>
      <c r="C124" s="66">
        <v>-32612991000</v>
      </c>
      <c r="D124" s="66">
        <v>-32145328000</v>
      </c>
      <c r="E124" s="66">
        <v>-48123263000</v>
      </c>
      <c r="F124" s="66">
        <v>-36169736000</v>
      </c>
      <c r="G124" s="91">
        <v>-10552614000</v>
      </c>
      <c r="H124" s="91">
        <v>-35614767000</v>
      </c>
      <c r="I124" s="91">
        <v>-46326166000</v>
      </c>
      <c r="J124" s="447">
        <v>-49897524000</v>
      </c>
      <c r="K124" s="411"/>
      <c r="L124" s="91"/>
      <c r="M124" s="91"/>
      <c r="N124" s="91"/>
    </row>
    <row r="125" spans="2:14">
      <c r="B125" s="87" t="s">
        <v>364</v>
      </c>
      <c r="C125" s="66">
        <v>0</v>
      </c>
      <c r="D125" s="66">
        <v>0</v>
      </c>
      <c r="E125" s="66">
        <v>0</v>
      </c>
      <c r="F125" s="66">
        <v>0</v>
      </c>
      <c r="G125" s="91">
        <v>23283044000</v>
      </c>
      <c r="H125" s="91"/>
      <c r="I125" s="91"/>
      <c r="J125" s="447"/>
      <c r="K125" s="411"/>
      <c r="L125" s="91"/>
      <c r="M125" s="91"/>
      <c r="N125" s="91"/>
    </row>
    <row r="126" spans="2:14">
      <c r="B126" s="84" t="s">
        <v>365</v>
      </c>
      <c r="C126" s="64">
        <v>104079458000</v>
      </c>
      <c r="D126" s="64">
        <v>90869246000</v>
      </c>
      <c r="E126" s="64">
        <v>135124258000</v>
      </c>
      <c r="F126" s="64">
        <v>128628683000</v>
      </c>
      <c r="G126" s="64">
        <v>129863090000</v>
      </c>
      <c r="H126" s="64">
        <v>108846940000</v>
      </c>
      <c r="I126" s="64">
        <v>131600369000</v>
      </c>
      <c r="J126" s="65">
        <v>140145938000</v>
      </c>
      <c r="K126" s="196"/>
      <c r="L126" s="64"/>
      <c r="M126" s="64"/>
      <c r="N126" s="64"/>
    </row>
    <row r="127" spans="2:14">
      <c r="B127" s="84" t="s">
        <v>366</v>
      </c>
      <c r="C127" s="64">
        <v>104</v>
      </c>
      <c r="D127" s="64">
        <v>91</v>
      </c>
      <c r="E127" s="64">
        <v>135</v>
      </c>
      <c r="F127" s="64">
        <v>129</v>
      </c>
      <c r="G127" s="64">
        <v>130</v>
      </c>
      <c r="H127" s="64">
        <f>0.109*1000</f>
        <v>109</v>
      </c>
      <c r="I127" s="64">
        <v>132</v>
      </c>
      <c r="J127" s="65">
        <v>140</v>
      </c>
      <c r="K127" s="196"/>
      <c r="L127" s="64"/>
      <c r="M127" s="64"/>
      <c r="N127" s="64"/>
    </row>
    <row r="129" spans="2:14" ht="14.65" thickBot="1">
      <c r="B129" s="75" t="s">
        <v>367</v>
      </c>
    </row>
    <row r="130" spans="2:14" ht="14.65" thickBot="1">
      <c r="B130" s="82" t="s">
        <v>308</v>
      </c>
      <c r="C130" s="88">
        <v>2017</v>
      </c>
      <c r="D130" s="88">
        <v>2018</v>
      </c>
      <c r="E130" s="88">
        <v>2019</v>
      </c>
      <c r="F130" s="88">
        <v>2020</v>
      </c>
      <c r="G130" s="88">
        <v>2021</v>
      </c>
      <c r="H130" s="88">
        <v>2022</v>
      </c>
      <c r="I130" s="88">
        <v>2023</v>
      </c>
      <c r="J130" s="89">
        <v>2024</v>
      </c>
      <c r="K130" s="103">
        <v>2025</v>
      </c>
      <c r="L130" s="88">
        <v>2026</v>
      </c>
      <c r="M130" s="88">
        <v>2027</v>
      </c>
      <c r="N130" s="88">
        <v>2028</v>
      </c>
    </row>
    <row r="131" spans="2:14">
      <c r="B131" s="83" t="s">
        <v>368</v>
      </c>
      <c r="C131" s="92">
        <v>83787115000</v>
      </c>
      <c r="D131" s="92">
        <v>97972526000</v>
      </c>
      <c r="E131" s="92">
        <v>101185295000</v>
      </c>
      <c r="F131" s="92">
        <v>105957851000</v>
      </c>
      <c r="G131" s="92">
        <v>76671834000</v>
      </c>
      <c r="H131" s="92">
        <f>120474264000</f>
        <v>120474264000</v>
      </c>
      <c r="I131" s="385">
        <v>156005212000</v>
      </c>
      <c r="J131" s="448">
        <v>140846940000</v>
      </c>
      <c r="K131" s="412"/>
      <c r="L131" s="385"/>
      <c r="M131" s="385"/>
      <c r="N131" s="385"/>
    </row>
    <row r="132" spans="2:14">
      <c r="B132" s="86" t="s">
        <v>369</v>
      </c>
      <c r="C132" s="93">
        <v>-14136549000</v>
      </c>
      <c r="D132" s="93">
        <v>-29207006000</v>
      </c>
      <c r="E132" s="93">
        <v>-148448999000</v>
      </c>
      <c r="F132" s="66">
        <v>11689326000</v>
      </c>
      <c r="G132" s="66">
        <v>49935023000</v>
      </c>
      <c r="H132" s="93">
        <v>-571080000</v>
      </c>
      <c r="I132" s="93">
        <v>-39530675000</v>
      </c>
      <c r="J132" s="449">
        <v>-34686885000</v>
      </c>
      <c r="K132" s="413"/>
      <c r="L132" s="93"/>
      <c r="M132" s="93"/>
      <c r="N132" s="93"/>
    </row>
    <row r="133" spans="2:14">
      <c r="B133" s="85" t="s">
        <v>370</v>
      </c>
      <c r="C133" s="93">
        <v>-1305288000</v>
      </c>
      <c r="D133" s="93">
        <v>-7754458000</v>
      </c>
      <c r="E133" s="93">
        <v>-2537474000</v>
      </c>
      <c r="F133" s="93">
        <v>-2740516000</v>
      </c>
      <c r="G133" s="93">
        <v>-1598644000</v>
      </c>
      <c r="H133" s="93">
        <v>-770963000</v>
      </c>
      <c r="I133" s="93">
        <v>-687905000</v>
      </c>
      <c r="J133" s="449">
        <v>-693785000</v>
      </c>
      <c r="K133" s="413"/>
      <c r="L133" s="93"/>
      <c r="M133" s="93"/>
      <c r="N133" s="93"/>
    </row>
    <row r="134" spans="2:14">
      <c r="B134" s="86" t="s">
        <v>372</v>
      </c>
      <c r="C134" s="93">
        <v>-59041387000</v>
      </c>
      <c r="D134" s="93">
        <v>-61677268000</v>
      </c>
      <c r="E134" s="66">
        <v>31144354000</v>
      </c>
      <c r="F134" s="93">
        <v>-33062744000</v>
      </c>
      <c r="G134" s="93">
        <v>-111817822000</v>
      </c>
      <c r="H134" s="93">
        <v>-128071579000</v>
      </c>
      <c r="I134" s="93">
        <v>-118963709000</v>
      </c>
      <c r="J134" s="449">
        <v>-127511032000</v>
      </c>
      <c r="K134" s="413"/>
      <c r="L134" s="93"/>
      <c r="M134" s="93"/>
      <c r="N134" s="93"/>
    </row>
    <row r="135" spans="2:14">
      <c r="B135" s="85" t="s">
        <v>373</v>
      </c>
      <c r="C135" s="93">
        <v>-59000000000</v>
      </c>
      <c r="D135" s="93">
        <v>-61000000000</v>
      </c>
      <c r="E135" s="93">
        <v>-65000000000</v>
      </c>
      <c r="F135" s="93">
        <v>-30535121000</v>
      </c>
      <c r="G135" s="93">
        <v>-110000000000</v>
      </c>
      <c r="H135" s="93">
        <v>-120000000000</v>
      </c>
      <c r="I135" s="93">
        <v>-108000000000</v>
      </c>
      <c r="J135" s="449">
        <v>-120000000000</v>
      </c>
      <c r="K135" s="413"/>
      <c r="L135" s="93"/>
      <c r="M135" s="93"/>
      <c r="N135" s="93"/>
    </row>
    <row r="136" spans="2:14">
      <c r="B136" s="85" t="s">
        <v>374</v>
      </c>
      <c r="C136" s="93">
        <v>-6807000</v>
      </c>
      <c r="D136" s="93">
        <v>-17402000</v>
      </c>
      <c r="E136" s="93">
        <v>-147754000</v>
      </c>
      <c r="F136" s="93">
        <v>-141575000</v>
      </c>
      <c r="G136" s="93">
        <v>-125279000</v>
      </c>
      <c r="H136" s="93">
        <v>0</v>
      </c>
      <c r="I136" s="93">
        <v>0</v>
      </c>
      <c r="J136" s="449"/>
      <c r="K136" s="413"/>
      <c r="L136" s="93"/>
      <c r="M136" s="93"/>
      <c r="N136" s="93"/>
    </row>
    <row r="137" spans="2:14">
      <c r="B137" s="86" t="s">
        <v>375</v>
      </c>
      <c r="C137" s="66">
        <v>10609179000</v>
      </c>
      <c r="D137" s="66">
        <v>7088252000</v>
      </c>
      <c r="E137" s="93">
        <v>-16119350000</v>
      </c>
      <c r="F137" s="66">
        <v>84584433000</v>
      </c>
      <c r="G137" s="66">
        <v>14789035000</v>
      </c>
      <c r="H137" s="66">
        <v>-8168395000</v>
      </c>
      <c r="I137" s="66">
        <v>-2489172000</v>
      </c>
      <c r="J137" s="67">
        <v>-21350977000</v>
      </c>
      <c r="K137" s="105"/>
      <c r="L137" s="66"/>
      <c r="M137" s="66"/>
      <c r="N137" s="66"/>
    </row>
    <row r="138" spans="2:14">
      <c r="B138" s="85"/>
      <c r="C138" s="66"/>
      <c r="D138" s="66"/>
      <c r="E138" s="66"/>
      <c r="F138" s="66"/>
      <c r="G138" s="66"/>
      <c r="H138" s="66"/>
      <c r="I138" s="66"/>
      <c r="J138" s="67"/>
      <c r="K138" s="105"/>
      <c r="L138" s="66"/>
      <c r="M138" s="66"/>
      <c r="N138" s="66"/>
    </row>
    <row r="139" spans="2:14">
      <c r="B139" s="84" t="s">
        <v>376</v>
      </c>
      <c r="C139" s="66">
        <f t="shared" ref="C139:G139" si="96">+C131+C133+C136</f>
        <v>82475020000</v>
      </c>
      <c r="D139" s="66">
        <f t="shared" si="96"/>
        <v>90200666000</v>
      </c>
      <c r="E139" s="66">
        <f>+E131+E133+E136</f>
        <v>98500067000</v>
      </c>
      <c r="F139" s="66">
        <f t="shared" si="96"/>
        <v>103075760000</v>
      </c>
      <c r="G139" s="66">
        <f t="shared" si="96"/>
        <v>74947911000</v>
      </c>
      <c r="H139" s="66">
        <f>+H131+H133+H136</f>
        <v>119703301000</v>
      </c>
      <c r="I139" s="66">
        <f>+I131+I133+I136</f>
        <v>155317307000</v>
      </c>
      <c r="J139" s="66">
        <f>+J131+J133+J136</f>
        <v>140153155000</v>
      </c>
      <c r="K139" s="66">
        <f t="shared" ref="K139:N139" si="97">+K131+K133</f>
        <v>0</v>
      </c>
      <c r="L139" s="66">
        <f t="shared" si="97"/>
        <v>0</v>
      </c>
      <c r="M139" s="66">
        <f t="shared" si="97"/>
        <v>0</v>
      </c>
      <c r="N139" s="66">
        <f t="shared" si="97"/>
        <v>0</v>
      </c>
    </row>
  </sheetData>
  <autoFilter ref="B6:N139" xr:uid="{AB0DABB9-30AE-4CA0-AFFD-AFA4F7F7FD7D}"/>
  <conditionalFormatting sqref="C71:G73 D74:G74 C75:G76 C77:F77">
    <cfRule type="cellIs" dxfId="123" priority="12" operator="lessThan">
      <formula>0</formula>
    </cfRule>
  </conditionalFormatting>
  <conditionalFormatting sqref="C110:N127">
    <cfRule type="cellIs" dxfId="122" priority="1" operator="lessThan">
      <formula>0</formula>
    </cfRule>
  </conditionalFormatting>
  <conditionalFormatting sqref="H71:N76 C78:N100 C102:N106">
    <cfRule type="cellIs" dxfId="121" priority="2" operator="lessThan">
      <formula>0</formula>
    </cfRule>
  </conditionalFormatting>
  <pageMargins left="0.7" right="0.7" top="0.75" bottom="0.75" header="0.3" footer="0.3"/>
  <pageSetup paperSize="9" orientation="portrait" r:id="rId1"/>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30694-F3C7-4895-B70E-8ABFE728A580}">
  <sheetPr>
    <tabColor rgb="FF92D050"/>
  </sheetPr>
  <dimension ref="B2:P144"/>
  <sheetViews>
    <sheetView zoomScale="80" zoomScaleNormal="80" workbookViewId="0">
      <pane xSplit="2" ySplit="6" topLeftCell="C7" activePane="bottomRight" state="frozen"/>
      <selection pane="bottomRight" activeCell="C7" sqref="C7"/>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3" width="33.28515625" customWidth="1"/>
    <col min="4" max="6" width="35.7109375" bestFit="1" customWidth="1"/>
    <col min="7" max="7" width="36.28515625" customWidth="1"/>
    <col min="8" max="8" width="35.7109375" customWidth="1"/>
    <col min="9" max="9" width="35.7109375" bestFit="1" customWidth="1"/>
    <col min="10" max="10" width="28.7109375" bestFit="1" customWidth="1"/>
    <col min="11" max="14" width="25.42578125" bestFit="1" customWidth="1"/>
  </cols>
  <sheetData>
    <row r="2" spans="2:14" ht="21">
      <c r="B2" s="313">
        <f ca="1">TODAY()-1</f>
        <v>46105</v>
      </c>
      <c r="C2" s="314"/>
      <c r="D2" s="344" t="s">
        <v>518</v>
      </c>
      <c r="E2" s="345" t="s">
        <v>266</v>
      </c>
    </row>
    <row r="3" spans="2:14" ht="25.5">
      <c r="B3" s="376" cm="1">
        <f t="array" aca="1" ref="B3" ca="1">_FV(B6,"Precio")</f>
        <v>985</v>
      </c>
      <c r="C3" s="316"/>
      <c r="D3" s="365">
        <f>AVERAGE(G45:I45)</f>
        <v>33.781999999999996</v>
      </c>
      <c r="E3" s="365">
        <f>AVERAGE(G44:I44)</f>
        <v>44.541333333333334</v>
      </c>
    </row>
    <row r="4" spans="2:14" ht="28.5">
      <c r="B4" s="319"/>
      <c r="C4" s="320"/>
      <c r="D4" s="328"/>
      <c r="E4" s="328"/>
    </row>
    <row r="6" spans="2:14" ht="33.4">
      <c r="B6" s="3" t="e" vm="38">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0</v>
      </c>
      <c r="D7" s="5">
        <f t="shared" ref="D7:N7" si="0">+D61</f>
        <v>169729141000</v>
      </c>
      <c r="E7" s="5">
        <f t="shared" si="0"/>
        <v>198693178000</v>
      </c>
      <c r="F7" s="5">
        <f t="shared" si="0"/>
        <v>305478978000</v>
      </c>
      <c r="G7" s="5">
        <f t="shared" si="0"/>
        <v>285099777000</v>
      </c>
      <c r="H7" s="5">
        <f t="shared" si="0"/>
        <v>326058264000</v>
      </c>
      <c r="I7" s="5">
        <f t="shared" si="0"/>
        <v>276781050000</v>
      </c>
      <c r="J7" s="5">
        <f t="shared" si="0"/>
        <v>0</v>
      </c>
      <c r="K7" s="5">
        <f t="shared" si="0"/>
        <v>0</v>
      </c>
      <c r="L7" s="5">
        <f t="shared" si="0"/>
        <v>0</v>
      </c>
      <c r="M7" s="5">
        <f t="shared" si="0"/>
        <v>0</v>
      </c>
      <c r="N7" s="5">
        <f t="shared" si="0"/>
        <v>0</v>
      </c>
    </row>
    <row r="8" spans="2:14" ht="25.5">
      <c r="B8" s="146" t="s">
        <v>377</v>
      </c>
      <c r="C8" s="147">
        <f>+C65</f>
        <v>0</v>
      </c>
      <c r="D8" s="147">
        <f t="shared" ref="D8:N8" si="1">+D65</f>
        <v>116829372000</v>
      </c>
      <c r="E8" s="147">
        <f t="shared" si="1"/>
        <v>115960086000</v>
      </c>
      <c r="F8" s="147">
        <f t="shared" si="1"/>
        <v>87491240000</v>
      </c>
      <c r="G8" s="147">
        <f t="shared" si="1"/>
        <v>101104669000</v>
      </c>
      <c r="H8" s="147">
        <f t="shared" si="1"/>
        <v>122775410000</v>
      </c>
      <c r="I8" s="147">
        <f t="shared" si="1"/>
        <v>132009297000</v>
      </c>
      <c r="J8" s="147">
        <f t="shared" si="1"/>
        <v>0</v>
      </c>
      <c r="K8" s="147">
        <f t="shared" si="1"/>
        <v>0</v>
      </c>
      <c r="L8" s="147">
        <f t="shared" si="1"/>
        <v>0</v>
      </c>
      <c r="M8" s="147">
        <f t="shared" si="1"/>
        <v>0</v>
      </c>
      <c r="N8" s="147">
        <f t="shared" si="1"/>
        <v>0</v>
      </c>
    </row>
    <row r="9" spans="2:14" ht="25.5">
      <c r="B9" s="146" t="s">
        <v>378</v>
      </c>
      <c r="C9" s="147">
        <f>+C67</f>
        <v>0</v>
      </c>
      <c r="D9" s="147">
        <f>+D67</f>
        <v>3636388000</v>
      </c>
      <c r="E9" s="147">
        <f t="shared" ref="E9:N9" si="2">+E67</f>
        <v>3810599000</v>
      </c>
      <c r="F9" s="147">
        <f t="shared" si="2"/>
        <v>3954953000</v>
      </c>
      <c r="G9" s="147">
        <f t="shared" si="2"/>
        <v>5185858000</v>
      </c>
      <c r="H9" s="147">
        <f t="shared" si="2"/>
        <v>12790532000</v>
      </c>
      <c r="I9" s="147">
        <f t="shared" si="2"/>
        <v>12812483000</v>
      </c>
      <c r="J9" s="147">
        <f t="shared" si="2"/>
        <v>0</v>
      </c>
      <c r="K9" s="147">
        <f t="shared" si="2"/>
        <v>0</v>
      </c>
      <c r="L9" s="147">
        <f t="shared" si="2"/>
        <v>0</v>
      </c>
      <c r="M9" s="147">
        <f t="shared" si="2"/>
        <v>0</v>
      </c>
      <c r="N9" s="147">
        <f t="shared" si="2"/>
        <v>0</v>
      </c>
    </row>
    <row r="10" spans="2:14" ht="25.5">
      <c r="B10" s="4" t="s">
        <v>379</v>
      </c>
      <c r="C10" s="5">
        <f>+C70</f>
        <v>0</v>
      </c>
      <c r="D10" s="5">
        <f t="shared" ref="D10:N10" si="3">+D70</f>
        <v>2008908565000</v>
      </c>
      <c r="E10" s="5">
        <f t="shared" si="3"/>
        <v>2075152748000</v>
      </c>
      <c r="F10" s="5">
        <f t="shared" si="3"/>
        <v>2113551778000</v>
      </c>
      <c r="G10" s="5">
        <f t="shared" si="3"/>
        <v>2216722469000</v>
      </c>
      <c r="H10" s="5">
        <f t="shared" si="3"/>
        <v>2325871931000</v>
      </c>
      <c r="I10" s="5">
        <f t="shared" si="3"/>
        <v>2419695021000</v>
      </c>
      <c r="J10" s="5">
        <f t="shared" si="3"/>
        <v>0</v>
      </c>
      <c r="K10" s="5">
        <f t="shared" si="3"/>
        <v>0</v>
      </c>
      <c r="L10" s="5">
        <f t="shared" si="3"/>
        <v>0</v>
      </c>
      <c r="M10" s="5">
        <f t="shared" si="3"/>
        <v>0</v>
      </c>
      <c r="N10" s="5">
        <f t="shared" si="3"/>
        <v>0</v>
      </c>
    </row>
    <row r="11" spans="2:14" ht="25.5">
      <c r="B11" s="8" t="s">
        <v>272</v>
      </c>
      <c r="C11" s="9">
        <f>+C10+C7</f>
        <v>0</v>
      </c>
      <c r="D11" s="9">
        <f t="shared" ref="D11:N11" si="4">+D10+D7</f>
        <v>2178637706000</v>
      </c>
      <c r="E11" s="9">
        <f t="shared" si="4"/>
        <v>2273845926000</v>
      </c>
      <c r="F11" s="9">
        <f t="shared" si="4"/>
        <v>2419030756000</v>
      </c>
      <c r="G11" s="9">
        <f t="shared" si="4"/>
        <v>2501822246000</v>
      </c>
      <c r="H11" s="9">
        <f t="shared" si="4"/>
        <v>2651930195000</v>
      </c>
      <c r="I11" s="9">
        <f t="shared" si="4"/>
        <v>2696476071000</v>
      </c>
      <c r="J11" s="9">
        <f t="shared" si="4"/>
        <v>0</v>
      </c>
      <c r="K11" s="9">
        <f t="shared" si="4"/>
        <v>0</v>
      </c>
      <c r="L11" s="9">
        <f t="shared" si="4"/>
        <v>0</v>
      </c>
      <c r="M11" s="9">
        <f t="shared" si="4"/>
        <v>0</v>
      </c>
      <c r="N11" s="9">
        <f t="shared" si="4"/>
        <v>0</v>
      </c>
    </row>
    <row r="12" spans="2:14" ht="25.5">
      <c r="B12" s="10" t="s">
        <v>273</v>
      </c>
      <c r="C12" s="11">
        <f>+C84</f>
        <v>0</v>
      </c>
      <c r="D12" s="11">
        <f t="shared" ref="D12:N12" si="5">+D84</f>
        <v>242927687000</v>
      </c>
      <c r="E12" s="11">
        <f t="shared" si="5"/>
        <v>242608281000</v>
      </c>
      <c r="F12" s="11">
        <f t="shared" si="5"/>
        <v>245462938000</v>
      </c>
      <c r="G12" s="11">
        <f t="shared" si="5"/>
        <v>249136828000</v>
      </c>
      <c r="H12" s="11">
        <f t="shared" si="5"/>
        <v>266626154000</v>
      </c>
      <c r="I12" s="11">
        <f t="shared" si="5"/>
        <v>362634346000</v>
      </c>
      <c r="J12" s="11">
        <f t="shared" si="5"/>
        <v>0</v>
      </c>
      <c r="K12" s="11">
        <f t="shared" si="5"/>
        <v>0</v>
      </c>
      <c r="L12" s="11">
        <f t="shared" si="5"/>
        <v>0</v>
      </c>
      <c r="M12" s="11">
        <f t="shared" si="5"/>
        <v>0</v>
      </c>
      <c r="N12" s="11">
        <f t="shared" si="5"/>
        <v>0</v>
      </c>
    </row>
    <row r="13" spans="2:14" ht="25.5">
      <c r="B13" s="10" t="s">
        <v>274</v>
      </c>
      <c r="C13" s="11">
        <f>+C94</f>
        <v>0</v>
      </c>
      <c r="D13" s="11">
        <f t="shared" ref="D13:N13" si="6">+D94</f>
        <v>977008960000</v>
      </c>
      <c r="E13" s="11">
        <f t="shared" si="6"/>
        <v>1072110134000</v>
      </c>
      <c r="F13" s="11">
        <f t="shared" si="6"/>
        <v>1059920436000</v>
      </c>
      <c r="G13" s="11">
        <f t="shared" si="6"/>
        <v>1138295178000</v>
      </c>
      <c r="H13" s="11">
        <f t="shared" si="6"/>
        <v>1274907748000</v>
      </c>
      <c r="I13" s="11">
        <f t="shared" si="6"/>
        <v>1175813467000</v>
      </c>
      <c r="J13" s="11">
        <f t="shared" si="6"/>
        <v>0</v>
      </c>
      <c r="K13" s="11">
        <f t="shared" si="6"/>
        <v>0</v>
      </c>
      <c r="L13" s="11">
        <f t="shared" si="6"/>
        <v>0</v>
      </c>
      <c r="M13" s="11">
        <f t="shared" si="6"/>
        <v>0</v>
      </c>
      <c r="N13" s="11">
        <f t="shared" si="6"/>
        <v>0</v>
      </c>
    </row>
    <row r="14" spans="2:14" ht="25.5">
      <c r="B14" s="12" t="s">
        <v>275</v>
      </c>
      <c r="C14" s="13">
        <f>+C12+C13</f>
        <v>0</v>
      </c>
      <c r="D14" s="13">
        <f t="shared" ref="D14:N14" si="7">+D12+D13</f>
        <v>1219936647000</v>
      </c>
      <c r="E14" s="13">
        <f t="shared" si="7"/>
        <v>1314718415000</v>
      </c>
      <c r="F14" s="13">
        <f t="shared" si="7"/>
        <v>1305383374000</v>
      </c>
      <c r="G14" s="13">
        <f t="shared" si="7"/>
        <v>1387432006000</v>
      </c>
      <c r="H14" s="13">
        <f t="shared" si="7"/>
        <v>1541533902000</v>
      </c>
      <c r="I14" s="13">
        <f t="shared" si="7"/>
        <v>1538447813000</v>
      </c>
      <c r="J14" s="13">
        <f t="shared" si="7"/>
        <v>0</v>
      </c>
      <c r="K14" s="13">
        <f t="shared" si="7"/>
        <v>0</v>
      </c>
      <c r="L14" s="13">
        <f t="shared" si="7"/>
        <v>0</v>
      </c>
      <c r="M14" s="13">
        <f t="shared" si="7"/>
        <v>0</v>
      </c>
      <c r="N14" s="13">
        <f t="shared" si="7"/>
        <v>0</v>
      </c>
    </row>
    <row r="15" spans="2:14" ht="25.5">
      <c r="B15" s="14" t="s">
        <v>276</v>
      </c>
      <c r="C15" s="15">
        <f>+C108</f>
        <v>0</v>
      </c>
      <c r="D15" s="15">
        <f t="shared" ref="D15:N15" si="8">+D108</f>
        <v>591673561000</v>
      </c>
      <c r="E15" s="15">
        <f t="shared" si="8"/>
        <v>594540262000</v>
      </c>
      <c r="F15" s="15">
        <f t="shared" si="8"/>
        <v>694123607000</v>
      </c>
      <c r="G15" s="15">
        <f t="shared" si="8"/>
        <v>693964870000</v>
      </c>
      <c r="H15" s="15">
        <f t="shared" si="8"/>
        <v>691794448000</v>
      </c>
      <c r="I15" s="15">
        <f t="shared" si="8"/>
        <v>715849689000</v>
      </c>
      <c r="J15" s="15">
        <f t="shared" si="8"/>
        <v>0</v>
      </c>
      <c r="K15" s="15">
        <f t="shared" si="8"/>
        <v>0</v>
      </c>
      <c r="L15" s="15">
        <f t="shared" si="8"/>
        <v>0</v>
      </c>
      <c r="M15" s="15">
        <f t="shared" si="8"/>
        <v>0</v>
      </c>
      <c r="N15" s="15">
        <f t="shared" si="8"/>
        <v>0</v>
      </c>
    </row>
    <row r="16" spans="2:14" ht="25.5">
      <c r="B16" s="79" t="s">
        <v>278</v>
      </c>
      <c r="C16" s="80">
        <v>1000000000</v>
      </c>
      <c r="D16" s="80">
        <v>1000000000</v>
      </c>
      <c r="E16" s="80">
        <v>1000000000</v>
      </c>
      <c r="F16" s="80">
        <v>1000000000</v>
      </c>
      <c r="G16" s="80">
        <v>1000000000</v>
      </c>
      <c r="H16" s="80">
        <v>1000000000</v>
      </c>
      <c r="I16" s="80">
        <v>1000000000</v>
      </c>
      <c r="J16" s="80">
        <v>1000000000</v>
      </c>
      <c r="K16" s="80"/>
      <c r="L16" s="80"/>
      <c r="M16" s="80"/>
      <c r="N16" s="80"/>
    </row>
    <row r="18" spans="2:14" ht="25.5">
      <c r="B18" s="18" t="s">
        <v>279</v>
      </c>
      <c r="C18" s="19">
        <f t="shared" ref="C18:N18" si="9">(C15/C16)</f>
        <v>0</v>
      </c>
      <c r="D18" s="19">
        <f t="shared" si="9"/>
        <v>591.67356099999995</v>
      </c>
      <c r="E18" s="19">
        <f t="shared" si="9"/>
        <v>594.54026199999998</v>
      </c>
      <c r="F18" s="19">
        <f t="shared" si="9"/>
        <v>694.12360699999999</v>
      </c>
      <c r="G18" s="19">
        <f t="shared" si="9"/>
        <v>693.96487000000002</v>
      </c>
      <c r="H18" s="19">
        <f t="shared" si="9"/>
        <v>691.79444799999999</v>
      </c>
      <c r="I18" s="19">
        <f t="shared" si="9"/>
        <v>715.84968900000001</v>
      </c>
      <c r="J18" s="19">
        <f t="shared" si="9"/>
        <v>0</v>
      </c>
      <c r="K18" s="19" t="e">
        <f t="shared" si="9"/>
        <v>#DIV/0!</v>
      </c>
      <c r="L18" s="19" t="e">
        <f t="shared" si="9"/>
        <v>#DIV/0!</v>
      </c>
      <c r="M18" s="19" t="e">
        <f t="shared" si="9"/>
        <v>#DIV/0!</v>
      </c>
      <c r="N18" s="19" t="e">
        <f t="shared" si="9"/>
        <v>#DIV/0!</v>
      </c>
    </row>
    <row r="19" spans="2:14" ht="25.5">
      <c r="B19" s="76" t="s">
        <v>282</v>
      </c>
      <c r="C19" s="77">
        <v>1168</v>
      </c>
      <c r="D19" s="77">
        <v>1013</v>
      </c>
      <c r="E19" s="77">
        <v>820</v>
      </c>
      <c r="F19" s="77">
        <v>590</v>
      </c>
      <c r="G19" s="77">
        <v>384.6</v>
      </c>
      <c r="H19" s="101">
        <v>476</v>
      </c>
      <c r="I19" s="101">
        <v>734.5</v>
      </c>
      <c r="J19" s="101"/>
      <c r="K19" s="101"/>
      <c r="L19" s="101"/>
      <c r="M19" s="101"/>
      <c r="N19" s="101"/>
    </row>
    <row r="20" spans="2:14" ht="25.5">
      <c r="B20" s="18" t="s">
        <v>283</v>
      </c>
      <c r="C20" s="22" t="e">
        <f>+C19/C40</f>
        <v>#DIV/0!</v>
      </c>
      <c r="D20" s="22">
        <f t="shared" ref="D20:N20" si="10">+D19/D40</f>
        <v>15.090573233226076</v>
      </c>
      <c r="E20" s="22">
        <f t="shared" si="10"/>
        <v>11.728024256986755</v>
      </c>
      <c r="F20" s="22">
        <f t="shared" si="10"/>
        <v>12.234318299637117</v>
      </c>
      <c r="G20" s="22">
        <f t="shared" si="10"/>
        <v>7.850581751377832</v>
      </c>
      <c r="H20" s="22">
        <f t="shared" si="10"/>
        <v>1.1519845111326234E-2</v>
      </c>
      <c r="I20" s="22">
        <f t="shared" si="10"/>
        <v>11.252048960583361</v>
      </c>
      <c r="J20" s="22" t="e">
        <f t="shared" si="10"/>
        <v>#DIV/0!</v>
      </c>
      <c r="K20" s="22" t="e">
        <f t="shared" si="10"/>
        <v>#DIV/0!</v>
      </c>
      <c r="L20" s="22" t="e">
        <f t="shared" si="10"/>
        <v>#DIV/0!</v>
      </c>
      <c r="M20" s="22" t="e">
        <f t="shared" si="10"/>
        <v>#DIV/0!</v>
      </c>
      <c r="N20" s="22" t="e">
        <f t="shared" si="10"/>
        <v>#DIV/0!</v>
      </c>
    </row>
    <row r="21" spans="2:14" ht="25.5">
      <c r="B21" s="18" t="s">
        <v>380</v>
      </c>
      <c r="C21" s="22" t="e">
        <f t="shared" ref="C21:N21" si="11">+C19/C18</f>
        <v>#DIV/0!</v>
      </c>
      <c r="D21" s="22">
        <f t="shared" si="11"/>
        <v>1.7120927260767025</v>
      </c>
      <c r="E21" s="22">
        <f t="shared" si="11"/>
        <v>1.3792169385494031</v>
      </c>
      <c r="F21" s="22">
        <f t="shared" si="11"/>
        <v>0.84999270166012375</v>
      </c>
      <c r="G21" s="22">
        <f t="shared" si="11"/>
        <v>0.55420672807256077</v>
      </c>
      <c r="H21" s="22">
        <f t="shared" si="11"/>
        <v>0.6880656550166474</v>
      </c>
      <c r="I21" s="22">
        <f t="shared" si="11"/>
        <v>1.0260533898199402</v>
      </c>
      <c r="J21" s="22" t="e">
        <f t="shared" si="11"/>
        <v>#DIV/0!</v>
      </c>
      <c r="K21" s="22" t="e">
        <f t="shared" si="11"/>
        <v>#DIV/0!</v>
      </c>
      <c r="L21" s="22" t="e">
        <f t="shared" si="11"/>
        <v>#DIV/0!</v>
      </c>
      <c r="M21" s="22" t="e">
        <f t="shared" si="11"/>
        <v>#DIV/0!</v>
      </c>
      <c r="N21" s="22" t="e">
        <f t="shared" si="11"/>
        <v>#DIV/0!</v>
      </c>
    </row>
    <row r="22" spans="2:14" ht="25.5">
      <c r="B22" s="18" t="s">
        <v>285</v>
      </c>
      <c r="C22" s="22" t="e">
        <f>+C20*C21</f>
        <v>#DIV/0!</v>
      </c>
      <c r="D22" s="22">
        <f t="shared" ref="D22:N22" si="12">+D20*D21</f>
        <v>25.836460664934151</v>
      </c>
      <c r="E22" s="22">
        <f t="shared" si="12"/>
        <v>16.175489710954409</v>
      </c>
      <c r="F22" s="22">
        <f t="shared" si="12"/>
        <v>10.399081264478445</v>
      </c>
      <c r="G22" s="22">
        <f t="shared" si="12"/>
        <v>4.3508452258972623</v>
      </c>
      <c r="H22" s="22">
        <f t="shared" si="12"/>
        <v>7.9264097722150078E-3</v>
      </c>
      <c r="I22" s="22">
        <f t="shared" si="12"/>
        <v>11.545202978426492</v>
      </c>
      <c r="J22" s="22" t="e">
        <f t="shared" si="12"/>
        <v>#DIV/0!</v>
      </c>
      <c r="K22" s="22" t="e">
        <f t="shared" si="12"/>
        <v>#DIV/0!</v>
      </c>
      <c r="L22" s="22" t="e">
        <f t="shared" si="12"/>
        <v>#DIV/0!</v>
      </c>
      <c r="M22" s="22" t="e">
        <f t="shared" si="12"/>
        <v>#DIV/0!</v>
      </c>
      <c r="N22" s="22" t="e">
        <f t="shared" si="12"/>
        <v>#DIV/0!</v>
      </c>
    </row>
    <row r="23" spans="2:14" ht="25.5">
      <c r="B23" s="23" t="s">
        <v>286</v>
      </c>
      <c r="C23" s="24" t="e">
        <f>IF(C41&lt;10%,0,IF(15%&lt;C41,2,1))</f>
        <v>#DIV/0!</v>
      </c>
      <c r="D23" s="24">
        <f>IF(D41&lt;10%,0,IF(15%&lt;D41,2,1))</f>
        <v>1</v>
      </c>
      <c r="E23" s="24">
        <f t="shared" ref="E23:N23" si="13">IF(E41&lt;10%,0,IF(15%&lt;E41,2,1))</f>
        <v>1</v>
      </c>
      <c r="F23" s="24">
        <f t="shared" si="13"/>
        <v>0</v>
      </c>
      <c r="G23" s="24">
        <f t="shared" si="13"/>
        <v>0</v>
      </c>
      <c r="H23" s="24">
        <f t="shared" si="13"/>
        <v>0</v>
      </c>
      <c r="I23" s="24">
        <f t="shared" si="13"/>
        <v>0</v>
      </c>
      <c r="J23" s="24" t="e">
        <f t="shared" si="13"/>
        <v>#DIV/0!</v>
      </c>
      <c r="K23" s="24" t="e">
        <f t="shared" si="13"/>
        <v>#DIV/0!</v>
      </c>
      <c r="L23" s="24" t="e">
        <f t="shared" si="13"/>
        <v>#DIV/0!</v>
      </c>
      <c r="M23" s="24" t="e">
        <f t="shared" si="13"/>
        <v>#DIV/0!</v>
      </c>
      <c r="N23" s="24" t="e">
        <f t="shared" si="13"/>
        <v>#DIV/0!</v>
      </c>
    </row>
    <row r="24" spans="2:14" ht="25.5">
      <c r="B24" s="23" t="s">
        <v>287</v>
      </c>
      <c r="C24" s="24" t="e">
        <f>IF(C41&lt;10%,1,IF(15%&lt;C41,2.5,2))</f>
        <v>#DIV/0!</v>
      </c>
      <c r="D24" s="24">
        <f t="shared" ref="D24:N24" si="14">IF(D41&lt;10%,1,IF(15%&lt;D41,2.5,2))</f>
        <v>2</v>
      </c>
      <c r="E24" s="24">
        <f t="shared" si="14"/>
        <v>2</v>
      </c>
      <c r="F24" s="24">
        <f t="shared" si="14"/>
        <v>1</v>
      </c>
      <c r="G24" s="24">
        <f t="shared" si="14"/>
        <v>1</v>
      </c>
      <c r="H24" s="24">
        <f t="shared" si="14"/>
        <v>1</v>
      </c>
      <c r="I24" s="24">
        <f t="shared" si="14"/>
        <v>1</v>
      </c>
      <c r="J24" s="24" t="e">
        <f t="shared" si="14"/>
        <v>#DIV/0!</v>
      </c>
      <c r="K24" s="24" t="e">
        <f t="shared" si="14"/>
        <v>#DIV/0!</v>
      </c>
      <c r="L24" s="24" t="e">
        <f t="shared" si="14"/>
        <v>#DIV/0!</v>
      </c>
      <c r="M24" s="24" t="e">
        <f t="shared" si="14"/>
        <v>#DIV/0!</v>
      </c>
      <c r="N24" s="24" t="e">
        <f t="shared" si="14"/>
        <v>#DIV/0!</v>
      </c>
    </row>
    <row r="25" spans="2:14" ht="25.5">
      <c r="B25" s="25" t="s">
        <v>288</v>
      </c>
      <c r="C25" s="26" t="e">
        <f t="shared" ref="C25:N25" si="15">+C23*C18</f>
        <v>#DIV/0!</v>
      </c>
      <c r="D25" s="26">
        <f t="shared" si="15"/>
        <v>591.67356099999995</v>
      </c>
      <c r="E25" s="26">
        <f t="shared" si="15"/>
        <v>594.54026199999998</v>
      </c>
      <c r="F25" s="26">
        <f t="shared" si="15"/>
        <v>0</v>
      </c>
      <c r="G25" s="26">
        <f t="shared" si="15"/>
        <v>0</v>
      </c>
      <c r="H25" s="26">
        <f t="shared" si="15"/>
        <v>0</v>
      </c>
      <c r="I25" s="26">
        <f t="shared" si="15"/>
        <v>0</v>
      </c>
      <c r="J25" s="26" t="e">
        <f t="shared" si="15"/>
        <v>#DIV/0!</v>
      </c>
      <c r="K25" s="26" t="e">
        <f t="shared" si="15"/>
        <v>#DIV/0!</v>
      </c>
      <c r="L25" s="26" t="e">
        <f t="shared" si="15"/>
        <v>#DIV/0!</v>
      </c>
      <c r="M25" s="26" t="e">
        <f t="shared" si="15"/>
        <v>#DIV/0!</v>
      </c>
      <c r="N25" s="26" t="e">
        <f t="shared" si="15"/>
        <v>#DIV/0!</v>
      </c>
    </row>
    <row r="26" spans="2:14" ht="25.5">
      <c r="B26" s="25" t="s">
        <v>289</v>
      </c>
      <c r="C26" s="26" t="e">
        <f>AVERAGE(C25,C27)</f>
        <v>#DIV/0!</v>
      </c>
      <c r="D26" s="26">
        <f t="shared" ref="D26:N26" si="16">AVERAGE(D25,D27)</f>
        <v>887.51034149999987</v>
      </c>
      <c r="E26" s="26">
        <f t="shared" si="16"/>
        <v>891.81039299999998</v>
      </c>
      <c r="F26" s="26">
        <f t="shared" si="16"/>
        <v>347.0618035</v>
      </c>
      <c r="G26" s="26">
        <f t="shared" si="16"/>
        <v>346.98243500000001</v>
      </c>
      <c r="H26" s="26">
        <f t="shared" si="16"/>
        <v>345.89722399999999</v>
      </c>
      <c r="I26" s="26">
        <f t="shared" si="16"/>
        <v>357.92484450000001</v>
      </c>
      <c r="J26" s="26" t="e">
        <f t="shared" si="16"/>
        <v>#DIV/0!</v>
      </c>
      <c r="K26" s="26" t="e">
        <f t="shared" si="16"/>
        <v>#DIV/0!</v>
      </c>
      <c r="L26" s="26" t="e">
        <f t="shared" si="16"/>
        <v>#DIV/0!</v>
      </c>
      <c r="M26" s="26" t="e">
        <f t="shared" si="16"/>
        <v>#DIV/0!</v>
      </c>
      <c r="N26" s="26" t="e">
        <f t="shared" si="16"/>
        <v>#DIV/0!</v>
      </c>
    </row>
    <row r="27" spans="2:14" ht="25.5">
      <c r="B27" s="25" t="s">
        <v>290</v>
      </c>
      <c r="C27" s="26" t="e">
        <f t="shared" ref="C27:N27" si="17">+C18*C24</f>
        <v>#DIV/0!</v>
      </c>
      <c r="D27" s="26">
        <f t="shared" si="17"/>
        <v>1183.3471219999999</v>
      </c>
      <c r="E27" s="26">
        <f t="shared" si="17"/>
        <v>1189.080524</v>
      </c>
      <c r="F27" s="26">
        <f t="shared" si="17"/>
        <v>694.12360699999999</v>
      </c>
      <c r="G27" s="26">
        <f t="shared" si="17"/>
        <v>693.96487000000002</v>
      </c>
      <c r="H27" s="26">
        <f t="shared" si="17"/>
        <v>691.79444799999999</v>
      </c>
      <c r="I27" s="26">
        <f t="shared" si="17"/>
        <v>715.84968900000001</v>
      </c>
      <c r="J27" s="26" t="e">
        <f t="shared" si="17"/>
        <v>#DIV/0!</v>
      </c>
      <c r="K27" s="26" t="e">
        <f t="shared" si="17"/>
        <v>#DIV/0!</v>
      </c>
      <c r="L27" s="26" t="e">
        <f t="shared" si="17"/>
        <v>#DIV/0!</v>
      </c>
      <c r="M27" s="26" t="e">
        <f t="shared" si="17"/>
        <v>#DIV/0!</v>
      </c>
      <c r="N27" s="26" t="e">
        <f t="shared" si="17"/>
        <v>#DIV/0!</v>
      </c>
    </row>
    <row r="29" spans="2:14" ht="25.5">
      <c r="B29" s="243" t="s">
        <v>291</v>
      </c>
      <c r="C29" s="81">
        <f t="shared" ref="C29:N29" si="18">C7-C12</f>
        <v>0</v>
      </c>
      <c r="D29" s="81">
        <f t="shared" si="18"/>
        <v>-73198546000</v>
      </c>
      <c r="E29" s="81">
        <f t="shared" si="18"/>
        <v>-43915103000</v>
      </c>
      <c r="F29" s="81">
        <f t="shared" si="18"/>
        <v>60016040000</v>
      </c>
      <c r="G29" s="81">
        <f t="shared" si="18"/>
        <v>35962949000</v>
      </c>
      <c r="H29" s="81">
        <f t="shared" si="18"/>
        <v>59432110000</v>
      </c>
      <c r="I29" s="81">
        <f t="shared" si="18"/>
        <v>-85853296000</v>
      </c>
      <c r="J29" s="81">
        <f t="shared" si="18"/>
        <v>0</v>
      </c>
      <c r="K29" s="81">
        <f t="shared" si="18"/>
        <v>0</v>
      </c>
      <c r="L29" s="81">
        <f t="shared" si="18"/>
        <v>0</v>
      </c>
      <c r="M29" s="81">
        <f t="shared" si="18"/>
        <v>0</v>
      </c>
      <c r="N29" s="81">
        <f t="shared" si="18"/>
        <v>0</v>
      </c>
    </row>
    <row r="30" spans="2:14" ht="25.5">
      <c r="B30" s="30" t="s">
        <v>149</v>
      </c>
      <c r="C30" s="241" t="e">
        <f t="shared" ref="C30:N30" si="19">C7/C12</f>
        <v>#DIV/0!</v>
      </c>
      <c r="D30" s="241">
        <f t="shared" si="19"/>
        <v>0.69868174803804883</v>
      </c>
      <c r="E30" s="241">
        <f t="shared" si="19"/>
        <v>0.81898761732704417</v>
      </c>
      <c r="F30" s="241">
        <f t="shared" si="19"/>
        <v>1.2445014326358304</v>
      </c>
      <c r="G30" s="241">
        <f t="shared" si="19"/>
        <v>1.1443501921763248</v>
      </c>
      <c r="H30" s="242">
        <f t="shared" si="19"/>
        <v>1.2229042766749731</v>
      </c>
      <c r="I30" s="242">
        <f t="shared" si="19"/>
        <v>0.76325106282128063</v>
      </c>
      <c r="J30" s="242" t="e">
        <f t="shared" si="19"/>
        <v>#DIV/0!</v>
      </c>
      <c r="K30" s="242" t="e">
        <f t="shared" si="19"/>
        <v>#DIV/0!</v>
      </c>
      <c r="L30" s="242" t="e">
        <f t="shared" si="19"/>
        <v>#DIV/0!</v>
      </c>
      <c r="M30" s="242" t="e">
        <f t="shared" si="19"/>
        <v>#DIV/0!</v>
      </c>
      <c r="N30" s="242" t="e">
        <f t="shared" si="19"/>
        <v>#DIV/0!</v>
      </c>
    </row>
    <row r="31" spans="2:14" ht="25.5">
      <c r="B31" s="30" t="s">
        <v>292</v>
      </c>
      <c r="C31" s="241" t="e">
        <f t="shared" ref="C31:N31" si="20">+(C7-C9)/C12</f>
        <v>#DIV/0!</v>
      </c>
      <c r="D31" s="241">
        <f t="shared" si="20"/>
        <v>0.6837127338227198</v>
      </c>
      <c r="E31" s="241">
        <f t="shared" si="20"/>
        <v>0.80328082041024806</v>
      </c>
      <c r="F31" s="241">
        <f t="shared" si="20"/>
        <v>1.2283892120610078</v>
      </c>
      <c r="G31" s="241">
        <f t="shared" si="20"/>
        <v>1.1235348914372467</v>
      </c>
      <c r="H31" s="241">
        <f t="shared" si="20"/>
        <v>1.1749324936817713</v>
      </c>
      <c r="I31" s="241">
        <f t="shared" si="20"/>
        <v>0.72791937639574822</v>
      </c>
      <c r="J31" s="241" t="e">
        <f t="shared" si="20"/>
        <v>#DIV/0!</v>
      </c>
      <c r="K31" s="241" t="e">
        <f t="shared" si="20"/>
        <v>#DIV/0!</v>
      </c>
      <c r="L31" s="241" t="e">
        <f t="shared" si="20"/>
        <v>#DIV/0!</v>
      </c>
      <c r="M31" s="241" t="e">
        <f t="shared" si="20"/>
        <v>#DIV/0!</v>
      </c>
      <c r="N31" s="241" t="e">
        <f t="shared" si="20"/>
        <v>#DIV/0!</v>
      </c>
    </row>
    <row r="32" spans="2:14" ht="25.5">
      <c r="B32" s="32" t="s">
        <v>153</v>
      </c>
      <c r="C32" s="33" t="e">
        <f t="shared" ref="C32:N32" si="21">C14/C11</f>
        <v>#DIV/0!</v>
      </c>
      <c r="D32" s="33">
        <f t="shared" si="21"/>
        <v>0.55995388477867458</v>
      </c>
      <c r="E32" s="33">
        <f t="shared" si="21"/>
        <v>0.57819151243583422</v>
      </c>
      <c r="F32" s="33">
        <f t="shared" si="21"/>
        <v>0.53963074705115488</v>
      </c>
      <c r="G32" s="33">
        <f t="shared" si="21"/>
        <v>0.55456857825062289</v>
      </c>
      <c r="H32" s="33">
        <f t="shared" si="21"/>
        <v>0.5812875108501866</v>
      </c>
      <c r="I32" s="33">
        <f t="shared" si="21"/>
        <v>0.57054013182081009</v>
      </c>
      <c r="J32" s="33" t="e">
        <f t="shared" si="21"/>
        <v>#DIV/0!</v>
      </c>
      <c r="K32" s="33" t="e">
        <f t="shared" si="21"/>
        <v>#DIV/0!</v>
      </c>
      <c r="L32" s="33" t="e">
        <f t="shared" si="21"/>
        <v>#DIV/0!</v>
      </c>
      <c r="M32" s="33" t="e">
        <f t="shared" si="21"/>
        <v>#DIV/0!</v>
      </c>
      <c r="N32" s="33" t="e">
        <f t="shared" si="21"/>
        <v>#DIV/0!</v>
      </c>
    </row>
    <row r="35" spans="2:14" ht="25.5">
      <c r="B35" s="35" t="s">
        <v>293</v>
      </c>
      <c r="C35" s="36">
        <f>+C113</f>
        <v>0</v>
      </c>
      <c r="D35" s="36">
        <f t="shared" ref="D35:N35" si="22">+D113</f>
        <v>530400417000</v>
      </c>
      <c r="E35" s="36">
        <f t="shared" si="22"/>
        <v>544679496000</v>
      </c>
      <c r="F35" s="36">
        <f t="shared" si="22"/>
        <v>478769061000</v>
      </c>
      <c r="G35" s="36">
        <f t="shared" si="22"/>
        <v>506458487000</v>
      </c>
      <c r="H35" s="36">
        <f t="shared" si="22"/>
        <v>580468054000</v>
      </c>
      <c r="I35" s="36">
        <f t="shared" si="22"/>
        <v>640855854000</v>
      </c>
      <c r="J35" s="36">
        <f t="shared" si="22"/>
        <v>0</v>
      </c>
      <c r="K35" s="36">
        <f t="shared" si="22"/>
        <v>0</v>
      </c>
      <c r="L35" s="36">
        <f t="shared" si="22"/>
        <v>0</v>
      </c>
      <c r="M35" s="36">
        <f t="shared" si="22"/>
        <v>0</v>
      </c>
      <c r="N35" s="36">
        <f t="shared" si="22"/>
        <v>0</v>
      </c>
    </row>
    <row r="36" spans="2:14" ht="25.5">
      <c r="B36" s="39" t="s">
        <v>156</v>
      </c>
      <c r="C36" s="40">
        <f>+C120</f>
        <v>0</v>
      </c>
      <c r="D36" s="40">
        <f t="shared" ref="D36:N36" si="23">+D120</f>
        <v>232116614000</v>
      </c>
      <c r="E36" s="40">
        <f t="shared" si="23"/>
        <v>237001835000</v>
      </c>
      <c r="F36" s="40">
        <f t="shared" si="23"/>
        <v>161453642000</v>
      </c>
      <c r="G36" s="40">
        <f t="shared" si="23"/>
        <v>195818196000</v>
      </c>
      <c r="H36" s="40">
        <f t="shared" si="23"/>
        <v>231809550000</v>
      </c>
      <c r="I36" s="40">
        <f t="shared" si="23"/>
        <v>254658395000</v>
      </c>
      <c r="J36" s="40">
        <f t="shared" si="23"/>
        <v>0</v>
      </c>
      <c r="K36" s="40">
        <f t="shared" si="23"/>
        <v>0</v>
      </c>
      <c r="L36" s="40">
        <f t="shared" si="23"/>
        <v>0</v>
      </c>
      <c r="M36" s="40">
        <f t="shared" si="23"/>
        <v>0</v>
      </c>
      <c r="N36" s="40">
        <f t="shared" si="23"/>
        <v>0</v>
      </c>
    </row>
    <row r="37" spans="2:14" ht="25.5">
      <c r="B37" s="35" t="s">
        <v>381</v>
      </c>
      <c r="C37" s="41" t="e">
        <f>C36/C35</f>
        <v>#DIV/0!</v>
      </c>
      <c r="D37" s="41">
        <f t="shared" ref="D37:N37" si="24">D36/D35</f>
        <v>0.43762524794545926</v>
      </c>
      <c r="E37" s="41">
        <f t="shared" si="24"/>
        <v>0.43512163894636491</v>
      </c>
      <c r="F37" s="41">
        <f t="shared" si="24"/>
        <v>0.33722655691822156</v>
      </c>
      <c r="G37" s="41">
        <f t="shared" si="24"/>
        <v>0.38664214545979164</v>
      </c>
      <c r="H37" s="41">
        <f t="shared" si="24"/>
        <v>0.39934936712296659</v>
      </c>
      <c r="I37" s="41">
        <f t="shared" si="24"/>
        <v>0.3973723473235215</v>
      </c>
      <c r="J37" s="41" t="e">
        <f t="shared" si="24"/>
        <v>#DIV/0!</v>
      </c>
      <c r="K37" s="41" t="e">
        <f t="shared" si="24"/>
        <v>#DIV/0!</v>
      </c>
      <c r="L37" s="41" t="e">
        <f t="shared" si="24"/>
        <v>#DIV/0!</v>
      </c>
      <c r="M37" s="41" t="e">
        <f t="shared" si="24"/>
        <v>#DIV/0!</v>
      </c>
      <c r="N37" s="41" t="e">
        <f t="shared" si="24"/>
        <v>#DIV/0!</v>
      </c>
    </row>
    <row r="38" spans="2:14" ht="25.5">
      <c r="B38" s="43" t="s">
        <v>295</v>
      </c>
      <c r="C38" s="44">
        <f>+C131</f>
        <v>0</v>
      </c>
      <c r="D38" s="44">
        <f t="shared" ref="D38:N38" si="25">+D131</f>
        <v>67127660000</v>
      </c>
      <c r="E38" s="44">
        <f t="shared" si="25"/>
        <v>69918238000</v>
      </c>
      <c r="F38" s="44">
        <f t="shared" si="25"/>
        <v>48225127000</v>
      </c>
      <c r="G38" s="44">
        <f t="shared" si="25"/>
        <v>48989722000</v>
      </c>
      <c r="H38" s="44">
        <f t="shared" si="25"/>
        <v>41320156000</v>
      </c>
      <c r="I38" s="44">
        <f t="shared" si="25"/>
        <v>65277259000</v>
      </c>
      <c r="J38" s="44">
        <f t="shared" si="25"/>
        <v>0</v>
      </c>
      <c r="K38" s="44">
        <f t="shared" si="25"/>
        <v>0</v>
      </c>
      <c r="L38" s="44">
        <f t="shared" si="25"/>
        <v>0</v>
      </c>
      <c r="M38" s="44">
        <f t="shared" si="25"/>
        <v>0</v>
      </c>
      <c r="N38" s="44">
        <f t="shared" si="25"/>
        <v>0</v>
      </c>
    </row>
    <row r="39" spans="2:14" ht="25.5">
      <c r="B39" s="30" t="s">
        <v>296</v>
      </c>
      <c r="C39" s="45" t="e">
        <f>C38/C35</f>
        <v>#DIV/0!</v>
      </c>
      <c r="D39" s="45">
        <f t="shared" ref="D39:N39" si="26">D38/D35</f>
        <v>0.12656034544558059</v>
      </c>
      <c r="E39" s="45">
        <f t="shared" si="26"/>
        <v>0.12836583442825247</v>
      </c>
      <c r="F39" s="45">
        <f t="shared" si="26"/>
        <v>0.10072732540250758</v>
      </c>
      <c r="G39" s="45">
        <f t="shared" si="26"/>
        <v>9.6729985294925075E-2</v>
      </c>
      <c r="H39" s="45">
        <f t="shared" si="26"/>
        <v>7.1184203360138754E-2</v>
      </c>
      <c r="I39" s="45">
        <f t="shared" si="26"/>
        <v>0.10185950333848398</v>
      </c>
      <c r="J39" s="45" t="e">
        <f t="shared" si="26"/>
        <v>#DIV/0!</v>
      </c>
      <c r="K39" s="45" t="e">
        <f t="shared" si="26"/>
        <v>#DIV/0!</v>
      </c>
      <c r="L39" s="45" t="e">
        <f t="shared" si="26"/>
        <v>#DIV/0!</v>
      </c>
      <c r="M39" s="45" t="e">
        <f t="shared" si="26"/>
        <v>#DIV/0!</v>
      </c>
      <c r="N39" s="45" t="e">
        <f t="shared" si="26"/>
        <v>#DIV/0!</v>
      </c>
    </row>
    <row r="40" spans="2:14" ht="25.5">
      <c r="B40" s="46" t="s">
        <v>159</v>
      </c>
      <c r="C40" s="121">
        <f>+C132</f>
        <v>0</v>
      </c>
      <c r="D40" s="121">
        <f t="shared" ref="D40:N40" si="27">+D132</f>
        <v>67.128</v>
      </c>
      <c r="E40" s="121">
        <f t="shared" si="27"/>
        <v>69.918000000000006</v>
      </c>
      <c r="F40" s="121">
        <f t="shared" si="27"/>
        <v>48.225000000000001</v>
      </c>
      <c r="G40" s="121">
        <f t="shared" si="27"/>
        <v>48.99</v>
      </c>
      <c r="H40" s="121">
        <f t="shared" si="27"/>
        <v>41320</v>
      </c>
      <c r="I40" s="121">
        <f t="shared" si="27"/>
        <v>65.277000000000001</v>
      </c>
      <c r="J40" s="121">
        <f t="shared" si="27"/>
        <v>0</v>
      </c>
      <c r="K40" s="121">
        <f t="shared" si="27"/>
        <v>0</v>
      </c>
      <c r="L40" s="121">
        <f t="shared" si="27"/>
        <v>0</v>
      </c>
      <c r="M40" s="121">
        <f t="shared" si="27"/>
        <v>0</v>
      </c>
      <c r="N40" s="121">
        <f t="shared" si="27"/>
        <v>0</v>
      </c>
    </row>
    <row r="41" spans="2:14" ht="25.5">
      <c r="B41" s="48" t="s">
        <v>160</v>
      </c>
      <c r="C41" s="49" t="e">
        <f t="shared" ref="C41:N41" si="28">C38/C15</f>
        <v>#DIV/0!</v>
      </c>
      <c r="D41" s="49">
        <f t="shared" si="28"/>
        <v>0.11345387799067128</v>
      </c>
      <c r="E41" s="49">
        <f t="shared" si="28"/>
        <v>0.11760050995503481</v>
      </c>
      <c r="F41" s="49">
        <f t="shared" si="28"/>
        <v>6.9476281333275561E-2</v>
      </c>
      <c r="G41" s="49">
        <f t="shared" si="28"/>
        <v>7.059395095892966E-2</v>
      </c>
      <c r="H41" s="49">
        <f t="shared" si="28"/>
        <v>5.9728950007416078E-2</v>
      </c>
      <c r="I41" s="49">
        <f t="shared" si="28"/>
        <v>9.1188499489590472E-2</v>
      </c>
      <c r="J41" s="49" t="e">
        <f t="shared" si="28"/>
        <v>#DIV/0!</v>
      </c>
      <c r="K41" s="49" t="e">
        <f t="shared" si="28"/>
        <v>#DIV/0!</v>
      </c>
      <c r="L41" s="49" t="e">
        <f t="shared" si="28"/>
        <v>#DIV/0!</v>
      </c>
      <c r="M41" s="49" t="e">
        <f t="shared" si="28"/>
        <v>#DIV/0!</v>
      </c>
      <c r="N41" s="49" t="e">
        <f t="shared" si="28"/>
        <v>#DIV/0!</v>
      </c>
    </row>
    <row r="42" spans="2:14" ht="25.5">
      <c r="B42" s="48" t="s">
        <v>382</v>
      </c>
      <c r="C42" s="49">
        <f>AVERAGE(G41:I41)</f>
        <v>7.3837133485312068E-2</v>
      </c>
      <c r="D42" s="49"/>
      <c r="E42" s="49"/>
      <c r="F42" s="49"/>
      <c r="G42" s="49"/>
      <c r="H42" s="49"/>
      <c r="I42" s="49"/>
      <c r="J42" s="49"/>
      <c r="K42" s="49"/>
      <c r="L42" s="49"/>
      <c r="M42" s="49"/>
      <c r="N42" s="49"/>
    </row>
    <row r="43" spans="2:14" ht="25.5">
      <c r="B43" s="48" t="s">
        <v>298</v>
      </c>
      <c r="C43" s="50">
        <f>+C144</f>
        <v>0</v>
      </c>
      <c r="D43" s="50">
        <f t="shared" ref="D43:N43" si="29">+D144</f>
        <v>107148735000</v>
      </c>
      <c r="E43" s="50">
        <f t="shared" si="29"/>
        <v>86675274000</v>
      </c>
      <c r="F43" s="50">
        <f t="shared" si="29"/>
        <v>34714227000</v>
      </c>
      <c r="G43" s="50">
        <f t="shared" si="29"/>
        <v>68354047000</v>
      </c>
      <c r="H43" s="50">
        <f t="shared" si="29"/>
        <v>79690554000</v>
      </c>
      <c r="I43" s="50">
        <f t="shared" si="29"/>
        <v>78277097000</v>
      </c>
      <c r="J43" s="50">
        <f t="shared" si="29"/>
        <v>0</v>
      </c>
      <c r="K43" s="50">
        <f t="shared" si="29"/>
        <v>0</v>
      </c>
      <c r="L43" s="50">
        <f t="shared" si="29"/>
        <v>0</v>
      </c>
      <c r="M43" s="50">
        <f t="shared" si="29"/>
        <v>0</v>
      </c>
      <c r="N43" s="50">
        <f t="shared" si="29"/>
        <v>0</v>
      </c>
    </row>
    <row r="44" spans="2:14" ht="25.5">
      <c r="B44" s="51" t="s">
        <v>119</v>
      </c>
      <c r="C44" s="51">
        <f>SUM(C46:C49)</f>
        <v>66.656000000000006</v>
      </c>
      <c r="D44" s="51">
        <f t="shared" ref="D44:F44" si="30">SUM(D46:D49)</f>
        <v>67.745000000000005</v>
      </c>
      <c r="E44" s="51">
        <f t="shared" si="30"/>
        <v>65.521999999999991</v>
      </c>
      <c r="F44" s="51">
        <f t="shared" si="30"/>
        <v>52.262</v>
      </c>
      <c r="G44" s="51">
        <f>SUM(G46:G49)</f>
        <v>52.319000000000003</v>
      </c>
      <c r="H44" s="51">
        <f>SUM(H46:H49)</f>
        <v>38.025999999999996</v>
      </c>
      <c r="I44" s="51">
        <f t="shared" ref="I44:N44" si="31">SUM(I46:I48)</f>
        <v>43.278999999999996</v>
      </c>
      <c r="J44" s="51">
        <f t="shared" si="31"/>
        <v>42.862000000000002</v>
      </c>
      <c r="K44" s="51">
        <f t="shared" si="31"/>
        <v>0</v>
      </c>
      <c r="L44" s="51">
        <f t="shared" si="31"/>
        <v>0</v>
      </c>
      <c r="M44" s="51">
        <f t="shared" si="31"/>
        <v>0</v>
      </c>
      <c r="N44" s="51">
        <f t="shared" si="31"/>
        <v>0</v>
      </c>
    </row>
    <row r="45" spans="2:14" ht="25.5">
      <c r="B45" s="51" t="s">
        <v>383</v>
      </c>
      <c r="C45" s="51">
        <f>+C46+C47</f>
        <v>21.035</v>
      </c>
      <c r="D45" s="51">
        <f t="shared" ref="D45:N45" si="32">+D46+D47</f>
        <v>21.035</v>
      </c>
      <c r="E45" s="51">
        <f t="shared" si="32"/>
        <v>21.655999999999999</v>
      </c>
      <c r="F45" s="51">
        <f t="shared" si="32"/>
        <v>52.262</v>
      </c>
      <c r="G45" s="51">
        <f t="shared" si="32"/>
        <v>20.041</v>
      </c>
      <c r="H45" s="51">
        <f t="shared" si="32"/>
        <v>38.025999999999996</v>
      </c>
      <c r="I45" s="51">
        <f t="shared" si="32"/>
        <v>43.278999999999996</v>
      </c>
      <c r="J45" s="51">
        <f t="shared" si="32"/>
        <v>42.862000000000002</v>
      </c>
      <c r="K45" s="51">
        <f t="shared" si="32"/>
        <v>0</v>
      </c>
      <c r="L45" s="51">
        <f t="shared" si="32"/>
        <v>0</v>
      </c>
      <c r="M45" s="51">
        <f t="shared" si="32"/>
        <v>0</v>
      </c>
      <c r="N45" s="51">
        <f t="shared" si="32"/>
        <v>0</v>
      </c>
    </row>
    <row r="46" spans="2:14" ht="18">
      <c r="B46" s="135" t="s">
        <v>121</v>
      </c>
      <c r="C46" s="94"/>
      <c r="D46" s="94"/>
      <c r="E46" s="94"/>
      <c r="F46" s="94"/>
      <c r="G46" s="94"/>
      <c r="H46" s="94">
        <v>20.491</v>
      </c>
      <c r="I46" s="155">
        <v>23.238</v>
      </c>
      <c r="J46" s="155">
        <v>42.862000000000002</v>
      </c>
      <c r="K46" s="155"/>
      <c r="L46" s="155"/>
      <c r="M46" s="155"/>
      <c r="N46" s="155"/>
    </row>
    <row r="47" spans="2:14" ht="18">
      <c r="B47" s="135" t="s">
        <v>122</v>
      </c>
      <c r="C47" s="94">
        <v>21.035</v>
      </c>
      <c r="D47" s="94">
        <v>21.035</v>
      </c>
      <c r="E47" s="94">
        <v>21.655999999999999</v>
      </c>
      <c r="F47" s="94">
        <f>30+22.262</f>
        <v>52.262</v>
      </c>
      <c r="G47" s="94">
        <v>20.041</v>
      </c>
      <c r="H47" s="94">
        <v>17.535</v>
      </c>
      <c r="I47" s="155">
        <v>20.041</v>
      </c>
      <c r="J47" s="155"/>
      <c r="K47" s="155"/>
      <c r="L47" s="155"/>
      <c r="M47" s="155"/>
      <c r="N47" s="155"/>
    </row>
    <row r="48" spans="2:14" ht="18">
      <c r="B48" s="135" t="s">
        <v>123</v>
      </c>
      <c r="C48" s="94">
        <v>45.621000000000002</v>
      </c>
      <c r="D48" s="94">
        <v>46.71</v>
      </c>
      <c r="E48" s="94">
        <v>43.866</v>
      </c>
      <c r="F48" s="94"/>
      <c r="G48" s="94">
        <v>14.645</v>
      </c>
      <c r="H48" s="94"/>
      <c r="I48" s="155"/>
      <c r="J48" s="155"/>
      <c r="K48" s="155"/>
      <c r="L48" s="155"/>
      <c r="M48" s="155"/>
      <c r="N48" s="155"/>
    </row>
    <row r="49" spans="2:16" ht="18">
      <c r="B49" s="135" t="s">
        <v>124</v>
      </c>
      <c r="C49" s="94"/>
      <c r="D49" s="94"/>
      <c r="E49" s="94"/>
      <c r="F49" s="94"/>
      <c r="G49" s="94">
        <v>17.632999999999999</v>
      </c>
      <c r="H49" s="94"/>
      <c r="I49" s="94"/>
      <c r="J49" s="94"/>
      <c r="K49" s="94"/>
      <c r="L49" s="94"/>
      <c r="M49" s="94"/>
      <c r="N49" s="94"/>
    </row>
    <row r="50" spans="2:16" ht="25.5">
      <c r="B50" s="541" t="s">
        <v>167</v>
      </c>
      <c r="C50" s="99" t="e">
        <f>(C47+C48+D46)/C40</f>
        <v>#DIV/0!</v>
      </c>
      <c r="D50" s="99">
        <f t="shared" ref="D50:N50" si="33">(D47+D48+E46)/D40</f>
        <v>1.0091913955428435</v>
      </c>
      <c r="E50" s="99">
        <f t="shared" si="33"/>
        <v>0.93712634800766592</v>
      </c>
      <c r="F50" s="99">
        <f t="shared" si="33"/>
        <v>1.0837117677553136</v>
      </c>
      <c r="G50" s="99">
        <f t="shared" si="33"/>
        <v>1.1262910798122066</v>
      </c>
      <c r="H50" s="99">
        <f t="shared" si="33"/>
        <v>9.8676185866408499E-4</v>
      </c>
      <c r="I50" s="99">
        <f t="shared" si="33"/>
        <v>0.96363190710357405</v>
      </c>
      <c r="J50" s="99" t="e">
        <f t="shared" si="33"/>
        <v>#DIV/0!</v>
      </c>
      <c r="K50" s="99" t="e">
        <f t="shared" si="33"/>
        <v>#DIV/0!</v>
      </c>
      <c r="L50" s="99" t="e">
        <f t="shared" si="33"/>
        <v>#DIV/0!</v>
      </c>
      <c r="M50" s="99" t="e">
        <f t="shared" si="33"/>
        <v>#DIV/0!</v>
      </c>
      <c r="N50" s="99" t="e">
        <f t="shared" si="33"/>
        <v>#DIV/0!</v>
      </c>
    </row>
    <row r="51" spans="2:16" ht="28.5">
      <c r="B51" s="540" t="s">
        <v>303</v>
      </c>
      <c r="C51" s="54">
        <f>AVERAGE(G50:I50)</f>
        <v>0.69696991625814819</v>
      </c>
      <c r="D51" s="54"/>
      <c r="E51" s="54"/>
      <c r="F51" s="54"/>
      <c r="G51" s="54"/>
      <c r="H51" s="54"/>
      <c r="I51" s="54"/>
      <c r="J51" s="54"/>
      <c r="K51" s="54"/>
      <c r="L51" s="54"/>
      <c r="M51" s="54"/>
      <c r="N51" s="54"/>
    </row>
    <row r="52" spans="2:16" ht="25.5">
      <c r="B52" s="541" t="s">
        <v>299</v>
      </c>
      <c r="C52" s="99">
        <f t="shared" ref="C52:N52" si="34">+C44/C19</f>
        <v>5.7068493150684935E-2</v>
      </c>
      <c r="D52" s="99">
        <f t="shared" si="34"/>
        <v>6.6875616979269498E-2</v>
      </c>
      <c r="E52" s="99">
        <f t="shared" si="34"/>
        <v>7.9904878048780478E-2</v>
      </c>
      <c r="F52" s="99">
        <f t="shared" si="34"/>
        <v>8.8579661016949154E-2</v>
      </c>
      <c r="G52" s="99">
        <f t="shared" si="34"/>
        <v>0.13603484139365574</v>
      </c>
      <c r="H52" s="99">
        <f t="shared" si="34"/>
        <v>7.9886554621848738E-2</v>
      </c>
      <c r="I52" s="99">
        <f t="shared" si="34"/>
        <v>5.8923076923076918E-2</v>
      </c>
      <c r="J52" s="99" t="e">
        <f t="shared" si="34"/>
        <v>#DIV/0!</v>
      </c>
      <c r="K52" s="99" t="e">
        <f t="shared" si="34"/>
        <v>#DIV/0!</v>
      </c>
      <c r="L52" s="99" t="e">
        <f t="shared" si="34"/>
        <v>#DIV/0!</v>
      </c>
      <c r="M52" s="99" t="e">
        <f t="shared" si="34"/>
        <v>#DIV/0!</v>
      </c>
      <c r="N52" s="99" t="e">
        <f t="shared" si="34"/>
        <v>#DIV/0!</v>
      </c>
    </row>
    <row r="53" spans="2:16" ht="25.5">
      <c r="B53" s="542" t="s">
        <v>384</v>
      </c>
      <c r="C53" s="534">
        <f>AVERAGE(G52:I52)</f>
        <v>9.1614824312860457E-2</v>
      </c>
      <c r="D53" s="534"/>
      <c r="E53" s="534"/>
      <c r="F53" s="534"/>
      <c r="G53" s="534"/>
      <c r="H53" s="534"/>
      <c r="I53" s="534"/>
      <c r="J53" s="534"/>
      <c r="K53" s="534"/>
      <c r="L53" s="534"/>
      <c r="M53" s="534"/>
      <c r="N53" s="534"/>
      <c r="O53" s="534"/>
      <c r="P53" s="534"/>
    </row>
    <row r="54" spans="2:16" ht="25.5">
      <c r="B54" s="543" t="s">
        <v>176</v>
      </c>
      <c r="C54" s="355" t="e">
        <f>+C41*(100%-C50)</f>
        <v>#DIV/0!</v>
      </c>
      <c r="D54" s="355">
        <f t="shared" ref="D54:N54" si="35">+D41*(100%-D50)</f>
        <v>-1.0427994684817706E-3</v>
      </c>
      <c r="E54" s="355">
        <f t="shared" si="35"/>
        <v>7.3939735370338782E-3</v>
      </c>
      <c r="F54" s="549">
        <f t="shared" si="35"/>
        <v>-5.8159823274739958E-3</v>
      </c>
      <c r="G54" s="355">
        <f t="shared" si="35"/>
        <v>-8.9153862948131817E-3</v>
      </c>
      <c r="H54" s="355">
        <f t="shared" si="35"/>
        <v>5.9670011757690704E-2</v>
      </c>
      <c r="I54" s="355">
        <f t="shared" si="35"/>
        <v>3.3163518205231168E-3</v>
      </c>
      <c r="J54" s="355" t="e">
        <f t="shared" si="35"/>
        <v>#DIV/0!</v>
      </c>
      <c r="K54" s="355" t="e">
        <f t="shared" si="35"/>
        <v>#DIV/0!</v>
      </c>
      <c r="L54" s="355" t="e">
        <f t="shared" si="35"/>
        <v>#DIV/0!</v>
      </c>
      <c r="M54" s="355" t="e">
        <f t="shared" si="35"/>
        <v>#DIV/0!</v>
      </c>
      <c r="N54" s="355" t="e">
        <f t="shared" si="35"/>
        <v>#DIV/0!</v>
      </c>
    </row>
    <row r="55" spans="2:16" ht="25.5">
      <c r="B55" s="542" t="s">
        <v>306</v>
      </c>
      <c r="C55" s="534">
        <f>AVERAGE(G54:I54)</f>
        <v>1.802365909446688E-2</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c r="D61" s="64">
        <v>169729141000</v>
      </c>
      <c r="E61" s="64">
        <v>198693178000</v>
      </c>
      <c r="F61" s="159">
        <v>305478978000</v>
      </c>
      <c r="G61" s="64">
        <v>285099777000</v>
      </c>
      <c r="H61" s="141">
        <v>326058264000</v>
      </c>
      <c r="I61" s="64">
        <v>276781050000</v>
      </c>
      <c r="J61" s="64"/>
      <c r="K61" s="64"/>
      <c r="L61" s="64"/>
      <c r="M61" s="64"/>
      <c r="N61" s="64"/>
    </row>
    <row r="62" spans="2:16">
      <c r="B62" s="59" t="s">
        <v>386</v>
      </c>
      <c r="C62" s="66"/>
      <c r="D62" s="66"/>
      <c r="E62" s="66"/>
      <c r="F62" s="66"/>
      <c r="G62" s="66"/>
      <c r="H62" s="160"/>
      <c r="I62" s="66"/>
      <c r="J62" s="66"/>
      <c r="K62" s="66"/>
      <c r="L62" s="66"/>
      <c r="M62" s="66"/>
      <c r="N62" s="66"/>
    </row>
    <row r="63" spans="2:16">
      <c r="B63" s="59" t="s">
        <v>387</v>
      </c>
      <c r="C63" s="66"/>
      <c r="D63" s="66"/>
      <c r="E63" s="66"/>
      <c r="F63" s="66"/>
      <c r="G63" s="66"/>
      <c r="H63" s="160"/>
      <c r="I63" s="66"/>
      <c r="J63" s="66"/>
      <c r="K63" s="66"/>
      <c r="L63" s="66"/>
      <c r="M63" s="66"/>
      <c r="N63" s="66"/>
    </row>
    <row r="64" spans="2:16">
      <c r="B64" s="59" t="s">
        <v>388</v>
      </c>
      <c r="C64" s="66"/>
      <c r="D64" s="66"/>
      <c r="E64" s="66"/>
      <c r="F64" s="66"/>
      <c r="G64" s="66"/>
      <c r="H64" s="160"/>
      <c r="I64" s="66"/>
      <c r="J64" s="66"/>
      <c r="K64" s="66"/>
      <c r="L64" s="66"/>
      <c r="M64" s="66"/>
      <c r="N64" s="66"/>
    </row>
    <row r="65" spans="2:14">
      <c r="B65" s="59" t="s">
        <v>389</v>
      </c>
      <c r="C65" s="66"/>
      <c r="D65" s="66">
        <v>116829372000</v>
      </c>
      <c r="E65" s="66">
        <v>115960086000</v>
      </c>
      <c r="F65" s="66">
        <v>87491240000</v>
      </c>
      <c r="G65" s="66">
        <v>101104669000</v>
      </c>
      <c r="H65" s="160">
        <v>122775410000</v>
      </c>
      <c r="I65" s="66">
        <v>132009297000</v>
      </c>
      <c r="J65" s="66"/>
      <c r="K65" s="66"/>
      <c r="L65" s="66"/>
      <c r="M65" s="66"/>
      <c r="N65" s="66"/>
    </row>
    <row r="66" spans="2:14">
      <c r="B66" s="59" t="s">
        <v>390</v>
      </c>
      <c r="C66" s="66"/>
      <c r="D66" s="66"/>
      <c r="E66" s="66"/>
      <c r="F66" s="66"/>
      <c r="G66" s="66"/>
      <c r="H66" s="160"/>
      <c r="I66" s="66"/>
      <c r="J66" s="66"/>
      <c r="K66" s="66"/>
      <c r="L66" s="66"/>
      <c r="M66" s="66"/>
      <c r="N66" s="66"/>
    </row>
    <row r="67" spans="2:14">
      <c r="B67" s="59" t="s">
        <v>391</v>
      </c>
      <c r="C67" s="161"/>
      <c r="D67" s="66">
        <v>3636388000</v>
      </c>
      <c r="E67" s="66">
        <v>3810599000</v>
      </c>
      <c r="F67" s="66">
        <v>3954953000</v>
      </c>
      <c r="G67" s="66">
        <v>5185858000</v>
      </c>
      <c r="H67" s="160">
        <v>12790532000</v>
      </c>
      <c r="I67" s="66">
        <v>12812483000</v>
      </c>
      <c r="J67" s="66"/>
      <c r="K67" s="66"/>
      <c r="L67" s="66"/>
      <c r="M67" s="66"/>
      <c r="N67" s="66"/>
    </row>
    <row r="68" spans="2:14">
      <c r="B68" s="59" t="s">
        <v>392</v>
      </c>
      <c r="C68" s="66"/>
      <c r="D68" s="66"/>
      <c r="E68" s="66"/>
      <c r="F68" s="66"/>
      <c r="G68" s="66"/>
      <c r="H68" s="160"/>
      <c r="I68" s="66"/>
      <c r="J68" s="66"/>
      <c r="K68" s="66"/>
      <c r="L68" s="66"/>
      <c r="M68" s="66"/>
      <c r="N68" s="66"/>
    </row>
    <row r="69" spans="2:14">
      <c r="B69" s="59" t="s">
        <v>318</v>
      </c>
      <c r="C69" s="66">
        <f t="shared" ref="C69:N69" si="36">+C61-C62-C67-C68-C66-C65-C64-C63</f>
        <v>0</v>
      </c>
      <c r="D69" s="66">
        <f t="shared" si="36"/>
        <v>49263381000</v>
      </c>
      <c r="E69" s="66">
        <f t="shared" si="36"/>
        <v>78922493000</v>
      </c>
      <c r="F69" s="66">
        <f t="shared" si="36"/>
        <v>214032785000</v>
      </c>
      <c r="G69" s="66">
        <f t="shared" si="36"/>
        <v>178809250000</v>
      </c>
      <c r="H69" s="66">
        <f t="shared" si="36"/>
        <v>190492322000</v>
      </c>
      <c r="I69" s="66">
        <f t="shared" si="36"/>
        <v>131959270000</v>
      </c>
      <c r="J69" s="66">
        <f t="shared" si="36"/>
        <v>0</v>
      </c>
      <c r="K69" s="66">
        <f t="shared" si="36"/>
        <v>0</v>
      </c>
      <c r="L69" s="66">
        <f t="shared" si="36"/>
        <v>0</v>
      </c>
      <c r="M69" s="66">
        <f t="shared" si="36"/>
        <v>0</v>
      </c>
      <c r="N69" s="66">
        <f t="shared" si="36"/>
        <v>0</v>
      </c>
    </row>
    <row r="70" spans="2:14">
      <c r="B70" s="58" t="s">
        <v>319</v>
      </c>
      <c r="C70" s="64"/>
      <c r="D70" s="64">
        <v>2008908565000</v>
      </c>
      <c r="E70" s="64">
        <v>2075152748000</v>
      </c>
      <c r="F70" s="159">
        <v>2113551778000</v>
      </c>
      <c r="G70" s="64">
        <v>2216722469000</v>
      </c>
      <c r="H70" s="141">
        <v>2325871931000</v>
      </c>
      <c r="I70" s="64">
        <v>2419695021000</v>
      </c>
      <c r="J70" s="64"/>
      <c r="K70" s="64"/>
      <c r="L70" s="64"/>
      <c r="M70" s="64"/>
      <c r="N70" s="64"/>
    </row>
    <row r="71" spans="2:14">
      <c r="B71" s="59" t="s">
        <v>393</v>
      </c>
      <c r="C71" s="66"/>
      <c r="D71" s="66"/>
      <c r="E71" s="66"/>
      <c r="F71" s="66"/>
      <c r="G71" s="66"/>
      <c r="H71" s="160"/>
      <c r="I71" s="66"/>
      <c r="J71" s="66"/>
      <c r="K71" s="66"/>
      <c r="L71" s="66"/>
      <c r="M71" s="66"/>
      <c r="N71" s="66"/>
    </row>
    <row r="72" spans="2:14">
      <c r="B72" s="59" t="s">
        <v>394</v>
      </c>
      <c r="C72" s="66"/>
      <c r="D72" s="66"/>
      <c r="E72" s="66"/>
      <c r="F72" s="66"/>
      <c r="G72" s="66"/>
      <c r="H72" s="160"/>
      <c r="I72" s="66"/>
      <c r="J72" s="66"/>
      <c r="K72" s="66"/>
      <c r="L72" s="66"/>
      <c r="M72" s="66"/>
      <c r="N72" s="66"/>
    </row>
    <row r="73" spans="2:14">
      <c r="B73" s="59" t="s">
        <v>590</v>
      </c>
      <c r="C73" s="66"/>
      <c r="D73" s="66"/>
      <c r="E73" s="66"/>
      <c r="F73" s="66"/>
      <c r="G73" s="66"/>
      <c r="H73" s="160"/>
      <c r="I73" s="66"/>
      <c r="J73" s="66"/>
      <c r="K73" s="66"/>
      <c r="L73" s="66"/>
      <c r="M73" s="66"/>
      <c r="N73" s="66"/>
    </row>
    <row r="74" spans="2:14">
      <c r="B74" s="59" t="s">
        <v>396</v>
      </c>
      <c r="C74" s="66"/>
      <c r="D74" s="66"/>
      <c r="E74" s="66"/>
      <c r="F74" s="66"/>
      <c r="G74" s="66"/>
      <c r="H74" s="160"/>
      <c r="I74" s="66"/>
      <c r="J74" s="66"/>
      <c r="K74" s="66"/>
      <c r="L74" s="66"/>
      <c r="M74" s="66"/>
      <c r="N74" s="66"/>
    </row>
    <row r="75" spans="2:14">
      <c r="B75" s="59" t="s">
        <v>397</v>
      </c>
      <c r="C75" s="66"/>
      <c r="D75" s="66"/>
      <c r="E75" s="66"/>
      <c r="F75" s="66"/>
      <c r="G75" s="66"/>
      <c r="H75" s="160"/>
      <c r="I75" s="66"/>
      <c r="J75" s="66"/>
      <c r="K75" s="66"/>
      <c r="L75" s="66"/>
      <c r="M75" s="66"/>
      <c r="N75" s="66"/>
    </row>
    <row r="76" spans="2:14">
      <c r="B76" s="59" t="s">
        <v>398</v>
      </c>
      <c r="C76" s="66"/>
      <c r="D76" s="66">
        <v>1440115150000</v>
      </c>
      <c r="E76" s="66">
        <v>1499113991000</v>
      </c>
      <c r="F76" s="66">
        <v>1568199192000</v>
      </c>
      <c r="G76" s="66">
        <v>1660159453000</v>
      </c>
      <c r="H76" s="160">
        <v>1713897351000</v>
      </c>
      <c r="I76" s="66">
        <v>1805370932000</v>
      </c>
      <c r="J76" s="66"/>
      <c r="K76" s="66"/>
      <c r="L76" s="66"/>
      <c r="M76" s="66"/>
      <c r="N76" s="66"/>
    </row>
    <row r="77" spans="2:14">
      <c r="B77" s="59" t="s">
        <v>399</v>
      </c>
      <c r="C77" s="66"/>
      <c r="D77" s="66"/>
      <c r="E77" s="66"/>
      <c r="F77" s="66"/>
      <c r="G77" s="66"/>
      <c r="H77" s="160"/>
      <c r="I77" s="66"/>
      <c r="J77" s="66"/>
      <c r="K77" s="66"/>
      <c r="L77" s="66"/>
      <c r="M77" s="66"/>
      <c r="N77" s="66"/>
    </row>
    <row r="78" spans="2:14">
      <c r="B78" s="59" t="s">
        <v>400</v>
      </c>
      <c r="C78" s="66"/>
      <c r="D78" s="66"/>
      <c r="E78" s="66"/>
      <c r="F78" s="161"/>
      <c r="G78" s="66"/>
      <c r="H78" s="160"/>
      <c r="I78" s="66"/>
      <c r="J78" s="66"/>
      <c r="K78" s="66"/>
      <c r="L78" s="66"/>
      <c r="M78" s="66"/>
      <c r="N78" s="66"/>
    </row>
    <row r="79" spans="2:14">
      <c r="B79" s="59" t="s">
        <v>401</v>
      </c>
      <c r="C79" s="66"/>
      <c r="D79" s="66"/>
      <c r="E79" s="66"/>
      <c r="F79" s="66"/>
      <c r="G79" s="66"/>
      <c r="H79" s="160"/>
      <c r="I79" s="66"/>
      <c r="J79" s="66"/>
      <c r="K79" s="66"/>
      <c r="L79" s="66"/>
      <c r="M79" s="66"/>
      <c r="N79" s="66"/>
    </row>
    <row r="80" spans="2:14">
      <c r="B80" s="59" t="s">
        <v>328</v>
      </c>
      <c r="C80" s="66">
        <f t="shared" ref="C80:H80" si="37">+C70-C77-C78-C76-C71-C79-C75-C74-C73-C72</f>
        <v>0</v>
      </c>
      <c r="D80" s="66">
        <f t="shared" si="37"/>
        <v>568793415000</v>
      </c>
      <c r="E80" s="66">
        <f t="shared" si="37"/>
        <v>576038757000</v>
      </c>
      <c r="F80" s="66">
        <f t="shared" si="37"/>
        <v>545352586000</v>
      </c>
      <c r="G80" s="66">
        <f t="shared" si="37"/>
        <v>556563016000</v>
      </c>
      <c r="H80" s="66">
        <f t="shared" si="37"/>
        <v>611974580000</v>
      </c>
      <c r="I80" s="66">
        <f t="shared" ref="I80:N80" si="38">+I70-I77-I78-I76-I71-I79-I75-I74-I73-I72</f>
        <v>614324089000</v>
      </c>
      <c r="J80" s="66">
        <f t="shared" si="38"/>
        <v>0</v>
      </c>
      <c r="K80" s="66">
        <f t="shared" si="38"/>
        <v>0</v>
      </c>
      <c r="L80" s="66">
        <f t="shared" si="38"/>
        <v>0</v>
      </c>
      <c r="M80" s="66">
        <f t="shared" si="38"/>
        <v>0</v>
      </c>
      <c r="N80" s="66">
        <f t="shared" si="38"/>
        <v>0</v>
      </c>
    </row>
    <row r="81" spans="2:14" ht="14.65" thickBot="1">
      <c r="B81" s="60" t="s">
        <v>329</v>
      </c>
      <c r="C81" s="70">
        <f t="shared" ref="C81:H81" si="39">+C70+C61</f>
        <v>0</v>
      </c>
      <c r="D81" s="70">
        <f t="shared" si="39"/>
        <v>2178637706000</v>
      </c>
      <c r="E81" s="70">
        <f t="shared" si="39"/>
        <v>2273845926000</v>
      </c>
      <c r="F81" s="70">
        <f t="shared" si="39"/>
        <v>2419030756000</v>
      </c>
      <c r="G81" s="70">
        <f t="shared" si="39"/>
        <v>2501822246000</v>
      </c>
      <c r="H81" s="162">
        <f t="shared" si="39"/>
        <v>2651930195000</v>
      </c>
      <c r="I81" s="162">
        <f t="shared" ref="I81:N81" si="40">+I70+I61</f>
        <v>2696476071000</v>
      </c>
      <c r="J81" s="162">
        <f t="shared" si="40"/>
        <v>0</v>
      </c>
      <c r="K81" s="162">
        <f t="shared" si="40"/>
        <v>0</v>
      </c>
      <c r="L81" s="162">
        <f t="shared" si="40"/>
        <v>0</v>
      </c>
      <c r="M81" s="162">
        <f t="shared" si="40"/>
        <v>0</v>
      </c>
      <c r="N81" s="162">
        <f t="shared" si="40"/>
        <v>0</v>
      </c>
    </row>
    <row r="82" spans="2:14" ht="14.65" thickBot="1">
      <c r="B82" s="61"/>
      <c r="C82" s="72"/>
      <c r="D82" s="72"/>
      <c r="E82" s="72"/>
      <c r="F82" s="72"/>
      <c r="G82" s="72"/>
      <c r="H82" s="163"/>
      <c r="I82" s="72"/>
      <c r="J82" s="72"/>
      <c r="K82" s="72"/>
      <c r="L82" s="72"/>
      <c r="M82" s="72"/>
      <c r="N82" s="72"/>
    </row>
    <row r="83" spans="2:14">
      <c r="B83" s="57" t="s">
        <v>330</v>
      </c>
      <c r="C83" s="62"/>
      <c r="D83" s="62"/>
      <c r="E83" s="62"/>
      <c r="F83" s="62"/>
      <c r="G83" s="62"/>
      <c r="H83" s="164"/>
      <c r="I83" s="62"/>
      <c r="J83" s="62"/>
      <c r="K83" s="62"/>
      <c r="L83" s="62"/>
      <c r="M83" s="62"/>
      <c r="N83" s="62"/>
    </row>
    <row r="84" spans="2:14">
      <c r="B84" s="58" t="s">
        <v>310</v>
      </c>
      <c r="C84" s="64"/>
      <c r="D84" s="64">
        <v>242927687000</v>
      </c>
      <c r="E84" s="64">
        <v>242608281000</v>
      </c>
      <c r="F84" s="64">
        <v>245462938000</v>
      </c>
      <c r="G84" s="64">
        <v>249136828000</v>
      </c>
      <c r="H84" s="141">
        <v>266626154000</v>
      </c>
      <c r="I84" s="64">
        <v>362634346000</v>
      </c>
      <c r="J84" s="64"/>
      <c r="K84" s="64"/>
      <c r="L84" s="64"/>
      <c r="M84" s="64"/>
      <c r="N84" s="64"/>
    </row>
    <row r="85" spans="2:14">
      <c r="B85" s="59" t="s">
        <v>402</v>
      </c>
      <c r="C85" s="66"/>
      <c r="D85" s="66"/>
      <c r="E85" s="66"/>
      <c r="F85" s="66">
        <v>71064294000</v>
      </c>
      <c r="G85" s="66">
        <v>69023789000</v>
      </c>
      <c r="H85" s="160">
        <v>74347139000</v>
      </c>
      <c r="I85" s="66">
        <v>155416801000</v>
      </c>
      <c r="J85" s="66"/>
      <c r="K85" s="66"/>
      <c r="L85" s="66"/>
      <c r="M85" s="66"/>
      <c r="N85" s="66"/>
    </row>
    <row r="86" spans="2:14">
      <c r="B86" s="59" t="s">
        <v>403</v>
      </c>
      <c r="C86" s="66"/>
      <c r="D86" s="66"/>
      <c r="E86" s="66"/>
      <c r="F86" s="66"/>
      <c r="G86" s="66"/>
      <c r="H86" s="160"/>
      <c r="I86" s="66"/>
      <c r="J86" s="66"/>
      <c r="K86" s="66"/>
      <c r="L86" s="66"/>
      <c r="M86" s="66"/>
      <c r="N86" s="66"/>
    </row>
    <row r="87" spans="2:14">
      <c r="B87" s="59" t="s">
        <v>404</v>
      </c>
      <c r="C87" s="66"/>
      <c r="D87" s="66"/>
      <c r="E87" s="66"/>
      <c r="F87" s="66"/>
      <c r="G87" s="66"/>
      <c r="H87" s="160"/>
      <c r="I87" s="66"/>
      <c r="J87" s="66"/>
      <c r="K87" s="66"/>
      <c r="L87" s="66"/>
      <c r="M87" s="66"/>
      <c r="N87" s="66"/>
    </row>
    <row r="88" spans="2:14">
      <c r="B88" s="59" t="s">
        <v>405</v>
      </c>
      <c r="C88" s="66"/>
      <c r="D88" s="66">
        <v>148136578000</v>
      </c>
      <c r="E88" s="66">
        <v>143795399000</v>
      </c>
      <c r="F88" s="66">
        <v>98944804000</v>
      </c>
      <c r="G88" s="66">
        <v>127124811000</v>
      </c>
      <c r="H88" s="160">
        <v>138730009000</v>
      </c>
      <c r="I88" s="66">
        <v>177869738000</v>
      </c>
      <c r="J88" s="66"/>
      <c r="K88" s="66"/>
      <c r="L88" s="66"/>
      <c r="M88" s="66"/>
      <c r="N88" s="66"/>
    </row>
    <row r="89" spans="2:14">
      <c r="B89" s="59" t="s">
        <v>406</v>
      </c>
      <c r="C89" s="66"/>
      <c r="D89" s="66"/>
      <c r="E89" s="66"/>
      <c r="F89" s="66"/>
      <c r="G89" s="66"/>
      <c r="H89" s="160"/>
      <c r="I89" s="66"/>
      <c r="J89" s="66"/>
      <c r="K89" s="66"/>
      <c r="L89" s="66"/>
      <c r="M89" s="66"/>
      <c r="N89" s="66"/>
    </row>
    <row r="90" spans="2:14">
      <c r="B90" s="59" t="s">
        <v>407</v>
      </c>
      <c r="C90" s="66"/>
      <c r="D90" s="66"/>
      <c r="E90" s="66"/>
      <c r="F90" s="66"/>
      <c r="G90" s="66"/>
      <c r="H90" s="160"/>
      <c r="I90" s="66"/>
      <c r="J90" s="66"/>
      <c r="K90" s="66"/>
      <c r="L90" s="66"/>
      <c r="M90" s="66"/>
      <c r="N90" s="66"/>
    </row>
    <row r="91" spans="2:14">
      <c r="B91" s="59" t="s">
        <v>408</v>
      </c>
      <c r="C91" s="66"/>
      <c r="D91" s="66"/>
      <c r="E91" s="66"/>
      <c r="F91" s="66"/>
      <c r="G91" s="66"/>
      <c r="H91" s="160"/>
      <c r="I91" s="66"/>
      <c r="J91" s="66"/>
      <c r="K91" s="66"/>
      <c r="L91" s="66"/>
      <c r="M91" s="66"/>
      <c r="N91" s="66"/>
    </row>
    <row r="92" spans="2:14">
      <c r="B92" s="59" t="s">
        <v>409</v>
      </c>
      <c r="C92" s="66"/>
      <c r="D92" s="66"/>
      <c r="E92" s="66"/>
      <c r="F92" s="66"/>
      <c r="G92" s="66"/>
      <c r="H92" s="160"/>
      <c r="I92" s="66"/>
      <c r="J92" s="66"/>
      <c r="K92" s="66"/>
      <c r="L92" s="66"/>
      <c r="M92" s="66"/>
      <c r="N92" s="66"/>
    </row>
    <row r="93" spans="2:14">
      <c r="B93" s="59" t="s">
        <v>410</v>
      </c>
      <c r="C93" s="66">
        <f t="shared" ref="C93:H93" si="41">+C84-C85-C91-C92-C90-C89-C88-C87-C86</f>
        <v>0</v>
      </c>
      <c r="D93" s="66">
        <f t="shared" si="41"/>
        <v>94791109000</v>
      </c>
      <c r="E93" s="66">
        <f t="shared" si="41"/>
        <v>98812882000</v>
      </c>
      <c r="F93" s="66">
        <f t="shared" si="41"/>
        <v>75453840000</v>
      </c>
      <c r="G93" s="66">
        <f t="shared" si="41"/>
        <v>52988228000</v>
      </c>
      <c r="H93" s="66">
        <f t="shared" si="41"/>
        <v>53549006000</v>
      </c>
      <c r="I93" s="66">
        <f t="shared" ref="I93:N93" si="42">+I84-I85-I91-I92-I90-I89-I88-I87-I86</f>
        <v>29347807000</v>
      </c>
      <c r="J93" s="66">
        <f t="shared" si="42"/>
        <v>0</v>
      </c>
      <c r="K93" s="66">
        <f t="shared" si="42"/>
        <v>0</v>
      </c>
      <c r="L93" s="66">
        <f t="shared" si="42"/>
        <v>0</v>
      </c>
      <c r="M93" s="66">
        <f t="shared" si="42"/>
        <v>0</v>
      </c>
      <c r="N93" s="66">
        <f t="shared" si="42"/>
        <v>0</v>
      </c>
    </row>
    <row r="94" spans="2:14">
      <c r="B94" s="58" t="s">
        <v>319</v>
      </c>
      <c r="C94" s="64"/>
      <c r="D94" s="64">
        <v>977008960000</v>
      </c>
      <c r="E94" s="64">
        <v>1072110134000</v>
      </c>
      <c r="F94" s="64">
        <v>1059920436000</v>
      </c>
      <c r="G94" s="64">
        <v>1138295178000</v>
      </c>
      <c r="H94" s="141">
        <v>1274907748000</v>
      </c>
      <c r="I94" s="141">
        <v>1175813467000</v>
      </c>
      <c r="J94" s="141"/>
      <c r="K94" s="141"/>
      <c r="L94" s="141"/>
      <c r="M94" s="141"/>
      <c r="N94" s="141"/>
    </row>
    <row r="95" spans="2:14">
      <c r="B95" s="59" t="s">
        <v>411</v>
      </c>
      <c r="C95" s="66"/>
      <c r="D95" s="66"/>
      <c r="E95" s="66"/>
      <c r="F95" s="66"/>
      <c r="G95" s="66"/>
      <c r="H95" s="160"/>
      <c r="I95" s="160"/>
      <c r="J95" s="160"/>
      <c r="K95" s="160"/>
      <c r="L95" s="160"/>
      <c r="M95" s="160"/>
      <c r="N95" s="160"/>
    </row>
    <row r="96" spans="2:14">
      <c r="B96" s="59" t="s">
        <v>412</v>
      </c>
      <c r="C96" s="66"/>
      <c r="D96" s="66"/>
      <c r="E96" s="66"/>
      <c r="F96" s="66"/>
      <c r="G96" s="66"/>
      <c r="H96" s="160"/>
      <c r="I96" s="160"/>
      <c r="J96" s="160"/>
      <c r="K96" s="160"/>
      <c r="L96" s="160"/>
      <c r="M96" s="160"/>
      <c r="N96" s="160"/>
    </row>
    <row r="97" spans="2:14">
      <c r="B97" s="59" t="s">
        <v>413</v>
      </c>
      <c r="C97" s="66"/>
      <c r="D97" s="66"/>
      <c r="E97" s="66"/>
      <c r="F97" s="66"/>
      <c r="G97" s="66"/>
      <c r="H97" s="160"/>
      <c r="I97" s="160"/>
      <c r="J97" s="160"/>
      <c r="K97" s="160"/>
      <c r="L97" s="160"/>
      <c r="M97" s="160"/>
      <c r="N97" s="160"/>
    </row>
    <row r="98" spans="2:14">
      <c r="B98" s="59" t="s">
        <v>414</v>
      </c>
      <c r="C98" s="66"/>
      <c r="D98" s="66"/>
      <c r="E98" s="66"/>
      <c r="F98" s="66"/>
      <c r="G98" s="66"/>
      <c r="H98" s="160"/>
      <c r="I98" s="160"/>
      <c r="J98" s="160"/>
      <c r="K98" s="160"/>
      <c r="L98" s="160"/>
      <c r="M98" s="160"/>
      <c r="N98" s="160"/>
    </row>
    <row r="99" spans="2:14">
      <c r="B99" s="59" t="s">
        <v>341</v>
      </c>
      <c r="C99" s="66">
        <f t="shared" ref="C99:H99" si="43">+C94-C95-C97-C98-C96</f>
        <v>0</v>
      </c>
      <c r="D99" s="66">
        <f t="shared" si="43"/>
        <v>977008960000</v>
      </c>
      <c r="E99" s="66">
        <f t="shared" si="43"/>
        <v>1072110134000</v>
      </c>
      <c r="F99" s="66">
        <f t="shared" si="43"/>
        <v>1059920436000</v>
      </c>
      <c r="G99" s="66">
        <f t="shared" si="43"/>
        <v>1138295178000</v>
      </c>
      <c r="H99" s="66">
        <f t="shared" si="43"/>
        <v>1274907748000</v>
      </c>
      <c r="I99" s="66">
        <f t="shared" ref="I99:N99" si="44">+I94-I95-I97-I98-I96</f>
        <v>1175813467000</v>
      </c>
      <c r="J99" s="66">
        <f t="shared" si="44"/>
        <v>0</v>
      </c>
      <c r="K99" s="66">
        <f t="shared" si="44"/>
        <v>0</v>
      </c>
      <c r="L99" s="66">
        <f t="shared" si="44"/>
        <v>0</v>
      </c>
      <c r="M99" s="66">
        <f t="shared" si="44"/>
        <v>0</v>
      </c>
      <c r="N99" s="66">
        <f t="shared" si="44"/>
        <v>0</v>
      </c>
    </row>
    <row r="100" spans="2:14" ht="14.65" thickBot="1">
      <c r="B100" s="60" t="s">
        <v>342</v>
      </c>
      <c r="C100" s="70">
        <f t="shared" ref="C100:H100" si="45">+C94+C84</f>
        <v>0</v>
      </c>
      <c r="D100" s="70">
        <f t="shared" si="45"/>
        <v>1219936647000</v>
      </c>
      <c r="E100" s="70">
        <f t="shared" si="45"/>
        <v>1314718415000</v>
      </c>
      <c r="F100" s="70">
        <f t="shared" si="45"/>
        <v>1305383374000</v>
      </c>
      <c r="G100" s="70">
        <f t="shared" si="45"/>
        <v>1387432006000</v>
      </c>
      <c r="H100" s="162">
        <f t="shared" si="45"/>
        <v>1541533902000</v>
      </c>
      <c r="I100" s="162">
        <f t="shared" ref="I100:N100" si="46">+I94+I84</f>
        <v>1538447813000</v>
      </c>
      <c r="J100" s="162">
        <f t="shared" si="46"/>
        <v>0</v>
      </c>
      <c r="K100" s="162">
        <f t="shared" si="46"/>
        <v>0</v>
      </c>
      <c r="L100" s="162">
        <f t="shared" si="46"/>
        <v>0</v>
      </c>
      <c r="M100" s="162">
        <f t="shared" si="46"/>
        <v>0</v>
      </c>
      <c r="N100" s="162">
        <f t="shared" si="46"/>
        <v>0</v>
      </c>
    </row>
    <row r="101" spans="2:14" ht="14.65" thickBot="1">
      <c r="B101" s="61"/>
      <c r="C101" s="61"/>
      <c r="D101" s="61"/>
      <c r="E101" s="61"/>
      <c r="F101" s="61"/>
      <c r="G101" s="61"/>
      <c r="H101" s="61"/>
      <c r="I101" s="61"/>
      <c r="J101" s="61"/>
      <c r="K101" s="61"/>
      <c r="L101" s="61"/>
      <c r="M101" s="61"/>
      <c r="N101" s="61"/>
    </row>
    <row r="102" spans="2:14">
      <c r="B102" s="57" t="s">
        <v>343</v>
      </c>
      <c r="C102" s="62"/>
      <c r="D102" s="62"/>
      <c r="E102" s="62"/>
      <c r="F102" s="62"/>
      <c r="G102" s="62"/>
      <c r="H102" s="164"/>
      <c r="I102" s="62"/>
      <c r="J102" s="62"/>
      <c r="K102" s="62"/>
      <c r="L102" s="62"/>
      <c r="M102" s="62"/>
      <c r="N102" s="62"/>
    </row>
    <row r="103" spans="2:14">
      <c r="B103" s="59" t="s">
        <v>415</v>
      </c>
      <c r="C103" s="160"/>
      <c r="D103" s="160">
        <v>468358402000</v>
      </c>
      <c r="E103" s="160">
        <v>468358402000</v>
      </c>
      <c r="F103" s="160">
        <v>468358402000</v>
      </c>
      <c r="G103" s="160">
        <v>468358402000</v>
      </c>
      <c r="H103" s="160">
        <v>468358402000</v>
      </c>
      <c r="I103" s="160">
        <v>468358402000</v>
      </c>
      <c r="J103" s="160"/>
      <c r="K103" s="160"/>
      <c r="L103" s="160"/>
      <c r="M103" s="160"/>
      <c r="N103" s="160"/>
    </row>
    <row r="104" spans="2:14">
      <c r="B104" s="59" t="s">
        <v>416</v>
      </c>
      <c r="C104" s="66"/>
      <c r="D104" s="66">
        <v>160583574000</v>
      </c>
      <c r="E104" s="66">
        <v>163450275000</v>
      </c>
      <c r="F104" s="66">
        <v>181816964000</v>
      </c>
      <c r="G104" s="66">
        <v>179164900000</v>
      </c>
      <c r="H104" s="160">
        <v>181974048000</v>
      </c>
      <c r="I104" s="66">
        <v>203895644000</v>
      </c>
      <c r="J104" s="66"/>
      <c r="K104" s="66"/>
      <c r="L104" s="66"/>
      <c r="M104" s="66"/>
      <c r="N104" s="66"/>
    </row>
    <row r="105" spans="2:14">
      <c r="B105" s="59" t="s">
        <v>418</v>
      </c>
      <c r="C105" s="66"/>
      <c r="D105" s="66">
        <v>-37268415000</v>
      </c>
      <c r="E105" s="66">
        <v>-37268415000</v>
      </c>
      <c r="F105" s="66">
        <v>-37268415000</v>
      </c>
      <c r="G105" s="66">
        <v>-37268415000</v>
      </c>
      <c r="H105" s="66">
        <v>-37268415000</v>
      </c>
      <c r="I105" s="66">
        <v>-37268415000</v>
      </c>
      <c r="J105" s="66"/>
      <c r="K105" s="66"/>
      <c r="L105" s="66"/>
      <c r="M105" s="66"/>
      <c r="N105" s="66"/>
    </row>
    <row r="106" spans="2:14">
      <c r="B106" s="59" t="s">
        <v>345</v>
      </c>
      <c r="C106" s="66"/>
      <c r="D106" s="66">
        <v>0</v>
      </c>
      <c r="E106" s="66">
        <v>0</v>
      </c>
      <c r="F106" s="66">
        <v>81216656000</v>
      </c>
      <c r="G106" s="66">
        <v>83709983000</v>
      </c>
      <c r="H106" s="160">
        <v>78730413000</v>
      </c>
      <c r="I106" s="66">
        <v>80864058000</v>
      </c>
      <c r="J106" s="66"/>
      <c r="K106" s="66"/>
      <c r="L106" s="66"/>
      <c r="M106" s="66"/>
      <c r="N106" s="66"/>
    </row>
    <row r="107" spans="2:14">
      <c r="B107" s="59" t="s">
        <v>419</v>
      </c>
      <c r="C107" s="66"/>
      <c r="D107" s="66">
        <v>367027498000</v>
      </c>
      <c r="E107" s="66">
        <v>364587249000</v>
      </c>
      <c r="F107" s="66">
        <v>419526775000</v>
      </c>
      <c r="G107" s="66">
        <v>420425370000</v>
      </c>
      <c r="H107" s="160">
        <v>418601845000</v>
      </c>
      <c r="I107" s="66">
        <v>442178569000</v>
      </c>
      <c r="J107" s="66"/>
      <c r="K107" s="66"/>
      <c r="L107" s="66"/>
      <c r="M107" s="66"/>
      <c r="N107" s="66"/>
    </row>
    <row r="108" spans="2:14" ht="14.65" thickBot="1">
      <c r="B108" s="60" t="s">
        <v>420</v>
      </c>
      <c r="C108" s="70">
        <f t="shared" ref="C108:G108" si="47">+C103+C106+C104+C105</f>
        <v>0</v>
      </c>
      <c r="D108" s="70">
        <f t="shared" si="47"/>
        <v>591673561000</v>
      </c>
      <c r="E108" s="70">
        <f t="shared" si="47"/>
        <v>594540262000</v>
      </c>
      <c r="F108" s="70">
        <f t="shared" si="47"/>
        <v>694123607000</v>
      </c>
      <c r="G108" s="70">
        <f t="shared" si="47"/>
        <v>693964870000</v>
      </c>
      <c r="H108" s="70">
        <f>+H103+H106+H104+H105</f>
        <v>691794448000</v>
      </c>
      <c r="I108" s="70">
        <f t="shared" ref="I108:N108" si="48">+I103+I106+I104+I105</f>
        <v>715849689000</v>
      </c>
      <c r="J108" s="70">
        <f t="shared" si="48"/>
        <v>0</v>
      </c>
      <c r="K108" s="70">
        <f t="shared" si="48"/>
        <v>0</v>
      </c>
      <c r="L108" s="70">
        <f t="shared" si="48"/>
        <v>0</v>
      </c>
      <c r="M108" s="70">
        <f t="shared" si="48"/>
        <v>0</v>
      </c>
      <c r="N108" s="70">
        <f t="shared" si="48"/>
        <v>0</v>
      </c>
    </row>
    <row r="109" spans="2:14" ht="14.65" thickBot="1">
      <c r="B109" s="60" t="s">
        <v>347</v>
      </c>
      <c r="C109" s="70">
        <f>+C108+C107</f>
        <v>0</v>
      </c>
      <c r="D109" s="70">
        <f t="shared" ref="D109:N109" si="49">+D108+D107</f>
        <v>958701059000</v>
      </c>
      <c r="E109" s="70">
        <f t="shared" si="49"/>
        <v>959127511000</v>
      </c>
      <c r="F109" s="70">
        <f t="shared" si="49"/>
        <v>1113650382000</v>
      </c>
      <c r="G109" s="70">
        <f t="shared" si="49"/>
        <v>1114390240000</v>
      </c>
      <c r="H109" s="70">
        <f t="shared" si="49"/>
        <v>1110396293000</v>
      </c>
      <c r="I109" s="70">
        <f t="shared" si="49"/>
        <v>1158028258000</v>
      </c>
      <c r="J109" s="70">
        <f t="shared" si="49"/>
        <v>0</v>
      </c>
      <c r="K109" s="70">
        <f t="shared" si="49"/>
        <v>0</v>
      </c>
      <c r="L109" s="70">
        <f t="shared" si="49"/>
        <v>0</v>
      </c>
      <c r="M109" s="70">
        <f t="shared" si="49"/>
        <v>0</v>
      </c>
      <c r="N109" s="70">
        <f t="shared" si="49"/>
        <v>0</v>
      </c>
    </row>
    <row r="111" spans="2:14" ht="14.65" thickBot="1">
      <c r="B111" s="75" t="s">
        <v>348</v>
      </c>
    </row>
    <row r="112" spans="2:14" ht="14.65" thickBot="1">
      <c r="B112" s="82" t="s">
        <v>308</v>
      </c>
      <c r="C112" s="88">
        <v>2017</v>
      </c>
      <c r="D112" s="88">
        <v>2018</v>
      </c>
      <c r="E112" s="88">
        <v>2019</v>
      </c>
      <c r="F112" s="88">
        <v>2020</v>
      </c>
      <c r="G112" s="88">
        <v>2021</v>
      </c>
      <c r="H112" s="88">
        <v>2022</v>
      </c>
      <c r="I112" s="88">
        <v>2023</v>
      </c>
      <c r="J112" s="88">
        <v>2024</v>
      </c>
      <c r="K112" s="88">
        <v>2025</v>
      </c>
      <c r="L112" s="88">
        <v>2026</v>
      </c>
      <c r="M112" s="88">
        <v>2027</v>
      </c>
      <c r="N112" s="88">
        <v>2028</v>
      </c>
    </row>
    <row r="113" spans="2:14">
      <c r="B113" s="83" t="s">
        <v>349</v>
      </c>
      <c r="C113" s="90"/>
      <c r="D113" s="90">
        <v>530400417000</v>
      </c>
      <c r="E113" s="90">
        <v>544679496000</v>
      </c>
      <c r="F113" s="90">
        <v>478769061000</v>
      </c>
      <c r="G113" s="90">
        <v>506458487000</v>
      </c>
      <c r="H113" s="90">
        <v>580468054000</v>
      </c>
      <c r="I113" s="90">
        <v>640855854000</v>
      </c>
      <c r="J113" s="90"/>
      <c r="K113" s="90"/>
      <c r="L113" s="90"/>
      <c r="M113" s="90"/>
      <c r="N113" s="90"/>
    </row>
    <row r="114" spans="2:14">
      <c r="B114" s="85" t="s">
        <v>534</v>
      </c>
      <c r="C114" s="66"/>
      <c r="D114" s="66">
        <v>-39229587000</v>
      </c>
      <c r="E114" s="66">
        <v>-46149671000</v>
      </c>
      <c r="F114" s="66">
        <v>-43542356000</v>
      </c>
      <c r="G114" s="66">
        <v>-53627449000</v>
      </c>
      <c r="H114" s="66">
        <v>-79574329000</v>
      </c>
      <c r="I114" s="66">
        <v>-85362422000</v>
      </c>
      <c r="J114" s="66"/>
      <c r="K114" s="66"/>
      <c r="L114" s="66"/>
      <c r="M114" s="66"/>
      <c r="N114" s="66"/>
    </row>
    <row r="115" spans="2:14">
      <c r="B115" s="86" t="s">
        <v>422</v>
      </c>
      <c r="C115" s="64">
        <f t="shared" ref="C115:F115" si="50">+C113+C114</f>
        <v>0</v>
      </c>
      <c r="D115" s="64">
        <f>+D113+D114</f>
        <v>491170830000</v>
      </c>
      <c r="E115" s="64">
        <f t="shared" si="50"/>
        <v>498529825000</v>
      </c>
      <c r="F115" s="64">
        <f t="shared" si="50"/>
        <v>435226705000</v>
      </c>
      <c r="G115" s="64">
        <f>+G113+G114</f>
        <v>452831038000</v>
      </c>
      <c r="H115" s="64">
        <f t="shared" ref="H115:N115" si="51">+H113+H114</f>
        <v>500893725000</v>
      </c>
      <c r="I115" s="64">
        <f t="shared" si="51"/>
        <v>555493432000</v>
      </c>
      <c r="J115" s="64">
        <f t="shared" si="51"/>
        <v>0</v>
      </c>
      <c r="K115" s="64">
        <f t="shared" si="51"/>
        <v>0</v>
      </c>
      <c r="L115" s="64">
        <f t="shared" si="51"/>
        <v>0</v>
      </c>
      <c r="M115" s="64">
        <f t="shared" si="51"/>
        <v>0</v>
      </c>
      <c r="N115" s="64">
        <f t="shared" si="51"/>
        <v>0</v>
      </c>
    </row>
    <row r="116" spans="2:14">
      <c r="B116" s="85" t="s">
        <v>623</v>
      </c>
      <c r="C116" s="64"/>
      <c r="D116" s="117">
        <v>-59532548000</v>
      </c>
      <c r="E116" s="117">
        <v>-60189175000</v>
      </c>
      <c r="F116" s="117">
        <v>-55510715000</v>
      </c>
      <c r="G116" s="117">
        <v>-55539198000</v>
      </c>
      <c r="H116" s="117">
        <v>-66542438000</v>
      </c>
      <c r="I116" s="117">
        <v>-76753766000</v>
      </c>
      <c r="J116" s="117"/>
      <c r="K116" s="117"/>
      <c r="L116" s="117"/>
      <c r="M116" s="117"/>
      <c r="N116" s="117"/>
    </row>
    <row r="117" spans="2:14">
      <c r="B117" s="85" t="s">
        <v>424</v>
      </c>
      <c r="C117" s="64"/>
      <c r="D117" s="117">
        <v>-75472412000</v>
      </c>
      <c r="E117" s="117">
        <v>-76263042000</v>
      </c>
      <c r="F117" s="117">
        <v>-67150111000</v>
      </c>
      <c r="G117" s="117">
        <v>-69205148000</v>
      </c>
      <c r="H117" s="117">
        <v>-74820917000</v>
      </c>
      <c r="I117" s="117">
        <v>-77697080000</v>
      </c>
      <c r="J117" s="117"/>
      <c r="K117" s="117"/>
      <c r="L117" s="117"/>
      <c r="M117" s="117"/>
      <c r="N117" s="117"/>
    </row>
    <row r="118" spans="2:14">
      <c r="B118" s="85" t="s">
        <v>426</v>
      </c>
      <c r="C118" s="64"/>
      <c r="D118" s="117">
        <v>-122931757000</v>
      </c>
      <c r="E118" s="117">
        <v>-139307950000</v>
      </c>
      <c r="F118" s="117">
        <f>-145739999000-1404946000</f>
        <v>-147144945000</v>
      </c>
      <c r="G118" s="117">
        <v>-135905388000</v>
      </c>
      <c r="H118" s="117">
        <v>-126198987000</v>
      </c>
      <c r="I118" s="117">
        <v>-149720736000</v>
      </c>
      <c r="J118" s="117"/>
      <c r="K118" s="117"/>
      <c r="L118" s="117"/>
      <c r="M118" s="117"/>
      <c r="N118" s="117"/>
    </row>
    <row r="119" spans="2:14">
      <c r="B119" s="85" t="s">
        <v>757</v>
      </c>
      <c r="C119" s="66"/>
      <c r="D119" s="66">
        <v>-1117499000</v>
      </c>
      <c r="E119" s="66">
        <v>14232177000</v>
      </c>
      <c r="F119" s="117">
        <v>-3967292000</v>
      </c>
      <c r="G119" s="117">
        <v>3636892000</v>
      </c>
      <c r="H119" s="117">
        <v>-1521833000</v>
      </c>
      <c r="I119" s="117">
        <v>3336545000</v>
      </c>
      <c r="J119" s="117"/>
      <c r="K119" s="117"/>
      <c r="L119" s="117"/>
      <c r="M119" s="117"/>
      <c r="N119" s="117"/>
    </row>
    <row r="120" spans="2:14">
      <c r="B120" s="86" t="s">
        <v>428</v>
      </c>
      <c r="C120" s="64">
        <f t="shared" ref="C120:G120" si="52">+C115+C119+C116+C117+C118</f>
        <v>0</v>
      </c>
      <c r="D120" s="64">
        <f t="shared" si="52"/>
        <v>232116614000</v>
      </c>
      <c r="E120" s="64">
        <f t="shared" si="52"/>
        <v>237001835000</v>
      </c>
      <c r="F120" s="64">
        <f t="shared" si="52"/>
        <v>161453642000</v>
      </c>
      <c r="G120" s="64">
        <f t="shared" si="52"/>
        <v>195818196000</v>
      </c>
      <c r="H120" s="64">
        <f>+H115+H119+H116+H117+H118</f>
        <v>231809550000</v>
      </c>
      <c r="I120" s="64">
        <f t="shared" ref="I120:N120" si="53">+I115+I119+I116+I117+I118</f>
        <v>254658395000</v>
      </c>
      <c r="J120" s="64">
        <f t="shared" si="53"/>
        <v>0</v>
      </c>
      <c r="K120" s="64">
        <f t="shared" si="53"/>
        <v>0</v>
      </c>
      <c r="L120" s="64">
        <f t="shared" si="53"/>
        <v>0</v>
      </c>
      <c r="M120" s="64">
        <f t="shared" si="53"/>
        <v>0</v>
      </c>
      <c r="N120" s="64">
        <f t="shared" si="53"/>
        <v>0</v>
      </c>
    </row>
    <row r="121" spans="2:14">
      <c r="B121" s="85" t="s">
        <v>429</v>
      </c>
      <c r="C121" s="66"/>
      <c r="D121" s="66">
        <v>5885519000</v>
      </c>
      <c r="E121" s="66">
        <v>5792603000</v>
      </c>
      <c r="F121" s="66">
        <v>3872811000</v>
      </c>
      <c r="G121" s="131">
        <v>5082667000</v>
      </c>
      <c r="H121" s="131">
        <v>16022604000</v>
      </c>
      <c r="I121" s="131">
        <v>15948850000</v>
      </c>
      <c r="J121" s="131"/>
      <c r="K121" s="131"/>
      <c r="L121" s="131"/>
      <c r="M121" s="131"/>
      <c r="N121" s="131"/>
    </row>
    <row r="122" spans="2:14">
      <c r="B122" s="85" t="s">
        <v>430</v>
      </c>
      <c r="C122" s="66"/>
      <c r="D122" s="66">
        <v>-29998359000</v>
      </c>
      <c r="E122" s="66">
        <v>-30316227000</v>
      </c>
      <c r="F122" s="66">
        <v>-28193869000</v>
      </c>
      <c r="G122" s="131">
        <v>-27866277000</v>
      </c>
      <c r="H122" s="131">
        <v>-36613290000</v>
      </c>
      <c r="I122" s="131">
        <v>-48853914000</v>
      </c>
      <c r="J122" s="131"/>
      <c r="K122" s="131"/>
      <c r="L122" s="131"/>
      <c r="M122" s="131"/>
      <c r="N122" s="131"/>
    </row>
    <row r="123" spans="2:14">
      <c r="B123" s="85" t="s">
        <v>431</v>
      </c>
      <c r="C123" s="66"/>
      <c r="D123" s="66"/>
      <c r="E123" s="66"/>
      <c r="F123" s="66"/>
      <c r="G123" s="131"/>
      <c r="H123" s="131">
        <v>-13830357000</v>
      </c>
      <c r="I123" s="131">
        <v>-12316346000</v>
      </c>
      <c r="J123" s="131"/>
      <c r="K123" s="131"/>
      <c r="L123" s="131"/>
      <c r="M123" s="131"/>
      <c r="N123" s="131"/>
    </row>
    <row r="124" spans="2:14">
      <c r="B124" s="85" t="s">
        <v>432</v>
      </c>
      <c r="C124" s="66"/>
      <c r="D124" s="66">
        <v>-84889000</v>
      </c>
      <c r="E124" s="66">
        <v>-482970000</v>
      </c>
      <c r="F124" s="66">
        <v>-496691000</v>
      </c>
      <c r="G124" s="131">
        <v>811363000</v>
      </c>
      <c r="H124" s="131">
        <v>-853529000</v>
      </c>
      <c r="I124" s="131">
        <v>1945731000</v>
      </c>
      <c r="J124" s="131"/>
      <c r="K124" s="131"/>
      <c r="L124" s="131"/>
      <c r="M124" s="131"/>
      <c r="N124" s="131"/>
    </row>
    <row r="125" spans="2:14">
      <c r="B125" s="85" t="s">
        <v>433</v>
      </c>
      <c r="C125" s="66"/>
      <c r="D125" s="66">
        <v>-23022689000</v>
      </c>
      <c r="E125" s="66">
        <v>-23529974000</v>
      </c>
      <c r="F125" s="66">
        <v>-22345643000</v>
      </c>
      <c r="G125" s="131">
        <v>-54969179000</v>
      </c>
      <c r="H125" s="131">
        <v>-115252738000</v>
      </c>
      <c r="I125" s="131">
        <v>-45658660000</v>
      </c>
      <c r="J125" s="131"/>
      <c r="K125" s="131"/>
      <c r="L125" s="131"/>
      <c r="M125" s="131"/>
      <c r="N125" s="131"/>
    </row>
    <row r="126" spans="2:14">
      <c r="B126" s="86" t="s">
        <v>362</v>
      </c>
      <c r="C126" s="64">
        <f t="shared" ref="C126:E126" si="54">+C120+C121+C122+C123+C124+C125</f>
        <v>0</v>
      </c>
      <c r="D126" s="64">
        <f t="shared" si="54"/>
        <v>184896196000</v>
      </c>
      <c r="E126" s="64">
        <f t="shared" si="54"/>
        <v>188465267000</v>
      </c>
      <c r="F126" s="64">
        <f>+F120+F121+F122+F123+F124+F125</f>
        <v>114290250000</v>
      </c>
      <c r="G126" s="64">
        <f t="shared" ref="G126:H126" si="55">+G120+G121+G122+G123+G124+G125</f>
        <v>118876770000</v>
      </c>
      <c r="H126" s="64">
        <f t="shared" si="55"/>
        <v>81282240000</v>
      </c>
      <c r="I126" s="64">
        <f t="shared" ref="I126:N126" si="56">+I120+I121+I122+I123+I124+I125</f>
        <v>165724056000</v>
      </c>
      <c r="J126" s="64">
        <f t="shared" si="56"/>
        <v>0</v>
      </c>
      <c r="K126" s="64">
        <f t="shared" si="56"/>
        <v>0</v>
      </c>
      <c r="L126" s="64">
        <f t="shared" si="56"/>
        <v>0</v>
      </c>
      <c r="M126" s="64">
        <f t="shared" si="56"/>
        <v>0</v>
      </c>
      <c r="N126" s="64">
        <f t="shared" si="56"/>
        <v>0</v>
      </c>
    </row>
    <row r="127" spans="2:14">
      <c r="B127" s="85" t="s">
        <v>363</v>
      </c>
      <c r="C127" s="66"/>
      <c r="D127" s="66">
        <v>-46617680000</v>
      </c>
      <c r="E127" s="66">
        <v>-49810305000</v>
      </c>
      <c r="F127" s="66">
        <v>-26817906000</v>
      </c>
      <c r="G127" s="91">
        <v>-19665778000</v>
      </c>
      <c r="H127" s="91">
        <v>2577179000</v>
      </c>
      <c r="I127" s="91">
        <v>-33886203000</v>
      </c>
      <c r="J127" s="91"/>
      <c r="K127" s="91"/>
      <c r="L127" s="91"/>
      <c r="M127" s="91"/>
      <c r="N127" s="91"/>
    </row>
    <row r="128" spans="2:14">
      <c r="B128" s="85" t="s">
        <v>758</v>
      </c>
      <c r="C128" s="132"/>
      <c r="D128" s="132"/>
      <c r="E128" s="132"/>
      <c r="F128" s="132">
        <v>11671443000</v>
      </c>
      <c r="G128" s="278">
        <v>0</v>
      </c>
      <c r="H128" s="278"/>
      <c r="I128" s="278"/>
      <c r="J128" s="278"/>
      <c r="K128" s="278"/>
      <c r="L128" s="278"/>
      <c r="M128" s="278"/>
      <c r="N128" s="278"/>
    </row>
    <row r="129" spans="2:14">
      <c r="B129" s="84" t="s">
        <v>365</v>
      </c>
      <c r="C129" s="130">
        <f t="shared" ref="C129:G129" si="57">+C126+C127</f>
        <v>0</v>
      </c>
      <c r="D129" s="130">
        <f t="shared" si="57"/>
        <v>138278516000</v>
      </c>
      <c r="E129" s="130">
        <f t="shared" si="57"/>
        <v>138654962000</v>
      </c>
      <c r="F129" s="130">
        <f>+F126+F127+F128</f>
        <v>99143787000</v>
      </c>
      <c r="G129" s="130">
        <f t="shared" si="57"/>
        <v>99210992000</v>
      </c>
      <c r="H129" s="130">
        <f>+H126+H127</f>
        <v>83859419000</v>
      </c>
      <c r="I129" s="130">
        <f t="shared" ref="I129:N129" si="58">+I126+I127</f>
        <v>131837853000</v>
      </c>
      <c r="J129" s="130">
        <f t="shared" si="58"/>
        <v>0</v>
      </c>
      <c r="K129" s="130">
        <f t="shared" si="58"/>
        <v>0</v>
      </c>
      <c r="L129" s="130">
        <f t="shared" si="58"/>
        <v>0</v>
      </c>
      <c r="M129" s="130">
        <f t="shared" si="58"/>
        <v>0</v>
      </c>
      <c r="N129" s="130">
        <f t="shared" si="58"/>
        <v>0</v>
      </c>
    </row>
    <row r="130" spans="2:14" ht="28.5">
      <c r="B130" s="87" t="s">
        <v>435</v>
      </c>
      <c r="C130" s="66"/>
      <c r="D130" s="66">
        <v>71150856000</v>
      </c>
      <c r="E130" s="66">
        <v>68736724000</v>
      </c>
      <c r="F130" s="66">
        <v>50918660000</v>
      </c>
      <c r="G130" s="91">
        <v>50221270000</v>
      </c>
      <c r="H130" s="91">
        <v>42539263000</v>
      </c>
      <c r="I130" s="91">
        <v>66560594000</v>
      </c>
      <c r="J130" s="91"/>
      <c r="K130" s="91"/>
      <c r="L130" s="91"/>
      <c r="M130" s="91"/>
      <c r="N130" s="91"/>
    </row>
    <row r="131" spans="2:14">
      <c r="B131" s="84" t="s">
        <v>436</v>
      </c>
      <c r="C131" s="66">
        <f>+C129-C130</f>
        <v>0</v>
      </c>
      <c r="D131" s="66">
        <f t="shared" ref="D131:H131" si="59">+D129-D130</f>
        <v>67127660000</v>
      </c>
      <c r="E131" s="66">
        <f t="shared" si="59"/>
        <v>69918238000</v>
      </c>
      <c r="F131" s="66">
        <f t="shared" si="59"/>
        <v>48225127000</v>
      </c>
      <c r="G131" s="66">
        <f t="shared" si="59"/>
        <v>48989722000</v>
      </c>
      <c r="H131" s="66">
        <f t="shared" si="59"/>
        <v>41320156000</v>
      </c>
      <c r="I131" s="66">
        <f t="shared" ref="I131:N131" si="60">+I129-I130</f>
        <v>65277259000</v>
      </c>
      <c r="J131" s="66">
        <f t="shared" si="60"/>
        <v>0</v>
      </c>
      <c r="K131" s="66">
        <f t="shared" si="60"/>
        <v>0</v>
      </c>
      <c r="L131" s="66">
        <f t="shared" si="60"/>
        <v>0</v>
      </c>
      <c r="M131" s="66">
        <f t="shared" si="60"/>
        <v>0</v>
      </c>
      <c r="N131" s="66">
        <f t="shared" si="60"/>
        <v>0</v>
      </c>
    </row>
    <row r="132" spans="2:14">
      <c r="B132" s="84" t="s">
        <v>366</v>
      </c>
      <c r="C132" s="111"/>
      <c r="D132" s="111">
        <v>67.128</v>
      </c>
      <c r="E132" s="111">
        <v>69.918000000000006</v>
      </c>
      <c r="F132" s="134">
        <v>48.225000000000001</v>
      </c>
      <c r="G132" s="134">
        <v>48.99</v>
      </c>
      <c r="H132" s="134">
        <v>41320</v>
      </c>
      <c r="I132" s="134">
        <v>65.277000000000001</v>
      </c>
      <c r="J132" s="134"/>
      <c r="K132" s="134"/>
      <c r="L132" s="134"/>
      <c r="M132" s="134"/>
      <c r="N132" s="134"/>
    </row>
    <row r="134" spans="2:14" ht="14.65" thickBot="1">
      <c r="B134" s="75" t="s">
        <v>367</v>
      </c>
    </row>
    <row r="135" spans="2:14" ht="14.65" thickBot="1">
      <c r="B135" s="82" t="s">
        <v>308</v>
      </c>
      <c r="C135" s="88">
        <v>2017</v>
      </c>
      <c r="D135" s="88">
        <v>2018</v>
      </c>
      <c r="E135" s="88">
        <v>2019</v>
      </c>
      <c r="F135" s="88">
        <v>2020</v>
      </c>
      <c r="G135" s="88">
        <v>2021</v>
      </c>
      <c r="H135" s="88">
        <v>2022</v>
      </c>
      <c r="I135" s="88">
        <v>2023</v>
      </c>
      <c r="J135" s="88">
        <v>2024</v>
      </c>
      <c r="K135" s="88">
        <v>2025</v>
      </c>
      <c r="L135" s="88">
        <v>2026</v>
      </c>
      <c r="M135" s="88">
        <v>2027</v>
      </c>
      <c r="N135" s="88">
        <v>2028</v>
      </c>
    </row>
    <row r="136" spans="2:14">
      <c r="B136" s="83" t="s">
        <v>368</v>
      </c>
      <c r="C136" s="90"/>
      <c r="D136" s="90">
        <v>244390084000</v>
      </c>
      <c r="E136" s="90">
        <v>228617894000</v>
      </c>
      <c r="F136" s="90">
        <v>183718776000</v>
      </c>
      <c r="G136" s="90">
        <v>229945799000</v>
      </c>
      <c r="H136" s="90">
        <v>241057418000</v>
      </c>
      <c r="I136" s="90">
        <v>227922765000</v>
      </c>
      <c r="J136" s="90"/>
      <c r="K136" s="90"/>
      <c r="L136" s="90"/>
      <c r="M136" s="90"/>
      <c r="N136" s="90"/>
    </row>
    <row r="137" spans="2:14">
      <c r="B137" s="86" t="s">
        <v>369</v>
      </c>
      <c r="C137" s="91"/>
      <c r="D137" s="93">
        <v>-135452926000</v>
      </c>
      <c r="E137" s="93">
        <v>-125768547000</v>
      </c>
      <c r="F137" s="66">
        <v>-78371570000</v>
      </c>
      <c r="G137" s="93">
        <v>-157671083000</v>
      </c>
      <c r="H137" s="66">
        <v>-165900708000</v>
      </c>
      <c r="I137" s="66">
        <v>-150002292000</v>
      </c>
      <c r="J137" s="66"/>
      <c r="K137" s="66"/>
      <c r="L137" s="66"/>
      <c r="M137" s="66"/>
      <c r="N137" s="66"/>
    </row>
    <row r="138" spans="2:14">
      <c r="B138" s="85" t="s">
        <v>370</v>
      </c>
      <c r="C138" s="93"/>
      <c r="D138" s="93">
        <v>-137241349000</v>
      </c>
      <c r="E138" s="93">
        <v>-141942620000</v>
      </c>
      <c r="F138" s="93">
        <v>-149004549000</v>
      </c>
      <c r="G138" s="93">
        <v>-161591752000</v>
      </c>
      <c r="H138" s="93">
        <v>-161366864000</v>
      </c>
      <c r="I138" s="93">
        <v>-149645668000</v>
      </c>
      <c r="J138" s="93"/>
      <c r="K138" s="93"/>
      <c r="L138" s="93"/>
      <c r="M138" s="93"/>
      <c r="N138" s="93"/>
    </row>
    <row r="139" spans="2:14">
      <c r="B139" s="86" t="s">
        <v>372</v>
      </c>
      <c r="C139" s="120"/>
      <c r="D139" s="120">
        <v>-87653090000</v>
      </c>
      <c r="E139" s="64">
        <v>-70879505000</v>
      </c>
      <c r="F139" s="120">
        <v>-439471000</v>
      </c>
      <c r="G139" s="120">
        <v>-85680689000</v>
      </c>
      <c r="H139" s="120">
        <v>-59169722000</v>
      </c>
      <c r="I139" s="120">
        <v>-147670931000</v>
      </c>
      <c r="J139" s="120"/>
      <c r="K139" s="120"/>
      <c r="L139" s="120"/>
      <c r="M139" s="120"/>
      <c r="N139" s="120"/>
    </row>
    <row r="140" spans="2:14">
      <c r="B140" s="85" t="s">
        <v>373</v>
      </c>
      <c r="C140" s="93"/>
      <c r="D140" s="93">
        <v>-142091345000</v>
      </c>
      <c r="E140" s="66">
        <v>-134326706000</v>
      </c>
      <c r="F140" s="93">
        <v>-102600014000</v>
      </c>
      <c r="G140" s="93">
        <v>-108882188000</v>
      </c>
      <c r="H140" s="93">
        <v>-74159334000</v>
      </c>
      <c r="I140" s="93">
        <v>-88706805000</v>
      </c>
      <c r="J140" s="93"/>
      <c r="K140" s="93"/>
      <c r="L140" s="93"/>
      <c r="M140" s="93"/>
      <c r="N140" s="93"/>
    </row>
    <row r="141" spans="2:14">
      <c r="B141" s="85" t="s">
        <v>437</v>
      </c>
      <c r="C141" s="93"/>
      <c r="D141" s="93"/>
      <c r="E141" s="66"/>
      <c r="F141" s="93"/>
      <c r="G141" s="93"/>
      <c r="H141" s="93"/>
      <c r="I141" s="93"/>
      <c r="J141" s="93"/>
      <c r="K141" s="93"/>
      <c r="L141" s="93"/>
      <c r="M141" s="93"/>
      <c r="N141" s="93"/>
    </row>
    <row r="142" spans="2:14">
      <c r="B142" s="86" t="s">
        <v>375</v>
      </c>
      <c r="C142" s="64"/>
      <c r="D142" s="64">
        <v>21284068000</v>
      </c>
      <c r="E142" s="64">
        <v>31969842000</v>
      </c>
      <c r="F142" s="64">
        <v>104907735000</v>
      </c>
      <c r="G142" s="64">
        <v>-13405973000</v>
      </c>
      <c r="H142" s="64">
        <v>15986988000</v>
      </c>
      <c r="I142" s="64">
        <v>-69750458000</v>
      </c>
      <c r="J142" s="64"/>
      <c r="K142" s="64"/>
      <c r="L142" s="64"/>
      <c r="M142" s="64"/>
      <c r="N142" s="64"/>
    </row>
    <row r="143" spans="2:14">
      <c r="B143" s="85"/>
      <c r="C143" s="66"/>
      <c r="D143" s="66"/>
      <c r="E143" s="66"/>
      <c r="F143" s="66"/>
      <c r="G143" s="66"/>
      <c r="H143" s="66"/>
      <c r="I143" s="66"/>
      <c r="J143" s="66"/>
      <c r="K143" s="66"/>
      <c r="L143" s="66"/>
      <c r="M143" s="66"/>
      <c r="N143" s="66"/>
    </row>
    <row r="144" spans="2:14">
      <c r="B144" s="84" t="s">
        <v>376</v>
      </c>
      <c r="C144" s="131">
        <f t="shared" ref="C144:G144" si="61">+C136+C138+C141</f>
        <v>0</v>
      </c>
      <c r="D144" s="131">
        <f t="shared" si="61"/>
        <v>107148735000</v>
      </c>
      <c r="E144" s="131">
        <f t="shared" si="61"/>
        <v>86675274000</v>
      </c>
      <c r="F144" s="131">
        <f t="shared" si="61"/>
        <v>34714227000</v>
      </c>
      <c r="G144" s="131">
        <f t="shared" si="61"/>
        <v>68354047000</v>
      </c>
      <c r="H144" s="131">
        <f>+H136+H138+H141</f>
        <v>79690554000</v>
      </c>
      <c r="I144" s="131">
        <f t="shared" ref="I144:N144" si="62">+I136+I138+I141</f>
        <v>78277097000</v>
      </c>
      <c r="J144" s="131">
        <f t="shared" si="62"/>
        <v>0</v>
      </c>
      <c r="K144" s="131">
        <f t="shared" si="62"/>
        <v>0</v>
      </c>
      <c r="L144" s="131">
        <f t="shared" si="62"/>
        <v>0</v>
      </c>
      <c r="M144" s="131">
        <f t="shared" si="62"/>
        <v>0</v>
      </c>
      <c r="N144" s="131">
        <f t="shared" si="62"/>
        <v>0</v>
      </c>
    </row>
  </sheetData>
  <conditionalFormatting sqref="C60:H66 D67:H67 C68:H100">
    <cfRule type="cellIs" dxfId="120" priority="18" operator="lessThan">
      <formula>0</formula>
    </cfRule>
  </conditionalFormatting>
  <conditionalFormatting sqref="C113:N132">
    <cfRule type="cellIs" dxfId="119" priority="2" operator="lessThan">
      <formula>0</formula>
    </cfRule>
  </conditionalFormatting>
  <conditionalFormatting sqref="C136:N144">
    <cfRule type="cellIs" dxfId="118" priority="1" operator="lessThan">
      <formula>0</formula>
    </cfRule>
  </conditionalFormatting>
  <conditionalFormatting sqref="I60:N100 C102:N109">
    <cfRule type="cellIs" dxfId="117" priority="3" operator="lessThan">
      <formula>0</formula>
    </cfRule>
  </conditionalFormatting>
  <pageMargins left="0.7" right="0.7" top="0.75" bottom="0.75" header="0.3" footer="0.3"/>
  <pageSetup paperSize="9" orientation="portrait" r:id="rId1"/>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B120-9CCA-424E-A27B-7F0A77EC525D}">
  <dimension ref="B2:N143"/>
  <sheetViews>
    <sheetView zoomScale="80" zoomScaleNormal="80" workbookViewId="0">
      <pane xSplit="2" ySplit="6" topLeftCell="C7" activePane="bottomRight" state="frozen"/>
      <selection pane="bottomRight" activeCell="B5" sqref="B5"/>
      <selection pane="bottomLeft" activeCell="A7" sqref="A7"/>
      <selection pane="topRight" activeCell="C1" sqref="C1"/>
    </sheetView>
  </sheetViews>
  <sheetFormatPr defaultColWidth="10.7109375" defaultRowHeight="14.25"/>
  <cols>
    <col min="1" max="1" width="4.42578125" customWidth="1"/>
    <col min="2" max="2" width="44.7109375" customWidth="1"/>
    <col min="3" max="6" width="33.28515625" customWidth="1"/>
    <col min="7" max="7" width="36.28515625" customWidth="1"/>
    <col min="8" max="8" width="35.7109375" customWidth="1"/>
    <col min="9" max="9" width="30.7109375" bestFit="1" customWidth="1"/>
    <col min="10" max="10" width="28.7109375" bestFit="1" customWidth="1"/>
    <col min="11" max="14" width="25.42578125" bestFit="1" customWidth="1"/>
  </cols>
  <sheetData>
    <row r="2" spans="2:14" ht="21">
      <c r="B2" s="313">
        <f ca="1">TODAY()-1</f>
        <v>46105</v>
      </c>
      <c r="C2" s="314"/>
      <c r="D2" s="344" t="s">
        <v>265</v>
      </c>
      <c r="E2" s="345" t="s">
        <v>266</v>
      </c>
    </row>
    <row r="3" spans="2:14" ht="25.5">
      <c r="B3" s="376" cm="1">
        <f t="array" aca="1" ref="B3" ca="1">_FV(B6,"Precio")</f>
        <v>1160</v>
      </c>
      <c r="C3" s="316"/>
      <c r="D3" s="365">
        <f>AVERAGE(C49:J49)</f>
        <v>0</v>
      </c>
      <c r="E3" s="365">
        <f>AVERAGE(C48:J48)</f>
        <v>0</v>
      </c>
    </row>
    <row r="4" spans="2:14" ht="28.5">
      <c r="B4" s="319"/>
      <c r="C4" s="320"/>
      <c r="D4" s="328"/>
      <c r="E4" s="328"/>
    </row>
    <row r="5" spans="2:14" ht="18">
      <c r="B5" s="34" t="s">
        <v>684</v>
      </c>
    </row>
    <row r="6" spans="2:14" ht="33.4">
      <c r="B6" s="3" t="e" vm="22">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+C62</f>
        <v>0</v>
      </c>
      <c r="D7" s="5">
        <f t="shared" ref="D7:N7" si="0">+D62</f>
        <v>0</v>
      </c>
      <c r="E7" s="5">
        <f t="shared" si="0"/>
        <v>0</v>
      </c>
      <c r="F7" s="5">
        <f t="shared" si="0"/>
        <v>0</v>
      </c>
      <c r="G7" s="5">
        <f t="shared" si="0"/>
        <v>0</v>
      </c>
      <c r="H7" s="5">
        <f t="shared" si="0"/>
        <v>0</v>
      </c>
      <c r="I7" s="5">
        <f t="shared" si="0"/>
        <v>0</v>
      </c>
      <c r="J7" s="5">
        <f t="shared" si="0"/>
        <v>0</v>
      </c>
      <c r="K7" s="5">
        <f t="shared" si="0"/>
        <v>0</v>
      </c>
      <c r="L7" s="5">
        <f t="shared" si="0"/>
        <v>0</v>
      </c>
      <c r="M7" s="5">
        <f t="shared" si="0"/>
        <v>0</v>
      </c>
      <c r="N7" s="5">
        <f t="shared" si="0"/>
        <v>0</v>
      </c>
    </row>
    <row r="8" spans="2:14" ht="25.5">
      <c r="B8" s="146" t="s">
        <v>377</v>
      </c>
      <c r="C8" s="147">
        <f>+C66</f>
        <v>0</v>
      </c>
      <c r="D8" s="147">
        <f t="shared" ref="D8:N8" si="1">+D66</f>
        <v>0</v>
      </c>
      <c r="E8" s="147">
        <f t="shared" si="1"/>
        <v>0</v>
      </c>
      <c r="F8" s="147">
        <f t="shared" si="1"/>
        <v>0</v>
      </c>
      <c r="G8" s="147">
        <f t="shared" si="1"/>
        <v>0</v>
      </c>
      <c r="H8" s="147">
        <f t="shared" si="1"/>
        <v>0</v>
      </c>
      <c r="I8" s="147">
        <f t="shared" si="1"/>
        <v>0</v>
      </c>
      <c r="J8" s="147">
        <f t="shared" si="1"/>
        <v>0</v>
      </c>
      <c r="K8" s="147">
        <f t="shared" si="1"/>
        <v>0</v>
      </c>
      <c r="L8" s="147">
        <f t="shared" si="1"/>
        <v>0</v>
      </c>
      <c r="M8" s="147">
        <f t="shared" si="1"/>
        <v>0</v>
      </c>
      <c r="N8" s="147">
        <f t="shared" si="1"/>
        <v>0</v>
      </c>
    </row>
    <row r="9" spans="2:14" ht="25.5">
      <c r="B9" s="146" t="s">
        <v>378</v>
      </c>
      <c r="C9" s="147">
        <f>+C68</f>
        <v>0</v>
      </c>
      <c r="D9" s="147">
        <f t="shared" ref="D9:N9" si="2">+D68</f>
        <v>0</v>
      </c>
      <c r="E9" s="147">
        <f t="shared" si="2"/>
        <v>0</v>
      </c>
      <c r="F9" s="147">
        <f t="shared" si="2"/>
        <v>0</v>
      </c>
      <c r="G9" s="147">
        <f t="shared" si="2"/>
        <v>0</v>
      </c>
      <c r="H9" s="147">
        <f t="shared" si="2"/>
        <v>0</v>
      </c>
      <c r="I9" s="147">
        <f t="shared" si="2"/>
        <v>0</v>
      </c>
      <c r="J9" s="147">
        <f t="shared" si="2"/>
        <v>0</v>
      </c>
      <c r="K9" s="147">
        <f t="shared" si="2"/>
        <v>0</v>
      </c>
      <c r="L9" s="147">
        <f t="shared" si="2"/>
        <v>0</v>
      </c>
      <c r="M9" s="147">
        <f t="shared" si="2"/>
        <v>0</v>
      </c>
      <c r="N9" s="147">
        <f t="shared" si="2"/>
        <v>0</v>
      </c>
    </row>
    <row r="10" spans="2:14" ht="25.5">
      <c r="B10" s="146"/>
      <c r="C10" s="352" t="e">
        <f t="shared" ref="C10:M10" si="3">+C9/C7</f>
        <v>#DIV/0!</v>
      </c>
      <c r="D10" s="352" t="e">
        <f t="shared" si="3"/>
        <v>#DIV/0!</v>
      </c>
      <c r="E10" s="352" t="e">
        <f t="shared" si="3"/>
        <v>#DIV/0!</v>
      </c>
      <c r="F10" s="352" t="e">
        <f t="shared" si="3"/>
        <v>#DIV/0!</v>
      </c>
      <c r="G10" s="352" t="e">
        <f t="shared" si="3"/>
        <v>#DIV/0!</v>
      </c>
      <c r="H10" s="352" t="e">
        <f t="shared" si="3"/>
        <v>#DIV/0!</v>
      </c>
      <c r="I10" s="352" t="e">
        <f t="shared" si="3"/>
        <v>#DIV/0!</v>
      </c>
      <c r="J10" s="352" t="e">
        <f t="shared" si="3"/>
        <v>#DIV/0!</v>
      </c>
      <c r="K10" s="352" t="e">
        <f t="shared" si="3"/>
        <v>#DIV/0!</v>
      </c>
      <c r="L10" s="352" t="e">
        <f t="shared" si="3"/>
        <v>#DIV/0!</v>
      </c>
      <c r="M10" s="352" t="e">
        <f t="shared" si="3"/>
        <v>#DIV/0!</v>
      </c>
      <c r="N10" s="147"/>
    </row>
    <row r="11" spans="2:14" ht="25.5">
      <c r="B11" s="4" t="s">
        <v>379</v>
      </c>
      <c r="C11" s="5">
        <f>+C71</f>
        <v>0</v>
      </c>
      <c r="D11" s="5">
        <f t="shared" ref="D11:N11" si="4">+D71</f>
        <v>0</v>
      </c>
      <c r="E11" s="5">
        <f t="shared" si="4"/>
        <v>0</v>
      </c>
      <c r="F11" s="5">
        <f t="shared" si="4"/>
        <v>0</v>
      </c>
      <c r="G11" s="5">
        <f t="shared" si="4"/>
        <v>0</v>
      </c>
      <c r="H11" s="5">
        <f t="shared" si="4"/>
        <v>0</v>
      </c>
      <c r="I11" s="5">
        <f t="shared" si="4"/>
        <v>0</v>
      </c>
      <c r="J11" s="5">
        <f t="shared" si="4"/>
        <v>0</v>
      </c>
      <c r="K11" s="5">
        <f t="shared" si="4"/>
        <v>0</v>
      </c>
      <c r="L11" s="5">
        <f t="shared" si="4"/>
        <v>0</v>
      </c>
      <c r="M11" s="5">
        <f t="shared" si="4"/>
        <v>0</v>
      </c>
      <c r="N11" s="5">
        <f t="shared" si="4"/>
        <v>0</v>
      </c>
    </row>
    <row r="12" spans="2:14" ht="25.5">
      <c r="B12" s="8" t="s">
        <v>272</v>
      </c>
      <c r="C12" s="9">
        <f>+C11+C7</f>
        <v>0</v>
      </c>
      <c r="D12" s="9">
        <f t="shared" ref="D12:N12" si="5">+D11+D7</f>
        <v>0</v>
      </c>
      <c r="E12" s="9">
        <f t="shared" si="5"/>
        <v>0</v>
      </c>
      <c r="F12" s="9">
        <f t="shared" si="5"/>
        <v>0</v>
      </c>
      <c r="G12" s="9">
        <f t="shared" si="5"/>
        <v>0</v>
      </c>
      <c r="H12" s="9">
        <f t="shared" si="5"/>
        <v>0</v>
      </c>
      <c r="I12" s="9">
        <f t="shared" si="5"/>
        <v>0</v>
      </c>
      <c r="J12" s="9">
        <f t="shared" si="5"/>
        <v>0</v>
      </c>
      <c r="K12" s="9">
        <f t="shared" si="5"/>
        <v>0</v>
      </c>
      <c r="L12" s="9">
        <f t="shared" si="5"/>
        <v>0</v>
      </c>
      <c r="M12" s="9">
        <f t="shared" si="5"/>
        <v>0</v>
      </c>
      <c r="N12" s="9">
        <f t="shared" si="5"/>
        <v>0</v>
      </c>
    </row>
    <row r="13" spans="2:14" ht="25.5">
      <c r="B13" s="10" t="s">
        <v>273</v>
      </c>
      <c r="C13" s="11">
        <f>+C85</f>
        <v>0</v>
      </c>
      <c r="D13" s="11">
        <f t="shared" ref="D13:N13" si="6">+D85</f>
        <v>0</v>
      </c>
      <c r="E13" s="11">
        <f t="shared" si="6"/>
        <v>0</v>
      </c>
      <c r="F13" s="11">
        <f t="shared" si="6"/>
        <v>0</v>
      </c>
      <c r="G13" s="11">
        <f t="shared" si="6"/>
        <v>0</v>
      </c>
      <c r="H13" s="11">
        <f t="shared" si="6"/>
        <v>0</v>
      </c>
      <c r="I13" s="11">
        <f t="shared" si="6"/>
        <v>0</v>
      </c>
      <c r="J13" s="11">
        <f t="shared" si="6"/>
        <v>0</v>
      </c>
      <c r="K13" s="11">
        <f t="shared" si="6"/>
        <v>0</v>
      </c>
      <c r="L13" s="11">
        <f t="shared" si="6"/>
        <v>0</v>
      </c>
      <c r="M13" s="11">
        <f t="shared" si="6"/>
        <v>0</v>
      </c>
      <c r="N13" s="11">
        <f t="shared" si="6"/>
        <v>0</v>
      </c>
    </row>
    <row r="14" spans="2:14" ht="25.5">
      <c r="B14" s="10" t="s">
        <v>274</v>
      </c>
      <c r="C14" s="11">
        <f>+C95</f>
        <v>0</v>
      </c>
      <c r="D14" s="11">
        <f t="shared" ref="D14:N14" si="7">+D95</f>
        <v>0</v>
      </c>
      <c r="E14" s="11">
        <f t="shared" si="7"/>
        <v>0</v>
      </c>
      <c r="F14" s="11">
        <f t="shared" si="7"/>
        <v>0</v>
      </c>
      <c r="G14" s="11">
        <f t="shared" si="7"/>
        <v>0</v>
      </c>
      <c r="H14" s="11">
        <f t="shared" si="7"/>
        <v>0</v>
      </c>
      <c r="I14" s="11">
        <f t="shared" si="7"/>
        <v>0</v>
      </c>
      <c r="J14" s="11">
        <f t="shared" si="7"/>
        <v>0</v>
      </c>
      <c r="K14" s="11">
        <f t="shared" si="7"/>
        <v>0</v>
      </c>
      <c r="L14" s="11">
        <f t="shared" si="7"/>
        <v>0</v>
      </c>
      <c r="M14" s="11">
        <f t="shared" si="7"/>
        <v>0</v>
      </c>
      <c r="N14" s="11">
        <f t="shared" si="7"/>
        <v>0</v>
      </c>
    </row>
    <row r="15" spans="2:14" ht="25.5">
      <c r="B15" s="12" t="s">
        <v>275</v>
      </c>
      <c r="C15" s="13">
        <f>+C13+C14</f>
        <v>0</v>
      </c>
      <c r="D15" s="13">
        <f t="shared" ref="D15:N15" si="8">+D13+D14</f>
        <v>0</v>
      </c>
      <c r="E15" s="13">
        <f t="shared" si="8"/>
        <v>0</v>
      </c>
      <c r="F15" s="13">
        <f t="shared" si="8"/>
        <v>0</v>
      </c>
      <c r="G15" s="13">
        <f t="shared" si="8"/>
        <v>0</v>
      </c>
      <c r="H15" s="13">
        <f t="shared" si="8"/>
        <v>0</v>
      </c>
      <c r="I15" s="13">
        <f t="shared" si="8"/>
        <v>0</v>
      </c>
      <c r="J15" s="13">
        <f t="shared" si="8"/>
        <v>0</v>
      </c>
      <c r="K15" s="13">
        <f t="shared" si="8"/>
        <v>0</v>
      </c>
      <c r="L15" s="13">
        <f t="shared" si="8"/>
        <v>0</v>
      </c>
      <c r="M15" s="13">
        <f t="shared" si="8"/>
        <v>0</v>
      </c>
      <c r="N15" s="13">
        <f t="shared" si="8"/>
        <v>0</v>
      </c>
    </row>
    <row r="16" spans="2:14" ht="25.5">
      <c r="B16" s="14" t="s">
        <v>276</v>
      </c>
      <c r="C16" s="15">
        <f>+C108</f>
        <v>0</v>
      </c>
      <c r="D16" s="15">
        <f t="shared" ref="D16:N16" si="9">+D108</f>
        <v>0</v>
      </c>
      <c r="E16" s="15">
        <f t="shared" si="9"/>
        <v>0</v>
      </c>
      <c r="F16" s="15">
        <f t="shared" si="9"/>
        <v>0</v>
      </c>
      <c r="G16" s="15">
        <f t="shared" si="9"/>
        <v>0</v>
      </c>
      <c r="H16" s="15">
        <f t="shared" si="9"/>
        <v>0</v>
      </c>
      <c r="I16" s="15">
        <f t="shared" si="9"/>
        <v>0</v>
      </c>
      <c r="J16" s="15">
        <f t="shared" si="9"/>
        <v>0</v>
      </c>
      <c r="K16" s="15">
        <f t="shared" si="9"/>
        <v>0</v>
      </c>
      <c r="L16" s="15">
        <f t="shared" si="9"/>
        <v>0</v>
      </c>
      <c r="M16" s="15">
        <f t="shared" si="9"/>
        <v>0</v>
      </c>
      <c r="N16" s="15">
        <f t="shared" si="9"/>
        <v>0</v>
      </c>
    </row>
    <row r="17" spans="2:14" ht="25.5">
      <c r="B17" s="79" t="s">
        <v>278</v>
      </c>
      <c r="C17" s="180"/>
      <c r="D17" s="180"/>
      <c r="E17" s="180"/>
      <c r="F17" s="180"/>
      <c r="G17" s="180"/>
      <c r="H17" s="180"/>
      <c r="I17" s="180"/>
      <c r="J17" s="180"/>
      <c r="K17" s="80"/>
      <c r="L17" s="80"/>
      <c r="M17" s="80"/>
      <c r="N17" s="80"/>
    </row>
    <row r="19" spans="2:14" ht="25.5">
      <c r="B19" s="18" t="s">
        <v>685</v>
      </c>
      <c r="C19" s="22" t="e">
        <f>+C16/C17</f>
        <v>#DIV/0!</v>
      </c>
      <c r="D19" s="22" t="e">
        <f t="shared" ref="D19:N19" si="10">+D16/D17</f>
        <v>#DIV/0!</v>
      </c>
      <c r="E19" s="22" t="e">
        <f t="shared" si="10"/>
        <v>#DIV/0!</v>
      </c>
      <c r="F19" s="22" t="e">
        <f t="shared" si="10"/>
        <v>#DIV/0!</v>
      </c>
      <c r="G19" s="22" t="e">
        <f t="shared" si="10"/>
        <v>#DIV/0!</v>
      </c>
      <c r="H19" s="22" t="e">
        <f t="shared" si="10"/>
        <v>#DIV/0!</v>
      </c>
      <c r="I19" s="22" t="e">
        <f t="shared" si="10"/>
        <v>#DIV/0!</v>
      </c>
      <c r="J19" s="22" t="e">
        <f t="shared" si="10"/>
        <v>#DIV/0!</v>
      </c>
      <c r="K19" s="22" t="e">
        <f t="shared" si="10"/>
        <v>#DIV/0!</v>
      </c>
      <c r="L19" s="22" t="e">
        <f t="shared" si="10"/>
        <v>#DIV/0!</v>
      </c>
      <c r="M19" s="22" t="e">
        <f t="shared" si="10"/>
        <v>#DIV/0!</v>
      </c>
      <c r="N19" s="22" t="e">
        <f t="shared" si="10"/>
        <v>#DIV/0!</v>
      </c>
    </row>
    <row r="20" spans="2:14" ht="25.5">
      <c r="B20" s="18" t="s">
        <v>656</v>
      </c>
      <c r="C20" s="19" t="e">
        <f>+C19*C44</f>
        <v>#DIV/0!</v>
      </c>
      <c r="D20" s="19" t="e">
        <f t="shared" ref="D20:N20" si="11">+D19*D44</f>
        <v>#DIV/0!</v>
      </c>
      <c r="E20" s="19" t="e">
        <f t="shared" si="11"/>
        <v>#DIV/0!</v>
      </c>
      <c r="F20" s="19" t="e">
        <f t="shared" si="11"/>
        <v>#DIV/0!</v>
      </c>
      <c r="G20" s="19" t="e">
        <f t="shared" si="11"/>
        <v>#DIV/0!</v>
      </c>
      <c r="H20" s="19" t="e">
        <f t="shared" si="11"/>
        <v>#DIV/0!</v>
      </c>
      <c r="I20" s="19" t="e">
        <f t="shared" si="11"/>
        <v>#DIV/0!</v>
      </c>
      <c r="J20" s="19" t="e">
        <f t="shared" si="11"/>
        <v>#DIV/0!</v>
      </c>
      <c r="K20" s="19" t="e">
        <f t="shared" si="11"/>
        <v>#DIV/0!</v>
      </c>
      <c r="L20" s="19" t="e">
        <f t="shared" si="11"/>
        <v>#DIV/0!</v>
      </c>
      <c r="M20" s="19" t="e">
        <f t="shared" si="11"/>
        <v>#DIV/0!</v>
      </c>
      <c r="N20" s="19" t="e">
        <f t="shared" si="11"/>
        <v>#DIV/0!</v>
      </c>
    </row>
    <row r="21" spans="2:14" ht="25.5">
      <c r="B21" s="76" t="s">
        <v>686</v>
      </c>
      <c r="C21" s="77"/>
      <c r="D21" s="77"/>
      <c r="E21" s="77"/>
      <c r="F21" s="77"/>
      <c r="G21" s="77"/>
      <c r="H21" s="101"/>
      <c r="I21" s="101"/>
      <c r="J21" s="101"/>
      <c r="K21" s="101"/>
      <c r="L21" s="101"/>
      <c r="M21" s="101"/>
      <c r="N21" s="101"/>
    </row>
    <row r="22" spans="2:14" ht="25.5">
      <c r="B22" s="18" t="s">
        <v>283</v>
      </c>
      <c r="C22" s="22" t="e">
        <f>+C21/C43</f>
        <v>#DIV/0!</v>
      </c>
      <c r="D22" s="22" t="e">
        <f t="shared" ref="D22:N22" si="12">+D21/D43</f>
        <v>#DIV/0!</v>
      </c>
      <c r="E22" s="22" t="e">
        <f t="shared" si="12"/>
        <v>#DIV/0!</v>
      </c>
      <c r="F22" s="22" t="e">
        <f t="shared" si="12"/>
        <v>#DIV/0!</v>
      </c>
      <c r="G22" s="22" t="e">
        <f t="shared" si="12"/>
        <v>#DIV/0!</v>
      </c>
      <c r="H22" s="22" t="e">
        <f t="shared" si="12"/>
        <v>#DIV/0!</v>
      </c>
      <c r="I22" s="22" t="e">
        <f t="shared" si="12"/>
        <v>#DIV/0!</v>
      </c>
      <c r="J22" s="22" t="e">
        <f t="shared" si="12"/>
        <v>#DIV/0!</v>
      </c>
      <c r="K22" s="22" t="e">
        <f t="shared" si="12"/>
        <v>#DIV/0!</v>
      </c>
      <c r="L22" s="22" t="e">
        <f t="shared" si="12"/>
        <v>#DIV/0!</v>
      </c>
      <c r="M22" s="22" t="e">
        <f t="shared" si="12"/>
        <v>#DIV/0!</v>
      </c>
      <c r="N22" s="22" t="e">
        <f t="shared" si="12"/>
        <v>#DIV/0!</v>
      </c>
    </row>
    <row r="23" spans="2:14" ht="25.5">
      <c r="B23" s="18" t="s">
        <v>380</v>
      </c>
      <c r="C23" s="22" t="e">
        <f>+C21/C20</f>
        <v>#DIV/0!</v>
      </c>
      <c r="D23" s="22" t="e">
        <f t="shared" ref="D23:N23" si="13">+D21/D20</f>
        <v>#DIV/0!</v>
      </c>
      <c r="E23" s="22" t="e">
        <f t="shared" si="13"/>
        <v>#DIV/0!</v>
      </c>
      <c r="F23" s="22" t="e">
        <f t="shared" si="13"/>
        <v>#DIV/0!</v>
      </c>
      <c r="G23" s="22" t="e">
        <f t="shared" si="13"/>
        <v>#DIV/0!</v>
      </c>
      <c r="H23" s="22" t="e">
        <f t="shared" si="13"/>
        <v>#DIV/0!</v>
      </c>
      <c r="I23" s="22" t="e">
        <f t="shared" si="13"/>
        <v>#DIV/0!</v>
      </c>
      <c r="J23" s="22" t="e">
        <f t="shared" si="13"/>
        <v>#DIV/0!</v>
      </c>
      <c r="K23" s="22" t="e">
        <f t="shared" si="13"/>
        <v>#DIV/0!</v>
      </c>
      <c r="L23" s="22" t="e">
        <f t="shared" si="13"/>
        <v>#DIV/0!</v>
      </c>
      <c r="M23" s="22" t="e">
        <f t="shared" si="13"/>
        <v>#DIV/0!</v>
      </c>
      <c r="N23" s="22" t="e">
        <f t="shared" si="13"/>
        <v>#DIV/0!</v>
      </c>
    </row>
    <row r="24" spans="2:14" ht="25.5">
      <c r="B24" s="18" t="s">
        <v>285</v>
      </c>
      <c r="C24" s="22" t="e">
        <f>+C22*C23</f>
        <v>#DIV/0!</v>
      </c>
      <c r="D24" s="22" t="e">
        <f t="shared" ref="D24:N24" si="14">+D22*D23</f>
        <v>#DIV/0!</v>
      </c>
      <c r="E24" s="22" t="e">
        <f t="shared" si="14"/>
        <v>#DIV/0!</v>
      </c>
      <c r="F24" s="22" t="e">
        <f t="shared" si="14"/>
        <v>#DIV/0!</v>
      </c>
      <c r="G24" s="22" t="e">
        <f t="shared" si="14"/>
        <v>#DIV/0!</v>
      </c>
      <c r="H24" s="22" t="e">
        <f t="shared" si="14"/>
        <v>#DIV/0!</v>
      </c>
      <c r="I24" s="22" t="e">
        <f t="shared" si="14"/>
        <v>#DIV/0!</v>
      </c>
      <c r="J24" s="22" t="e">
        <f t="shared" si="14"/>
        <v>#DIV/0!</v>
      </c>
      <c r="K24" s="22" t="e">
        <f t="shared" si="14"/>
        <v>#DIV/0!</v>
      </c>
      <c r="L24" s="22" t="e">
        <f t="shared" si="14"/>
        <v>#DIV/0!</v>
      </c>
      <c r="M24" s="22" t="e">
        <f t="shared" si="14"/>
        <v>#DIV/0!</v>
      </c>
      <c r="N24" s="22" t="e">
        <f t="shared" si="14"/>
        <v>#DIV/0!</v>
      </c>
    </row>
    <row r="25" spans="2:14" ht="25.5">
      <c r="B25" s="23" t="s">
        <v>286</v>
      </c>
      <c r="C25" s="24" t="e">
        <f>IF(C45&lt;10%,0,IF(15%&lt;C45,2,1))</f>
        <v>#DIV/0!</v>
      </c>
      <c r="D25" s="24" t="e">
        <f>IF(D45&lt;10%,0,IF(15%&lt;D45,2,1))</f>
        <v>#DIV/0!</v>
      </c>
      <c r="E25" s="24" t="e">
        <f t="shared" ref="E25:N25" si="15">IF(E45&lt;10%,0,IF(15%&lt;E45,2,1))</f>
        <v>#DIV/0!</v>
      </c>
      <c r="F25" s="24" t="e">
        <f t="shared" si="15"/>
        <v>#DIV/0!</v>
      </c>
      <c r="G25" s="24" t="e">
        <f t="shared" si="15"/>
        <v>#DIV/0!</v>
      </c>
      <c r="H25" s="24" t="e">
        <f t="shared" si="15"/>
        <v>#DIV/0!</v>
      </c>
      <c r="I25" s="24" t="e">
        <f t="shared" si="15"/>
        <v>#DIV/0!</v>
      </c>
      <c r="J25" s="24" t="e">
        <f t="shared" si="15"/>
        <v>#DIV/0!</v>
      </c>
      <c r="K25" s="24" t="e">
        <f t="shared" si="15"/>
        <v>#DIV/0!</v>
      </c>
      <c r="L25" s="24" t="e">
        <f t="shared" si="15"/>
        <v>#DIV/0!</v>
      </c>
      <c r="M25" s="24" t="e">
        <f t="shared" si="15"/>
        <v>#DIV/0!</v>
      </c>
      <c r="N25" s="24" t="e">
        <f t="shared" si="15"/>
        <v>#DIV/0!</v>
      </c>
    </row>
    <row r="26" spans="2:14" ht="25.5">
      <c r="B26" s="23" t="s">
        <v>287</v>
      </c>
      <c r="C26" s="24" t="e">
        <f>IF(C45&lt;10%,1,IF(15%&lt;C45,2.5,2))</f>
        <v>#DIV/0!</v>
      </c>
      <c r="D26" s="24" t="e">
        <f t="shared" ref="D26:N26" si="16">IF(D45&lt;10%,1,IF(15%&lt;D45,2.5,2))</f>
        <v>#DIV/0!</v>
      </c>
      <c r="E26" s="24" t="e">
        <f t="shared" si="16"/>
        <v>#DIV/0!</v>
      </c>
      <c r="F26" s="24" t="e">
        <f t="shared" si="16"/>
        <v>#DIV/0!</v>
      </c>
      <c r="G26" s="24" t="e">
        <f t="shared" si="16"/>
        <v>#DIV/0!</v>
      </c>
      <c r="H26" s="24" t="e">
        <f t="shared" si="16"/>
        <v>#DIV/0!</v>
      </c>
      <c r="I26" s="24" t="e">
        <f t="shared" si="16"/>
        <v>#DIV/0!</v>
      </c>
      <c r="J26" s="24" t="e">
        <f t="shared" si="16"/>
        <v>#DIV/0!</v>
      </c>
      <c r="K26" s="24" t="e">
        <f t="shared" si="16"/>
        <v>#DIV/0!</v>
      </c>
      <c r="L26" s="24" t="e">
        <f t="shared" si="16"/>
        <v>#DIV/0!</v>
      </c>
      <c r="M26" s="24" t="e">
        <f t="shared" si="16"/>
        <v>#DIV/0!</v>
      </c>
      <c r="N26" s="24" t="e">
        <f t="shared" si="16"/>
        <v>#DIV/0!</v>
      </c>
    </row>
    <row r="27" spans="2:14" ht="25.5">
      <c r="B27" s="25" t="s">
        <v>288</v>
      </c>
      <c r="C27" s="26" t="e">
        <f>+C25*C20</f>
        <v>#DIV/0!</v>
      </c>
      <c r="D27" s="26" t="e">
        <f t="shared" ref="D27:N27" si="17">+D25*D20</f>
        <v>#DIV/0!</v>
      </c>
      <c r="E27" s="26" t="e">
        <f t="shared" si="17"/>
        <v>#DIV/0!</v>
      </c>
      <c r="F27" s="26" t="e">
        <f t="shared" si="17"/>
        <v>#DIV/0!</v>
      </c>
      <c r="G27" s="26" t="e">
        <f t="shared" si="17"/>
        <v>#DIV/0!</v>
      </c>
      <c r="H27" s="26" t="e">
        <f t="shared" si="17"/>
        <v>#DIV/0!</v>
      </c>
      <c r="I27" s="26" t="e">
        <f t="shared" si="17"/>
        <v>#DIV/0!</v>
      </c>
      <c r="J27" s="26" t="e">
        <f t="shared" si="17"/>
        <v>#DIV/0!</v>
      </c>
      <c r="K27" s="26" t="e">
        <f t="shared" si="17"/>
        <v>#DIV/0!</v>
      </c>
      <c r="L27" s="26" t="e">
        <f t="shared" si="17"/>
        <v>#DIV/0!</v>
      </c>
      <c r="M27" s="26" t="e">
        <f t="shared" si="17"/>
        <v>#DIV/0!</v>
      </c>
      <c r="N27" s="26" t="e">
        <f t="shared" si="17"/>
        <v>#DIV/0!</v>
      </c>
    </row>
    <row r="28" spans="2:14" ht="25.5">
      <c r="B28" s="25" t="s">
        <v>289</v>
      </c>
      <c r="C28" s="26" t="e">
        <f>AVERAGE(C27,C29)</f>
        <v>#DIV/0!</v>
      </c>
      <c r="D28" s="26" t="e">
        <f t="shared" ref="D28:N28" si="18">AVERAGE(D27,D29)</f>
        <v>#DIV/0!</v>
      </c>
      <c r="E28" s="26" t="e">
        <f t="shared" si="18"/>
        <v>#DIV/0!</v>
      </c>
      <c r="F28" s="26" t="e">
        <f t="shared" si="18"/>
        <v>#DIV/0!</v>
      </c>
      <c r="G28" s="26" t="e">
        <f t="shared" si="18"/>
        <v>#DIV/0!</v>
      </c>
      <c r="H28" s="26" t="e">
        <f t="shared" si="18"/>
        <v>#DIV/0!</v>
      </c>
      <c r="I28" s="26" t="e">
        <f t="shared" si="18"/>
        <v>#DIV/0!</v>
      </c>
      <c r="J28" s="26" t="e">
        <f t="shared" si="18"/>
        <v>#DIV/0!</v>
      </c>
      <c r="K28" s="26" t="e">
        <f t="shared" si="18"/>
        <v>#DIV/0!</v>
      </c>
      <c r="L28" s="26" t="e">
        <f t="shared" si="18"/>
        <v>#DIV/0!</v>
      </c>
      <c r="M28" s="26" t="e">
        <f t="shared" si="18"/>
        <v>#DIV/0!</v>
      </c>
      <c r="N28" s="26" t="e">
        <f t="shared" si="18"/>
        <v>#DIV/0!</v>
      </c>
    </row>
    <row r="29" spans="2:14" ht="25.5">
      <c r="B29" s="25" t="s">
        <v>290</v>
      </c>
      <c r="C29" s="26" t="e">
        <f>+C20*C26</f>
        <v>#DIV/0!</v>
      </c>
      <c r="D29" s="26" t="e">
        <f t="shared" ref="D29:N29" si="19">+D20*D26</f>
        <v>#DIV/0!</v>
      </c>
      <c r="E29" s="26" t="e">
        <f t="shared" si="19"/>
        <v>#DIV/0!</v>
      </c>
      <c r="F29" s="26" t="e">
        <f t="shared" si="19"/>
        <v>#DIV/0!</v>
      </c>
      <c r="G29" s="26" t="e">
        <f t="shared" si="19"/>
        <v>#DIV/0!</v>
      </c>
      <c r="H29" s="26" t="e">
        <f t="shared" si="19"/>
        <v>#DIV/0!</v>
      </c>
      <c r="I29" s="26" t="e">
        <f t="shared" si="19"/>
        <v>#DIV/0!</v>
      </c>
      <c r="J29" s="26" t="e">
        <f t="shared" si="19"/>
        <v>#DIV/0!</v>
      </c>
      <c r="K29" s="26" t="e">
        <f t="shared" si="19"/>
        <v>#DIV/0!</v>
      </c>
      <c r="L29" s="26" t="e">
        <f t="shared" si="19"/>
        <v>#DIV/0!</v>
      </c>
      <c r="M29" s="26" t="e">
        <f t="shared" si="19"/>
        <v>#DIV/0!</v>
      </c>
      <c r="N29" s="26" t="e">
        <f t="shared" si="19"/>
        <v>#DIV/0!</v>
      </c>
    </row>
    <row r="31" spans="2:14" ht="25.5">
      <c r="B31" s="243" t="s">
        <v>291</v>
      </c>
      <c r="C31" s="81">
        <f t="shared" ref="C31:N31" si="20">C7-C13</f>
        <v>0</v>
      </c>
      <c r="D31" s="81">
        <f t="shared" si="20"/>
        <v>0</v>
      </c>
      <c r="E31" s="81">
        <f t="shared" si="20"/>
        <v>0</v>
      </c>
      <c r="F31" s="81">
        <f t="shared" si="20"/>
        <v>0</v>
      </c>
      <c r="G31" s="81">
        <f t="shared" si="20"/>
        <v>0</v>
      </c>
      <c r="H31" s="81">
        <f t="shared" si="20"/>
        <v>0</v>
      </c>
      <c r="I31" s="81">
        <f t="shared" si="20"/>
        <v>0</v>
      </c>
      <c r="J31" s="81">
        <f t="shared" si="20"/>
        <v>0</v>
      </c>
      <c r="K31" s="81">
        <f t="shared" si="20"/>
        <v>0</v>
      </c>
      <c r="L31" s="81">
        <f t="shared" si="20"/>
        <v>0</v>
      </c>
      <c r="M31" s="81">
        <f t="shared" si="20"/>
        <v>0</v>
      </c>
      <c r="N31" s="81">
        <f t="shared" si="20"/>
        <v>0</v>
      </c>
    </row>
    <row r="32" spans="2:14" ht="25.5">
      <c r="B32" s="30" t="s">
        <v>149</v>
      </c>
      <c r="C32" s="241" t="e">
        <f t="shared" ref="C32:N32" si="21">C7/C13</f>
        <v>#DIV/0!</v>
      </c>
      <c r="D32" s="241" t="e">
        <f t="shared" si="21"/>
        <v>#DIV/0!</v>
      </c>
      <c r="E32" s="241" t="e">
        <f t="shared" si="21"/>
        <v>#DIV/0!</v>
      </c>
      <c r="F32" s="241" t="e">
        <f t="shared" si="21"/>
        <v>#DIV/0!</v>
      </c>
      <c r="G32" s="241" t="e">
        <f t="shared" si="21"/>
        <v>#DIV/0!</v>
      </c>
      <c r="H32" s="242" t="e">
        <f t="shared" si="21"/>
        <v>#DIV/0!</v>
      </c>
      <c r="I32" s="242" t="e">
        <f t="shared" si="21"/>
        <v>#DIV/0!</v>
      </c>
      <c r="J32" s="242" t="e">
        <f t="shared" si="21"/>
        <v>#DIV/0!</v>
      </c>
      <c r="K32" s="242" t="e">
        <f t="shared" si="21"/>
        <v>#DIV/0!</v>
      </c>
      <c r="L32" s="242" t="e">
        <f t="shared" si="21"/>
        <v>#DIV/0!</v>
      </c>
      <c r="M32" s="242" t="e">
        <f t="shared" si="21"/>
        <v>#DIV/0!</v>
      </c>
      <c r="N32" s="242" t="e">
        <f t="shared" si="21"/>
        <v>#DIV/0!</v>
      </c>
    </row>
    <row r="33" spans="2:14" ht="25.5">
      <c r="B33" s="30" t="s">
        <v>292</v>
      </c>
      <c r="C33" s="241" t="e">
        <f t="shared" ref="C33:N33" si="22">+(C7-C9)/C13</f>
        <v>#DIV/0!</v>
      </c>
      <c r="D33" s="241" t="e">
        <f t="shared" si="22"/>
        <v>#DIV/0!</v>
      </c>
      <c r="E33" s="241" t="e">
        <f t="shared" si="22"/>
        <v>#DIV/0!</v>
      </c>
      <c r="F33" s="241" t="e">
        <f t="shared" si="22"/>
        <v>#DIV/0!</v>
      </c>
      <c r="G33" s="241" t="e">
        <f t="shared" si="22"/>
        <v>#DIV/0!</v>
      </c>
      <c r="H33" s="241" t="e">
        <f t="shared" si="22"/>
        <v>#DIV/0!</v>
      </c>
      <c r="I33" s="241" t="e">
        <f t="shared" si="22"/>
        <v>#DIV/0!</v>
      </c>
      <c r="J33" s="241" t="e">
        <f t="shared" si="22"/>
        <v>#DIV/0!</v>
      </c>
      <c r="K33" s="241" t="e">
        <f t="shared" si="22"/>
        <v>#DIV/0!</v>
      </c>
      <c r="L33" s="241" t="e">
        <f t="shared" si="22"/>
        <v>#DIV/0!</v>
      </c>
      <c r="M33" s="241" t="e">
        <f t="shared" si="22"/>
        <v>#DIV/0!</v>
      </c>
      <c r="N33" s="241" t="e">
        <f t="shared" si="22"/>
        <v>#DIV/0!</v>
      </c>
    </row>
    <row r="34" spans="2:14" ht="25.5">
      <c r="B34" s="32" t="s">
        <v>153</v>
      </c>
      <c r="C34" s="33" t="e">
        <f t="shared" ref="C34:N34" si="23">C15/C12</f>
        <v>#DIV/0!</v>
      </c>
      <c r="D34" s="33" t="e">
        <f t="shared" si="23"/>
        <v>#DIV/0!</v>
      </c>
      <c r="E34" s="33" t="e">
        <f t="shared" si="23"/>
        <v>#DIV/0!</v>
      </c>
      <c r="F34" s="33" t="e">
        <f t="shared" si="23"/>
        <v>#DIV/0!</v>
      </c>
      <c r="G34" s="33" t="e">
        <f t="shared" si="23"/>
        <v>#DIV/0!</v>
      </c>
      <c r="H34" s="33" t="e">
        <f t="shared" si="23"/>
        <v>#DIV/0!</v>
      </c>
      <c r="I34" s="33" t="e">
        <f t="shared" si="23"/>
        <v>#DIV/0!</v>
      </c>
      <c r="J34" s="33" t="e">
        <f t="shared" si="23"/>
        <v>#DIV/0!</v>
      </c>
      <c r="K34" s="33" t="e">
        <f t="shared" si="23"/>
        <v>#DIV/0!</v>
      </c>
      <c r="L34" s="33" t="e">
        <f t="shared" si="23"/>
        <v>#DIV/0!</v>
      </c>
      <c r="M34" s="33" t="e">
        <f t="shared" si="23"/>
        <v>#DIV/0!</v>
      </c>
      <c r="N34" s="33" t="e">
        <f t="shared" si="23"/>
        <v>#DIV/0!</v>
      </c>
    </row>
    <row r="37" spans="2:14" ht="25.5">
      <c r="B37" s="35" t="s">
        <v>293</v>
      </c>
      <c r="C37" s="36">
        <f>+C113</f>
        <v>0</v>
      </c>
      <c r="D37" s="36">
        <f t="shared" ref="D37:N37" si="24">+D113</f>
        <v>0</v>
      </c>
      <c r="E37" s="36">
        <f t="shared" si="24"/>
        <v>0</v>
      </c>
      <c r="F37" s="36">
        <f t="shared" si="24"/>
        <v>0</v>
      </c>
      <c r="G37" s="36">
        <f t="shared" si="24"/>
        <v>0</v>
      </c>
      <c r="H37" s="36">
        <f t="shared" si="24"/>
        <v>0</v>
      </c>
      <c r="I37" s="36">
        <f t="shared" si="24"/>
        <v>0</v>
      </c>
      <c r="J37" s="36">
        <f t="shared" si="24"/>
        <v>0</v>
      </c>
      <c r="K37" s="36">
        <f t="shared" si="24"/>
        <v>0</v>
      </c>
      <c r="L37" s="36">
        <f t="shared" si="24"/>
        <v>0</v>
      </c>
      <c r="M37" s="36">
        <f t="shared" si="24"/>
        <v>0</v>
      </c>
      <c r="N37" s="36">
        <f t="shared" si="24"/>
        <v>0</v>
      </c>
    </row>
    <row r="38" spans="2:14" ht="25.5">
      <c r="B38" s="39" t="s">
        <v>156</v>
      </c>
      <c r="C38" s="40">
        <f>+C120</f>
        <v>0</v>
      </c>
      <c r="D38" s="40">
        <f t="shared" ref="D38:N38" si="25">+D120</f>
        <v>0</v>
      </c>
      <c r="E38" s="40">
        <f t="shared" si="25"/>
        <v>0</v>
      </c>
      <c r="F38" s="40">
        <f t="shared" si="25"/>
        <v>0</v>
      </c>
      <c r="G38" s="40">
        <f t="shared" si="25"/>
        <v>0</v>
      </c>
      <c r="H38" s="40">
        <f t="shared" si="25"/>
        <v>0</v>
      </c>
      <c r="I38" s="40">
        <f t="shared" si="25"/>
        <v>0</v>
      </c>
      <c r="J38" s="40">
        <f t="shared" si="25"/>
        <v>0</v>
      </c>
      <c r="K38" s="40">
        <f t="shared" si="25"/>
        <v>0</v>
      </c>
      <c r="L38" s="40">
        <f t="shared" si="25"/>
        <v>0</v>
      </c>
      <c r="M38" s="40">
        <f t="shared" si="25"/>
        <v>0</v>
      </c>
      <c r="N38" s="40">
        <f t="shared" si="25"/>
        <v>0</v>
      </c>
    </row>
    <row r="39" spans="2:14" ht="25.5">
      <c r="B39" s="35" t="s">
        <v>381</v>
      </c>
      <c r="C39" s="41" t="e">
        <f>C38/C37</f>
        <v>#DIV/0!</v>
      </c>
      <c r="D39" s="41" t="e">
        <f t="shared" ref="D39:N39" si="26">D38/D37</f>
        <v>#DIV/0!</v>
      </c>
      <c r="E39" s="41" t="e">
        <f t="shared" si="26"/>
        <v>#DIV/0!</v>
      </c>
      <c r="F39" s="41" t="e">
        <f t="shared" si="26"/>
        <v>#DIV/0!</v>
      </c>
      <c r="G39" s="41" t="e">
        <f t="shared" si="26"/>
        <v>#DIV/0!</v>
      </c>
      <c r="H39" s="41" t="e">
        <f t="shared" si="26"/>
        <v>#DIV/0!</v>
      </c>
      <c r="I39" s="41" t="e">
        <f t="shared" si="26"/>
        <v>#DIV/0!</v>
      </c>
      <c r="J39" s="41" t="e">
        <f t="shared" si="26"/>
        <v>#DIV/0!</v>
      </c>
      <c r="K39" s="41" t="e">
        <f t="shared" si="26"/>
        <v>#DIV/0!</v>
      </c>
      <c r="L39" s="41" t="e">
        <f t="shared" si="26"/>
        <v>#DIV/0!</v>
      </c>
      <c r="M39" s="41" t="e">
        <f t="shared" si="26"/>
        <v>#DIV/0!</v>
      </c>
      <c r="N39" s="41" t="e">
        <f t="shared" si="26"/>
        <v>#DIV/0!</v>
      </c>
    </row>
    <row r="40" spans="2:14" ht="25.5">
      <c r="B40" s="43" t="s">
        <v>295</v>
      </c>
      <c r="C40" s="44">
        <f>+C130</f>
        <v>0</v>
      </c>
      <c r="D40" s="44">
        <f t="shared" ref="D40:N40" si="27">+D130</f>
        <v>0</v>
      </c>
      <c r="E40" s="44">
        <f t="shared" si="27"/>
        <v>0</v>
      </c>
      <c r="F40" s="44">
        <f t="shared" si="27"/>
        <v>0</v>
      </c>
      <c r="G40" s="44">
        <f t="shared" si="27"/>
        <v>0</v>
      </c>
      <c r="H40" s="44">
        <f t="shared" si="27"/>
        <v>0</v>
      </c>
      <c r="I40" s="44">
        <f t="shared" si="27"/>
        <v>0</v>
      </c>
      <c r="J40" s="44">
        <f t="shared" si="27"/>
        <v>0</v>
      </c>
      <c r="K40" s="44">
        <f t="shared" si="27"/>
        <v>0</v>
      </c>
      <c r="L40" s="44">
        <f t="shared" si="27"/>
        <v>0</v>
      </c>
      <c r="M40" s="44">
        <f t="shared" si="27"/>
        <v>0</v>
      </c>
      <c r="N40" s="44">
        <f t="shared" si="27"/>
        <v>0</v>
      </c>
    </row>
    <row r="41" spans="2:14" ht="25.5">
      <c r="B41" s="30" t="s">
        <v>296</v>
      </c>
      <c r="C41" s="45" t="e">
        <f>C40/C37</f>
        <v>#DIV/0!</v>
      </c>
      <c r="D41" s="45" t="e">
        <f t="shared" ref="D41:N41" si="28">D40/D37</f>
        <v>#DIV/0!</v>
      </c>
      <c r="E41" s="45" t="e">
        <f t="shared" si="28"/>
        <v>#DIV/0!</v>
      </c>
      <c r="F41" s="45" t="e">
        <f t="shared" si="28"/>
        <v>#DIV/0!</v>
      </c>
      <c r="G41" s="45" t="e">
        <f t="shared" si="28"/>
        <v>#DIV/0!</v>
      </c>
      <c r="H41" s="45" t="e">
        <f t="shared" si="28"/>
        <v>#DIV/0!</v>
      </c>
      <c r="I41" s="45" t="e">
        <f t="shared" si="28"/>
        <v>#DIV/0!</v>
      </c>
      <c r="J41" s="45" t="e">
        <f t="shared" si="28"/>
        <v>#DIV/0!</v>
      </c>
      <c r="K41" s="45" t="e">
        <f t="shared" si="28"/>
        <v>#DIV/0!</v>
      </c>
      <c r="L41" s="45" t="e">
        <f t="shared" si="28"/>
        <v>#DIV/0!</v>
      </c>
      <c r="M41" s="45" t="e">
        <f t="shared" si="28"/>
        <v>#DIV/0!</v>
      </c>
      <c r="N41" s="45" t="e">
        <f t="shared" si="28"/>
        <v>#DIV/0!</v>
      </c>
    </row>
    <row r="42" spans="2:14" ht="25.5">
      <c r="B42" s="46" t="s">
        <v>658</v>
      </c>
      <c r="C42" s="121">
        <f>+C131</f>
        <v>0</v>
      </c>
      <c r="D42" s="121">
        <f t="shared" ref="D42:N42" si="29">+D131</f>
        <v>0</v>
      </c>
      <c r="E42" s="121">
        <f t="shared" si="29"/>
        <v>0</v>
      </c>
      <c r="F42" s="121">
        <f t="shared" si="29"/>
        <v>0</v>
      </c>
      <c r="G42" s="121">
        <f t="shared" si="29"/>
        <v>0</v>
      </c>
      <c r="H42" s="121">
        <f t="shared" si="29"/>
        <v>0</v>
      </c>
      <c r="I42" s="121">
        <f t="shared" si="29"/>
        <v>0</v>
      </c>
      <c r="J42" s="121">
        <f t="shared" si="29"/>
        <v>0</v>
      </c>
      <c r="K42" s="121">
        <f t="shared" si="29"/>
        <v>0</v>
      </c>
      <c r="L42" s="121">
        <f t="shared" si="29"/>
        <v>0</v>
      </c>
      <c r="M42" s="121">
        <f t="shared" si="29"/>
        <v>0</v>
      </c>
      <c r="N42" s="121">
        <f t="shared" si="29"/>
        <v>0</v>
      </c>
    </row>
    <row r="43" spans="2:14" ht="25.5">
      <c r="B43" s="46" t="s">
        <v>659</v>
      </c>
      <c r="C43" s="181">
        <f>+C42*C44</f>
        <v>0</v>
      </c>
      <c r="D43" s="181">
        <f t="shared" ref="D43:N43" si="30">+D42*D44</f>
        <v>0</v>
      </c>
      <c r="E43" s="181">
        <f t="shared" si="30"/>
        <v>0</v>
      </c>
      <c r="F43" s="181">
        <f t="shared" si="30"/>
        <v>0</v>
      </c>
      <c r="G43" s="181">
        <f t="shared" si="30"/>
        <v>0</v>
      </c>
      <c r="H43" s="181">
        <f t="shared" si="30"/>
        <v>0</v>
      </c>
      <c r="I43" s="181">
        <f t="shared" si="30"/>
        <v>0</v>
      </c>
      <c r="J43" s="181">
        <f t="shared" si="30"/>
        <v>0</v>
      </c>
      <c r="K43" s="181">
        <f t="shared" si="30"/>
        <v>0</v>
      </c>
      <c r="L43" s="181">
        <f t="shared" si="30"/>
        <v>0</v>
      </c>
      <c r="M43" s="181">
        <f t="shared" si="30"/>
        <v>0</v>
      </c>
      <c r="N43" s="181">
        <f t="shared" si="30"/>
        <v>0</v>
      </c>
    </row>
    <row r="44" spans="2:14" ht="25.5">
      <c r="B44" s="79" t="s">
        <v>600</v>
      </c>
      <c r="C44" s="173">
        <v>668.8</v>
      </c>
      <c r="D44" s="173">
        <v>680</v>
      </c>
      <c r="E44" s="173">
        <v>694</v>
      </c>
      <c r="F44" s="173">
        <v>764</v>
      </c>
      <c r="G44" s="173">
        <v>852</v>
      </c>
      <c r="H44" s="173">
        <v>848.25</v>
      </c>
      <c r="I44" s="173">
        <v>884.59</v>
      </c>
      <c r="J44" s="174"/>
      <c r="K44" s="174"/>
      <c r="L44" s="174"/>
      <c r="M44" s="174"/>
      <c r="N44" s="174"/>
    </row>
    <row r="45" spans="2:14" ht="25.5">
      <c r="B45" s="48" t="s">
        <v>160</v>
      </c>
      <c r="C45" s="49" t="e">
        <f t="shared" ref="C45:N45" si="31">C40/C16</f>
        <v>#DIV/0!</v>
      </c>
      <c r="D45" s="49" t="e">
        <f t="shared" si="31"/>
        <v>#DIV/0!</v>
      </c>
      <c r="E45" s="49" t="e">
        <f t="shared" si="31"/>
        <v>#DIV/0!</v>
      </c>
      <c r="F45" s="49" t="e">
        <f t="shared" si="31"/>
        <v>#DIV/0!</v>
      </c>
      <c r="G45" s="49" t="e">
        <f t="shared" si="31"/>
        <v>#DIV/0!</v>
      </c>
      <c r="H45" s="49" t="e">
        <f t="shared" si="31"/>
        <v>#DIV/0!</v>
      </c>
      <c r="I45" s="49" t="e">
        <f t="shared" si="31"/>
        <v>#DIV/0!</v>
      </c>
      <c r="J45" s="49" t="e">
        <f t="shared" si="31"/>
        <v>#DIV/0!</v>
      </c>
      <c r="K45" s="49" t="e">
        <f t="shared" si="31"/>
        <v>#DIV/0!</v>
      </c>
      <c r="L45" s="49" t="e">
        <f t="shared" si="31"/>
        <v>#DIV/0!</v>
      </c>
      <c r="M45" s="49" t="e">
        <f t="shared" si="31"/>
        <v>#DIV/0!</v>
      </c>
      <c r="N45" s="49" t="e">
        <f t="shared" si="31"/>
        <v>#DIV/0!</v>
      </c>
    </row>
    <row r="46" spans="2:14" ht="25.5">
      <c r="B46" s="48" t="s">
        <v>382</v>
      </c>
      <c r="C46" s="49" t="e">
        <f>AVERAGE(E45:I45)</f>
        <v>#DIV/0!</v>
      </c>
      <c r="D46" s="49"/>
      <c r="E46" s="49"/>
      <c r="F46" s="49"/>
      <c r="G46" s="49"/>
      <c r="H46" s="49"/>
      <c r="I46" s="49"/>
      <c r="J46" s="49"/>
      <c r="K46" s="49"/>
      <c r="L46" s="49"/>
      <c r="M46" s="49"/>
      <c r="N46" s="49"/>
    </row>
    <row r="47" spans="2:14" ht="25.5">
      <c r="B47" s="48" t="s">
        <v>298</v>
      </c>
      <c r="C47" s="50">
        <f>+C143</f>
        <v>0</v>
      </c>
      <c r="D47" s="50">
        <f t="shared" ref="D47:N47" si="32">+D143</f>
        <v>0</v>
      </c>
      <c r="E47" s="50">
        <f t="shared" si="32"/>
        <v>0</v>
      </c>
      <c r="F47" s="50">
        <f t="shared" si="32"/>
        <v>0</v>
      </c>
      <c r="G47" s="50">
        <f t="shared" si="32"/>
        <v>0</v>
      </c>
      <c r="H47" s="50">
        <f t="shared" si="32"/>
        <v>0</v>
      </c>
      <c r="I47" s="50">
        <f t="shared" si="32"/>
        <v>0</v>
      </c>
      <c r="J47" s="50">
        <f t="shared" si="32"/>
        <v>0</v>
      </c>
      <c r="K47" s="50">
        <f t="shared" si="32"/>
        <v>0</v>
      </c>
      <c r="L47" s="50">
        <f t="shared" si="32"/>
        <v>0</v>
      </c>
      <c r="M47" s="50">
        <f t="shared" si="32"/>
        <v>0</v>
      </c>
      <c r="N47" s="50">
        <f t="shared" si="32"/>
        <v>0</v>
      </c>
    </row>
    <row r="48" spans="2:14" ht="25.5">
      <c r="B48" s="51" t="s">
        <v>119</v>
      </c>
      <c r="C48" s="51">
        <f>SUM(C50:C53)</f>
        <v>0</v>
      </c>
      <c r="D48" s="51">
        <f t="shared" ref="D48:F48" si="33">SUM(D50:D53)</f>
        <v>0</v>
      </c>
      <c r="E48" s="51">
        <f t="shared" si="33"/>
        <v>0</v>
      </c>
      <c r="F48" s="51">
        <f t="shared" si="33"/>
        <v>0</v>
      </c>
      <c r="G48" s="51">
        <f>SUM(G50:G53)</f>
        <v>0</v>
      </c>
      <c r="H48" s="51">
        <f>SUM(H50:H53)</f>
        <v>0</v>
      </c>
      <c r="I48" s="51">
        <f t="shared" ref="I48:N48" si="34">SUM(I50:I52)</f>
        <v>0</v>
      </c>
      <c r="J48" s="51">
        <f t="shared" si="34"/>
        <v>0</v>
      </c>
      <c r="K48" s="51">
        <f t="shared" si="34"/>
        <v>0</v>
      </c>
      <c r="L48" s="51">
        <f t="shared" si="34"/>
        <v>0</v>
      </c>
      <c r="M48" s="51">
        <f t="shared" si="34"/>
        <v>0</v>
      </c>
      <c r="N48" s="51">
        <f t="shared" si="34"/>
        <v>0</v>
      </c>
    </row>
    <row r="49" spans="2:14" ht="25.5">
      <c r="B49" s="51" t="s">
        <v>383</v>
      </c>
      <c r="C49" s="51">
        <f>+C50+C51</f>
        <v>0</v>
      </c>
      <c r="D49" s="51">
        <f t="shared" ref="D49:N49" si="35">+D50+D51</f>
        <v>0</v>
      </c>
      <c r="E49" s="51">
        <f t="shared" si="35"/>
        <v>0</v>
      </c>
      <c r="F49" s="51">
        <f t="shared" si="35"/>
        <v>0</v>
      </c>
      <c r="G49" s="51">
        <f>+G50+G51</f>
        <v>0</v>
      </c>
      <c r="H49" s="51">
        <f t="shared" si="35"/>
        <v>0</v>
      </c>
      <c r="I49" s="51">
        <f t="shared" si="35"/>
        <v>0</v>
      </c>
      <c r="J49" s="51">
        <f t="shared" si="35"/>
        <v>0</v>
      </c>
      <c r="K49" s="51">
        <f t="shared" si="35"/>
        <v>0</v>
      </c>
      <c r="L49" s="51">
        <f t="shared" si="35"/>
        <v>0</v>
      </c>
      <c r="M49" s="51">
        <f t="shared" si="35"/>
        <v>0</v>
      </c>
      <c r="N49" s="51">
        <f t="shared" si="35"/>
        <v>0</v>
      </c>
    </row>
    <row r="50" spans="2:14" ht="18">
      <c r="B50" s="135" t="s">
        <v>121</v>
      </c>
      <c r="C50" s="94"/>
      <c r="D50" s="94"/>
      <c r="E50" s="94"/>
      <c r="F50" s="94"/>
      <c r="G50" s="94"/>
      <c r="H50" s="94"/>
      <c r="I50" s="155"/>
      <c r="J50" s="155"/>
      <c r="K50" s="155"/>
      <c r="L50" s="155"/>
      <c r="M50" s="155"/>
      <c r="N50" s="155"/>
    </row>
    <row r="51" spans="2:14" ht="18">
      <c r="B51" s="135" t="s">
        <v>122</v>
      </c>
      <c r="C51" s="94"/>
      <c r="D51" s="94"/>
      <c r="E51" s="94"/>
      <c r="F51" s="94"/>
      <c r="G51" s="94"/>
      <c r="H51" s="94"/>
      <c r="I51" s="155"/>
      <c r="J51" s="155"/>
      <c r="K51" s="155"/>
      <c r="L51" s="155"/>
      <c r="M51" s="155"/>
      <c r="N51" s="155"/>
    </row>
    <row r="52" spans="2:14" ht="18">
      <c r="B52" s="135" t="s">
        <v>123</v>
      </c>
      <c r="C52" s="94"/>
      <c r="D52" s="94"/>
      <c r="E52" s="94"/>
      <c r="F52" s="94"/>
      <c r="G52" s="94"/>
      <c r="H52" s="94"/>
      <c r="I52" s="155"/>
      <c r="J52" s="155"/>
      <c r="K52" s="155"/>
      <c r="L52" s="155"/>
      <c r="M52" s="155"/>
      <c r="N52" s="155"/>
    </row>
    <row r="53" spans="2:14" ht="18">
      <c r="B53" s="135" t="s">
        <v>124</v>
      </c>
      <c r="C53" s="94"/>
      <c r="D53" s="94"/>
      <c r="E53" s="94"/>
      <c r="F53" s="94"/>
      <c r="G53" s="94"/>
      <c r="H53" s="94"/>
      <c r="I53" s="94"/>
      <c r="J53" s="94"/>
      <c r="K53" s="94"/>
      <c r="L53" s="94"/>
      <c r="M53" s="94"/>
      <c r="N53" s="94"/>
    </row>
    <row r="54" spans="2:14" ht="28.5">
      <c r="B54" s="135" t="s">
        <v>167</v>
      </c>
      <c r="C54" s="156" t="e">
        <f t="shared" ref="C54:N54" si="36">(C51+C52+C53+D50)/C43</f>
        <v>#DIV/0!</v>
      </c>
      <c r="D54" s="156" t="e">
        <f t="shared" si="36"/>
        <v>#DIV/0!</v>
      </c>
      <c r="E54" s="156" t="e">
        <f t="shared" si="36"/>
        <v>#DIV/0!</v>
      </c>
      <c r="F54" s="156" t="e">
        <f>(F51+F52+F53+G50)/F43</f>
        <v>#DIV/0!</v>
      </c>
      <c r="G54" s="156" t="e">
        <f t="shared" si="36"/>
        <v>#DIV/0!</v>
      </c>
      <c r="H54" s="156" t="e">
        <f t="shared" si="36"/>
        <v>#DIV/0!</v>
      </c>
      <c r="I54" s="156" t="e">
        <f t="shared" si="36"/>
        <v>#DIV/0!</v>
      </c>
      <c r="J54" s="156" t="e">
        <f t="shared" si="36"/>
        <v>#DIV/0!</v>
      </c>
      <c r="K54" s="156" t="e">
        <f t="shared" si="36"/>
        <v>#DIV/0!</v>
      </c>
      <c r="L54" s="156" t="e">
        <f t="shared" si="36"/>
        <v>#DIV/0!</v>
      </c>
      <c r="M54" s="156" t="e">
        <f t="shared" si="36"/>
        <v>#DIV/0!</v>
      </c>
      <c r="N54" s="156" t="e">
        <f t="shared" si="36"/>
        <v>#DIV/0!</v>
      </c>
    </row>
    <row r="55" spans="2:14" ht="23.25">
      <c r="B55" s="143" t="s">
        <v>299</v>
      </c>
      <c r="C55" s="144" t="e">
        <f t="shared" ref="C55:N55" si="37">+C48/C21</f>
        <v>#DIV/0!</v>
      </c>
      <c r="D55" s="144" t="e">
        <f t="shared" si="37"/>
        <v>#DIV/0!</v>
      </c>
      <c r="E55" s="144" t="e">
        <f t="shared" si="37"/>
        <v>#DIV/0!</v>
      </c>
      <c r="F55" s="144" t="e">
        <f t="shared" si="37"/>
        <v>#DIV/0!</v>
      </c>
      <c r="G55" s="144" t="e">
        <f t="shared" si="37"/>
        <v>#DIV/0!</v>
      </c>
      <c r="H55" s="144" t="e">
        <f t="shared" si="37"/>
        <v>#DIV/0!</v>
      </c>
      <c r="I55" s="144" t="e">
        <f t="shared" si="37"/>
        <v>#DIV/0!</v>
      </c>
      <c r="J55" s="144" t="e">
        <f t="shared" si="37"/>
        <v>#DIV/0!</v>
      </c>
      <c r="K55" s="144" t="e">
        <f t="shared" si="37"/>
        <v>#DIV/0!</v>
      </c>
      <c r="L55" s="144" t="e">
        <f t="shared" si="37"/>
        <v>#DIV/0!</v>
      </c>
      <c r="M55" s="144" t="e">
        <f t="shared" si="37"/>
        <v>#DIV/0!</v>
      </c>
      <c r="N55" s="144" t="e">
        <f t="shared" si="37"/>
        <v>#DIV/0!</v>
      </c>
    </row>
    <row r="56" spans="2:14" ht="25.5">
      <c r="B56" s="354" t="s">
        <v>176</v>
      </c>
      <c r="C56" s="355" t="e">
        <f>+C45*(100%-C54)</f>
        <v>#DIV/0!</v>
      </c>
      <c r="D56" s="355" t="e">
        <f t="shared" ref="D56:N56" si="38">+D45*(100%-D54)</f>
        <v>#DIV/0!</v>
      </c>
      <c r="E56" s="355" t="e">
        <f t="shared" si="38"/>
        <v>#DIV/0!</v>
      </c>
      <c r="F56" s="355" t="e">
        <f t="shared" si="38"/>
        <v>#DIV/0!</v>
      </c>
      <c r="G56" s="355" t="e">
        <f t="shared" si="38"/>
        <v>#DIV/0!</v>
      </c>
      <c r="H56" s="355" t="e">
        <f t="shared" si="38"/>
        <v>#DIV/0!</v>
      </c>
      <c r="I56" s="355" t="e">
        <f t="shared" si="38"/>
        <v>#DIV/0!</v>
      </c>
      <c r="J56" s="355" t="e">
        <f t="shared" si="38"/>
        <v>#DIV/0!</v>
      </c>
      <c r="K56" s="355" t="e">
        <f t="shared" si="38"/>
        <v>#DIV/0!</v>
      </c>
      <c r="L56" s="355" t="e">
        <f t="shared" si="38"/>
        <v>#DIV/0!</v>
      </c>
      <c r="M56" s="355" t="e">
        <f t="shared" si="38"/>
        <v>#DIV/0!</v>
      </c>
      <c r="N56" s="355" t="e">
        <f t="shared" si="38"/>
        <v>#DIV/0!</v>
      </c>
    </row>
    <row r="58" spans="2:14">
      <c r="B58" s="75" t="s">
        <v>307</v>
      </c>
    </row>
    <row r="59" spans="2:14" ht="14.65" thickBot="1"/>
    <row r="60" spans="2:14">
      <c r="B60" s="57" t="s">
        <v>385</v>
      </c>
      <c r="C60" s="158">
        <v>2017</v>
      </c>
      <c r="D60" s="158">
        <v>2018</v>
      </c>
      <c r="E60" s="158">
        <v>2019</v>
      </c>
      <c r="F60" s="158">
        <v>2020</v>
      </c>
      <c r="G60" s="158">
        <v>2021</v>
      </c>
      <c r="H60" s="158">
        <v>2022</v>
      </c>
      <c r="I60" s="158">
        <v>2023</v>
      </c>
      <c r="J60" s="158">
        <v>2024</v>
      </c>
      <c r="K60" s="158">
        <v>2025</v>
      </c>
      <c r="L60" s="158">
        <v>2026</v>
      </c>
      <c r="M60" s="158">
        <v>2027</v>
      </c>
      <c r="N60" s="158">
        <v>2028</v>
      </c>
    </row>
    <row r="61" spans="2:14">
      <c r="B61" s="157" t="s">
        <v>309</v>
      </c>
      <c r="C61" s="66"/>
      <c r="D61" s="66"/>
      <c r="E61" s="66"/>
      <c r="F61" s="66"/>
      <c r="G61" s="66"/>
      <c r="H61" s="66"/>
      <c r="I61" s="66"/>
      <c r="J61" s="66"/>
      <c r="K61" s="66"/>
      <c r="L61" s="66"/>
      <c r="M61" s="66"/>
      <c r="N61" s="66"/>
    </row>
    <row r="62" spans="2:14">
      <c r="B62" s="58" t="s">
        <v>310</v>
      </c>
      <c r="C62" s="64"/>
      <c r="D62" s="64"/>
      <c r="E62" s="64"/>
      <c r="F62" s="69"/>
      <c r="G62" s="64"/>
      <c r="H62" s="64"/>
      <c r="I62" s="64"/>
      <c r="J62" s="64"/>
      <c r="K62" s="64"/>
      <c r="L62" s="64"/>
      <c r="M62" s="64"/>
      <c r="N62" s="64"/>
    </row>
    <row r="63" spans="2:14">
      <c r="B63" s="59" t="s">
        <v>386</v>
      </c>
      <c r="C63" s="66"/>
      <c r="D63" s="66"/>
      <c r="E63" s="66"/>
      <c r="F63" s="66"/>
      <c r="G63" s="66"/>
      <c r="H63" s="160"/>
      <c r="I63" s="66"/>
      <c r="J63" s="66"/>
      <c r="K63" s="66"/>
      <c r="L63" s="66"/>
      <c r="M63" s="66"/>
      <c r="N63" s="66"/>
    </row>
    <row r="64" spans="2:14">
      <c r="B64" s="59" t="s">
        <v>387</v>
      </c>
      <c r="C64" s="139"/>
      <c r="D64" s="133"/>
      <c r="E64" s="133"/>
      <c r="F64" s="358"/>
      <c r="G64" s="66"/>
      <c r="H64" s="160"/>
      <c r="I64" s="66"/>
      <c r="J64" s="66"/>
      <c r="K64" s="66"/>
      <c r="L64" s="66"/>
      <c r="M64" s="66"/>
      <c r="N64" s="66"/>
    </row>
    <row r="65" spans="2:14">
      <c r="B65" s="59" t="s">
        <v>388</v>
      </c>
      <c r="C65" s="66"/>
      <c r="D65" s="66"/>
      <c r="E65" s="66"/>
      <c r="F65" s="66"/>
      <c r="G65" s="66"/>
      <c r="H65" s="160"/>
      <c r="I65" s="66"/>
      <c r="J65" s="66"/>
      <c r="K65" s="66"/>
      <c r="L65" s="66"/>
      <c r="M65" s="66"/>
      <c r="N65" s="66"/>
    </row>
    <row r="66" spans="2:14">
      <c r="B66" s="59" t="s">
        <v>389</v>
      </c>
      <c r="C66" s="359"/>
      <c r="D66" s="359"/>
      <c r="E66" s="359"/>
      <c r="F66" s="359"/>
      <c r="G66" s="66"/>
      <c r="H66" s="160"/>
      <c r="I66" s="66"/>
      <c r="J66" s="66"/>
      <c r="K66" s="66"/>
      <c r="L66" s="66"/>
      <c r="M66" s="66"/>
      <c r="N66" s="66"/>
    </row>
    <row r="67" spans="2:14">
      <c r="B67" s="59" t="s">
        <v>390</v>
      </c>
      <c r="C67" s="359"/>
      <c r="D67" s="359"/>
      <c r="E67" s="359"/>
      <c r="F67" s="359"/>
      <c r="G67" s="360"/>
      <c r="H67" s="359"/>
      <c r="I67" s="66"/>
      <c r="J67" s="66"/>
      <c r="K67" s="66"/>
      <c r="L67" s="66"/>
      <c r="M67" s="66"/>
      <c r="N67" s="66"/>
    </row>
    <row r="68" spans="2:14">
      <c r="B68" s="59" t="s">
        <v>391</v>
      </c>
      <c r="C68" s="359"/>
      <c r="D68" s="359"/>
      <c r="E68" s="359"/>
      <c r="F68" s="359"/>
      <c r="G68" s="66"/>
      <c r="H68" s="160"/>
      <c r="I68" s="66"/>
      <c r="J68" s="66"/>
      <c r="K68" s="66"/>
      <c r="L68" s="66"/>
      <c r="M68" s="66"/>
      <c r="N68" s="66"/>
    </row>
    <row r="69" spans="2:14">
      <c r="B69" s="59" t="s">
        <v>392</v>
      </c>
      <c r="C69" s="66"/>
      <c r="D69" s="66"/>
      <c r="E69" s="66"/>
      <c r="F69" s="66"/>
      <c r="G69" s="66"/>
      <c r="H69" s="160"/>
      <c r="I69" s="66"/>
      <c r="J69" s="66"/>
      <c r="K69" s="66"/>
      <c r="L69" s="66"/>
      <c r="M69" s="66"/>
      <c r="N69" s="66"/>
    </row>
    <row r="70" spans="2:14">
      <c r="B70" s="59" t="s">
        <v>318</v>
      </c>
      <c r="C70" s="66">
        <f t="shared" ref="C70:M70" si="39">+C62-C63-C68-C69-C67-C66-C65-C64</f>
        <v>0</v>
      </c>
      <c r="D70" s="66">
        <f t="shared" si="39"/>
        <v>0</v>
      </c>
      <c r="E70" s="66">
        <f t="shared" si="39"/>
        <v>0</v>
      </c>
      <c r="F70" s="66">
        <f t="shared" si="39"/>
        <v>0</v>
      </c>
      <c r="G70" s="66">
        <f t="shared" si="39"/>
        <v>0</v>
      </c>
      <c r="H70" s="66">
        <f t="shared" si="39"/>
        <v>0</v>
      </c>
      <c r="I70" s="66">
        <f t="shared" si="39"/>
        <v>0</v>
      </c>
      <c r="J70" s="66">
        <f t="shared" si="39"/>
        <v>0</v>
      </c>
      <c r="K70" s="66">
        <f t="shared" si="39"/>
        <v>0</v>
      </c>
      <c r="L70" s="66">
        <f t="shared" si="39"/>
        <v>0</v>
      </c>
      <c r="M70" s="66">
        <f t="shared" si="39"/>
        <v>0</v>
      </c>
      <c r="N70" s="66"/>
    </row>
    <row r="71" spans="2:14">
      <c r="B71" s="58" t="s">
        <v>319</v>
      </c>
      <c r="C71" s="64"/>
      <c r="D71" s="64"/>
      <c r="E71" s="64"/>
      <c r="F71" s="69"/>
      <c r="G71" s="64"/>
      <c r="H71" s="141"/>
      <c r="I71" s="64"/>
      <c r="J71" s="64"/>
      <c r="K71" s="64"/>
      <c r="L71" s="64"/>
      <c r="M71" s="64"/>
      <c r="N71" s="64"/>
    </row>
    <row r="72" spans="2:14">
      <c r="B72" s="59" t="s">
        <v>393</v>
      </c>
      <c r="C72" s="66"/>
      <c r="D72" s="66"/>
      <c r="E72" s="66"/>
      <c r="F72" s="66"/>
      <c r="G72" s="67"/>
      <c r="H72" s="131"/>
      <c r="I72" s="66"/>
      <c r="J72" s="66"/>
      <c r="K72" s="66"/>
      <c r="L72" s="66"/>
      <c r="M72" s="66"/>
      <c r="N72" s="66"/>
    </row>
    <row r="73" spans="2:14">
      <c r="B73" s="59" t="s">
        <v>394</v>
      </c>
      <c r="C73" s="66"/>
      <c r="D73" s="66"/>
      <c r="E73" s="66"/>
      <c r="F73" s="66"/>
      <c r="G73" s="67"/>
      <c r="H73" s="131"/>
      <c r="I73" s="66"/>
      <c r="J73" s="66"/>
      <c r="K73" s="66"/>
      <c r="L73" s="66"/>
      <c r="M73" s="66"/>
      <c r="N73" s="66"/>
    </row>
    <row r="74" spans="2:14">
      <c r="B74" s="59" t="s">
        <v>487</v>
      </c>
      <c r="C74" s="66"/>
      <c r="D74" s="66"/>
      <c r="E74" s="66"/>
      <c r="F74" s="66"/>
      <c r="G74" s="66"/>
      <c r="H74" s="160"/>
      <c r="I74" s="66"/>
      <c r="J74" s="66"/>
      <c r="K74" s="66"/>
      <c r="L74" s="66"/>
      <c r="M74" s="66"/>
      <c r="N74" s="66"/>
    </row>
    <row r="75" spans="2:14">
      <c r="B75" s="59" t="s">
        <v>396</v>
      </c>
      <c r="C75" s="66"/>
      <c r="D75" s="66"/>
      <c r="E75" s="66"/>
      <c r="F75" s="66"/>
      <c r="G75" s="66"/>
      <c r="H75" s="160"/>
      <c r="I75" s="66"/>
      <c r="J75" s="66"/>
      <c r="K75" s="66"/>
      <c r="L75" s="66"/>
      <c r="M75" s="66"/>
      <c r="N75" s="66"/>
    </row>
    <row r="76" spans="2:14">
      <c r="B76" s="59" t="s">
        <v>397</v>
      </c>
      <c r="C76" s="66"/>
      <c r="D76" s="66"/>
      <c r="E76" s="66"/>
      <c r="F76" s="66"/>
      <c r="G76" s="66"/>
      <c r="H76" s="160"/>
      <c r="I76" s="66"/>
      <c r="J76" s="66"/>
      <c r="K76" s="66"/>
      <c r="L76" s="66"/>
      <c r="M76" s="66"/>
      <c r="N76" s="66"/>
    </row>
    <row r="77" spans="2:14">
      <c r="B77" s="59" t="s">
        <v>398</v>
      </c>
      <c r="C77" s="66"/>
      <c r="D77" s="66"/>
      <c r="E77" s="66"/>
      <c r="F77" s="68"/>
      <c r="G77" s="66"/>
      <c r="H77" s="160"/>
      <c r="I77" s="66"/>
      <c r="J77" s="66"/>
      <c r="K77" s="66"/>
      <c r="L77" s="66"/>
      <c r="M77" s="66"/>
      <c r="N77" s="66"/>
    </row>
    <row r="78" spans="2:14">
      <c r="B78" s="59" t="s">
        <v>399</v>
      </c>
      <c r="C78" s="66"/>
      <c r="D78" s="66"/>
      <c r="E78" s="66"/>
      <c r="F78" s="66"/>
      <c r="G78" s="66"/>
      <c r="H78" s="66"/>
      <c r="I78" s="66"/>
      <c r="J78" s="66"/>
      <c r="K78" s="66"/>
      <c r="L78" s="66"/>
      <c r="M78" s="66"/>
      <c r="N78" s="66"/>
    </row>
    <row r="79" spans="2:14">
      <c r="B79" s="59" t="s">
        <v>400</v>
      </c>
      <c r="C79" s="66"/>
      <c r="D79" s="66"/>
      <c r="E79" s="66"/>
      <c r="F79" s="161"/>
      <c r="G79" s="66"/>
      <c r="H79" s="160"/>
      <c r="I79" s="66"/>
      <c r="J79" s="66"/>
      <c r="K79" s="66"/>
      <c r="L79" s="66"/>
      <c r="M79" s="66"/>
      <c r="N79" s="66"/>
    </row>
    <row r="80" spans="2:14">
      <c r="B80" s="59" t="s">
        <v>401</v>
      </c>
      <c r="C80" s="66"/>
      <c r="D80" s="66"/>
      <c r="E80" s="66"/>
      <c r="F80" s="66"/>
      <c r="G80" s="66"/>
      <c r="H80" s="160"/>
      <c r="I80" s="66"/>
      <c r="J80" s="66"/>
      <c r="K80" s="66"/>
      <c r="L80" s="66"/>
      <c r="M80" s="66"/>
      <c r="N80" s="66"/>
    </row>
    <row r="81" spans="2:14">
      <c r="B81" s="59" t="s">
        <v>328</v>
      </c>
      <c r="C81" s="66">
        <f t="shared" ref="C81:M81" si="40">+C71-C78-C79-C77-C72-C80-C76-C75-C74-C73</f>
        <v>0</v>
      </c>
      <c r="D81" s="66">
        <f t="shared" si="40"/>
        <v>0</v>
      </c>
      <c r="E81" s="66">
        <f t="shared" si="40"/>
        <v>0</v>
      </c>
      <c r="F81" s="66">
        <f t="shared" si="40"/>
        <v>0</v>
      </c>
      <c r="G81" s="66">
        <f t="shared" si="40"/>
        <v>0</v>
      </c>
      <c r="H81" s="66">
        <f t="shared" si="40"/>
        <v>0</v>
      </c>
      <c r="I81" s="66">
        <f t="shared" si="40"/>
        <v>0</v>
      </c>
      <c r="J81" s="66">
        <f t="shared" si="40"/>
        <v>0</v>
      </c>
      <c r="K81" s="66">
        <f t="shared" si="40"/>
        <v>0</v>
      </c>
      <c r="L81" s="66">
        <f t="shared" si="40"/>
        <v>0</v>
      </c>
      <c r="M81" s="66">
        <f t="shared" si="40"/>
        <v>0</v>
      </c>
      <c r="N81" s="66"/>
    </row>
    <row r="82" spans="2:14" ht="14.65" thickBot="1">
      <c r="B82" s="60" t="s">
        <v>329</v>
      </c>
      <c r="C82" s="70">
        <f t="shared" ref="C82:I82" si="41">+C71+C62</f>
        <v>0</v>
      </c>
      <c r="D82" s="70">
        <f t="shared" si="41"/>
        <v>0</v>
      </c>
      <c r="E82" s="70">
        <f t="shared" si="41"/>
        <v>0</v>
      </c>
      <c r="F82" s="70">
        <f t="shared" si="41"/>
        <v>0</v>
      </c>
      <c r="G82" s="70">
        <f t="shared" si="41"/>
        <v>0</v>
      </c>
      <c r="H82" s="162">
        <f t="shared" si="41"/>
        <v>0</v>
      </c>
      <c r="I82" s="162">
        <f t="shared" si="41"/>
        <v>0</v>
      </c>
      <c r="J82" s="70"/>
      <c r="K82" s="70"/>
      <c r="L82" s="70"/>
      <c r="M82" s="70"/>
      <c r="N82" s="70"/>
    </row>
    <row r="83" spans="2:14" ht="14.65" thickBot="1">
      <c r="B83" s="61"/>
      <c r="C83" s="72"/>
      <c r="D83" s="72"/>
      <c r="E83" s="72"/>
      <c r="F83" s="72"/>
      <c r="G83" s="72"/>
      <c r="H83" s="163"/>
      <c r="I83" s="72"/>
      <c r="J83" s="72"/>
      <c r="K83" s="72"/>
      <c r="L83" s="72"/>
      <c r="M83" s="72"/>
      <c r="N83" s="72"/>
    </row>
    <row r="84" spans="2:14">
      <c r="B84" s="57" t="s">
        <v>330</v>
      </c>
      <c r="C84" s="62"/>
      <c r="D84" s="62"/>
      <c r="E84" s="62"/>
      <c r="F84" s="62"/>
      <c r="G84" s="62"/>
      <c r="H84" s="164"/>
      <c r="I84" s="62"/>
      <c r="J84" s="62"/>
      <c r="K84" s="62"/>
      <c r="L84" s="62"/>
      <c r="M84" s="62"/>
      <c r="N84" s="62"/>
    </row>
    <row r="85" spans="2:14">
      <c r="B85" s="58" t="s">
        <v>310</v>
      </c>
      <c r="C85" s="64"/>
      <c r="D85" s="64"/>
      <c r="E85" s="64"/>
      <c r="F85" s="64"/>
      <c r="G85" s="64"/>
      <c r="H85" s="141"/>
      <c r="I85" s="64"/>
      <c r="J85" s="64"/>
      <c r="K85" s="64"/>
      <c r="L85" s="64"/>
      <c r="M85" s="64"/>
      <c r="N85" s="64"/>
    </row>
    <row r="86" spans="2:14">
      <c r="B86" s="59" t="s">
        <v>402</v>
      </c>
      <c r="C86" s="66"/>
      <c r="D86" s="66"/>
      <c r="E86" s="66"/>
      <c r="F86" s="66"/>
      <c r="G86" s="66"/>
      <c r="H86" s="160"/>
      <c r="I86" s="66"/>
      <c r="J86" s="66"/>
      <c r="K86" s="66"/>
      <c r="L86" s="66"/>
      <c r="M86" s="66"/>
      <c r="N86" s="66"/>
    </row>
    <row r="87" spans="2:14">
      <c r="B87" s="59" t="s">
        <v>403</v>
      </c>
      <c r="C87" s="66"/>
      <c r="D87" s="66"/>
      <c r="E87" s="66"/>
      <c r="F87" s="66"/>
      <c r="G87" s="66"/>
      <c r="H87" s="160"/>
      <c r="I87" s="66"/>
      <c r="J87" s="66"/>
      <c r="K87" s="66"/>
      <c r="L87" s="66"/>
      <c r="M87" s="66"/>
      <c r="N87" s="66"/>
    </row>
    <row r="88" spans="2:14">
      <c r="B88" s="59" t="s">
        <v>404</v>
      </c>
      <c r="C88" s="66"/>
      <c r="D88" s="66"/>
      <c r="E88" s="66"/>
      <c r="F88" s="66"/>
      <c r="G88" s="66"/>
      <c r="H88" s="160"/>
      <c r="I88" s="66"/>
      <c r="J88" s="66"/>
      <c r="K88" s="66"/>
      <c r="L88" s="66"/>
      <c r="M88" s="66"/>
      <c r="N88" s="66"/>
    </row>
    <row r="89" spans="2:14">
      <c r="B89" s="59" t="s">
        <v>405</v>
      </c>
      <c r="C89" s="66"/>
      <c r="D89" s="66"/>
      <c r="E89" s="66"/>
      <c r="F89" s="66"/>
      <c r="G89" s="66"/>
      <c r="H89" s="160"/>
      <c r="I89" s="66"/>
      <c r="J89" s="66"/>
      <c r="K89" s="66"/>
      <c r="L89" s="66"/>
      <c r="M89" s="66"/>
      <c r="N89" s="66"/>
    </row>
    <row r="90" spans="2:14">
      <c r="B90" s="59" t="s">
        <v>406</v>
      </c>
      <c r="C90" s="66"/>
      <c r="D90" s="66"/>
      <c r="E90" s="66"/>
      <c r="F90" s="66"/>
      <c r="G90" s="66"/>
      <c r="H90" s="131"/>
      <c r="I90" s="66"/>
      <c r="J90" s="66"/>
      <c r="K90" s="66"/>
      <c r="L90" s="66"/>
      <c r="M90" s="66"/>
      <c r="N90" s="66"/>
    </row>
    <row r="91" spans="2:14">
      <c r="B91" s="59" t="s">
        <v>407</v>
      </c>
      <c r="C91" s="66"/>
      <c r="D91" s="66"/>
      <c r="E91" s="66"/>
      <c r="F91" s="66"/>
      <c r="G91" s="66"/>
      <c r="H91" s="160"/>
      <c r="I91" s="66"/>
      <c r="J91" s="66"/>
      <c r="K91" s="66"/>
      <c r="L91" s="66"/>
      <c r="M91" s="66"/>
      <c r="N91" s="66"/>
    </row>
    <row r="92" spans="2:14">
      <c r="B92" s="59" t="s">
        <v>408</v>
      </c>
      <c r="C92" s="66"/>
      <c r="D92" s="66"/>
      <c r="E92" s="66"/>
      <c r="F92" s="66"/>
      <c r="G92" s="66"/>
      <c r="H92" s="131"/>
      <c r="I92" s="66"/>
      <c r="J92" s="66"/>
      <c r="K92" s="66"/>
      <c r="L92" s="66"/>
      <c r="M92" s="66"/>
      <c r="N92" s="66"/>
    </row>
    <row r="93" spans="2:14">
      <c r="B93" s="59" t="s">
        <v>409</v>
      </c>
      <c r="C93" s="66"/>
      <c r="D93" s="66"/>
      <c r="E93" s="66"/>
      <c r="F93" s="66"/>
      <c r="G93" s="66"/>
      <c r="H93" s="160"/>
      <c r="I93" s="66"/>
      <c r="J93" s="66"/>
      <c r="K93" s="66"/>
      <c r="L93" s="66"/>
      <c r="M93" s="66"/>
      <c r="N93" s="66"/>
    </row>
    <row r="94" spans="2:14">
      <c r="B94" s="59" t="s">
        <v>410</v>
      </c>
      <c r="C94" s="66">
        <f t="shared" ref="C94:M94" si="42">+C85-C86-C92-C93-C91-C90-C89-C88-C87</f>
        <v>0</v>
      </c>
      <c r="D94" s="66">
        <f t="shared" si="42"/>
        <v>0</v>
      </c>
      <c r="E94" s="66">
        <f t="shared" si="42"/>
        <v>0</v>
      </c>
      <c r="F94" s="66">
        <f t="shared" si="42"/>
        <v>0</v>
      </c>
      <c r="G94" s="66">
        <f t="shared" si="42"/>
        <v>0</v>
      </c>
      <c r="H94" s="66">
        <f t="shared" si="42"/>
        <v>0</v>
      </c>
      <c r="I94" s="66">
        <f>+I85-I86-I92-I93-I91-I90-I89-I88-I87</f>
        <v>0</v>
      </c>
      <c r="J94" s="66">
        <f t="shared" si="42"/>
        <v>0</v>
      </c>
      <c r="K94" s="66">
        <f t="shared" si="42"/>
        <v>0</v>
      </c>
      <c r="L94" s="66">
        <f t="shared" si="42"/>
        <v>0</v>
      </c>
      <c r="M94" s="66">
        <f t="shared" si="42"/>
        <v>0</v>
      </c>
      <c r="N94" s="66"/>
    </row>
    <row r="95" spans="2:14">
      <c r="B95" s="58" t="s">
        <v>319</v>
      </c>
      <c r="C95" s="361"/>
      <c r="D95" s="362"/>
      <c r="E95" s="362"/>
      <c r="F95" s="363"/>
      <c r="G95" s="364"/>
      <c r="H95" s="364"/>
      <c r="I95" s="64"/>
      <c r="J95" s="64"/>
      <c r="K95" s="64"/>
      <c r="L95" s="64"/>
      <c r="M95" s="64"/>
      <c r="N95" s="64"/>
    </row>
    <row r="96" spans="2:14">
      <c r="B96" s="59" t="s">
        <v>411</v>
      </c>
      <c r="C96" s="66"/>
      <c r="D96" s="66"/>
      <c r="E96" s="66"/>
      <c r="F96" s="66"/>
      <c r="G96" s="66"/>
      <c r="H96" s="160"/>
      <c r="I96" s="66"/>
      <c r="J96" s="66"/>
      <c r="K96" s="66"/>
      <c r="L96" s="66"/>
      <c r="M96" s="66"/>
      <c r="N96" s="66"/>
    </row>
    <row r="97" spans="2:14">
      <c r="B97" s="59" t="s">
        <v>412</v>
      </c>
      <c r="C97" s="66"/>
      <c r="D97" s="66"/>
      <c r="E97" s="66"/>
      <c r="F97" s="66"/>
      <c r="G97" s="66"/>
      <c r="H97" s="160"/>
      <c r="I97" s="66"/>
      <c r="J97" s="66"/>
      <c r="K97" s="66"/>
      <c r="L97" s="66"/>
      <c r="M97" s="66"/>
      <c r="N97" s="66"/>
    </row>
    <row r="98" spans="2:14">
      <c r="B98" s="59" t="s">
        <v>413</v>
      </c>
      <c r="C98" s="66"/>
      <c r="D98" s="66"/>
      <c r="E98" s="66"/>
      <c r="F98" s="66"/>
      <c r="G98" s="66"/>
      <c r="H98" s="160"/>
      <c r="I98" s="66"/>
      <c r="J98" s="66"/>
      <c r="K98" s="66"/>
      <c r="L98" s="66"/>
      <c r="M98" s="66"/>
      <c r="N98" s="66"/>
    </row>
    <row r="99" spans="2:14">
      <c r="B99" s="59" t="s">
        <v>414</v>
      </c>
      <c r="C99" s="66"/>
      <c r="D99" s="66"/>
      <c r="E99" s="66"/>
      <c r="F99" s="66"/>
      <c r="G99" s="66"/>
      <c r="H99" s="160"/>
      <c r="I99" s="66"/>
      <c r="J99" s="66"/>
      <c r="K99" s="66"/>
      <c r="L99" s="66"/>
      <c r="M99" s="66"/>
      <c r="N99" s="66"/>
    </row>
    <row r="100" spans="2:14">
      <c r="B100" s="59" t="s">
        <v>341</v>
      </c>
      <c r="C100" s="66">
        <f t="shared" ref="C100:M100" si="43">+C95-C96-C98-C99-C97</f>
        <v>0</v>
      </c>
      <c r="D100" s="66">
        <f t="shared" si="43"/>
        <v>0</v>
      </c>
      <c r="E100" s="66">
        <f t="shared" si="43"/>
        <v>0</v>
      </c>
      <c r="F100" s="66">
        <f t="shared" si="43"/>
        <v>0</v>
      </c>
      <c r="G100" s="66">
        <f t="shared" si="43"/>
        <v>0</v>
      </c>
      <c r="H100" s="66">
        <f t="shared" si="43"/>
        <v>0</v>
      </c>
      <c r="I100" s="66">
        <f t="shared" si="43"/>
        <v>0</v>
      </c>
      <c r="J100" s="66">
        <f t="shared" si="43"/>
        <v>0</v>
      </c>
      <c r="K100" s="66">
        <f t="shared" si="43"/>
        <v>0</v>
      </c>
      <c r="L100" s="66">
        <f t="shared" si="43"/>
        <v>0</v>
      </c>
      <c r="M100" s="66">
        <f t="shared" si="43"/>
        <v>0</v>
      </c>
      <c r="N100" s="66"/>
    </row>
    <row r="101" spans="2:14" ht="14.65" thickBot="1">
      <c r="B101" s="60" t="s">
        <v>342</v>
      </c>
      <c r="C101" s="70">
        <f t="shared" ref="C101:I101" si="44">+C95+C85</f>
        <v>0</v>
      </c>
      <c r="D101" s="70">
        <f t="shared" si="44"/>
        <v>0</v>
      </c>
      <c r="E101" s="70">
        <f t="shared" si="44"/>
        <v>0</v>
      </c>
      <c r="F101" s="70">
        <f t="shared" si="44"/>
        <v>0</v>
      </c>
      <c r="G101" s="70">
        <f t="shared" si="44"/>
        <v>0</v>
      </c>
      <c r="H101" s="162">
        <f t="shared" si="44"/>
        <v>0</v>
      </c>
      <c r="I101" s="162">
        <f t="shared" si="44"/>
        <v>0</v>
      </c>
      <c r="J101" s="70"/>
      <c r="K101" s="70"/>
      <c r="L101" s="70"/>
      <c r="M101" s="70"/>
      <c r="N101" s="70"/>
    </row>
    <row r="102" spans="2:14" ht="14.65" thickBot="1">
      <c r="B102" s="61"/>
      <c r="C102" s="61"/>
      <c r="D102" s="61"/>
      <c r="E102" s="61"/>
      <c r="F102" s="61"/>
      <c r="G102" s="61"/>
      <c r="H102" s="61"/>
      <c r="I102" s="61"/>
      <c r="J102" s="61"/>
      <c r="K102" s="61"/>
      <c r="L102" s="61"/>
      <c r="M102" s="61"/>
      <c r="N102" s="61"/>
    </row>
    <row r="103" spans="2:14" ht="14.65" thickBot="1">
      <c r="B103" s="57" t="s">
        <v>343</v>
      </c>
      <c r="C103" s="62"/>
      <c r="D103" s="62"/>
      <c r="E103" s="62"/>
      <c r="F103" s="62"/>
      <c r="G103" s="62"/>
      <c r="H103" s="164"/>
      <c r="I103" s="62"/>
      <c r="J103" s="62"/>
      <c r="K103" s="62"/>
      <c r="L103" s="62"/>
      <c r="M103" s="62"/>
      <c r="N103" s="62"/>
    </row>
    <row r="104" spans="2:14">
      <c r="B104" s="59" t="s">
        <v>415</v>
      </c>
      <c r="C104" s="62"/>
      <c r="D104" s="160"/>
      <c r="E104" s="160"/>
      <c r="F104" s="160"/>
      <c r="G104" s="160"/>
      <c r="H104" s="160"/>
      <c r="I104" s="160"/>
      <c r="J104" s="160"/>
      <c r="K104" s="160"/>
      <c r="L104" s="160"/>
      <c r="M104" s="160"/>
      <c r="N104" s="160"/>
    </row>
    <row r="105" spans="2:14">
      <c r="B105" s="59" t="s">
        <v>416</v>
      </c>
      <c r="C105" s="66"/>
      <c r="D105" s="66"/>
      <c r="E105" s="68"/>
      <c r="F105" s="66"/>
      <c r="G105" s="66"/>
      <c r="H105" s="160"/>
      <c r="I105" s="66"/>
      <c r="J105" s="66"/>
      <c r="K105" s="66"/>
      <c r="L105" s="66"/>
      <c r="M105" s="66"/>
      <c r="N105" s="66"/>
    </row>
    <row r="106" spans="2:14">
      <c r="B106" s="59" t="s">
        <v>345</v>
      </c>
      <c r="C106" s="66"/>
      <c r="D106" s="66"/>
      <c r="E106" s="66"/>
      <c r="F106" s="66"/>
      <c r="G106" s="66"/>
      <c r="H106" s="160"/>
      <c r="I106" s="66"/>
      <c r="J106" s="66"/>
      <c r="K106" s="66"/>
      <c r="L106" s="66"/>
      <c r="M106" s="66"/>
      <c r="N106" s="66"/>
    </row>
    <row r="107" spans="2:14">
      <c r="B107" s="59" t="s">
        <v>419</v>
      </c>
      <c r="C107" s="66"/>
      <c r="D107" s="66"/>
      <c r="E107" s="66"/>
      <c r="F107" s="66"/>
      <c r="G107" s="66"/>
      <c r="H107" s="160"/>
      <c r="I107" s="66"/>
      <c r="J107" s="66"/>
      <c r="K107" s="66"/>
      <c r="L107" s="66"/>
      <c r="M107" s="66"/>
      <c r="N107" s="66"/>
    </row>
    <row r="108" spans="2:14" ht="14.65" thickBot="1">
      <c r="B108" s="60" t="s">
        <v>420</v>
      </c>
      <c r="C108" s="70">
        <f t="shared" ref="C108:F108" si="45">+C104+C106+C105</f>
        <v>0</v>
      </c>
      <c r="D108" s="70">
        <f t="shared" si="45"/>
        <v>0</v>
      </c>
      <c r="E108" s="70">
        <f t="shared" si="45"/>
        <v>0</v>
      </c>
      <c r="F108" s="70">
        <f t="shared" si="45"/>
        <v>0</v>
      </c>
      <c r="G108" s="70">
        <f>+G104+G106+G105</f>
        <v>0</v>
      </c>
      <c r="H108" s="70">
        <f>+H104+H106+H105</f>
        <v>0</v>
      </c>
      <c r="I108" s="70">
        <f>+I104+I106+I105</f>
        <v>0</v>
      </c>
      <c r="J108" s="70"/>
      <c r="K108" s="70"/>
      <c r="L108" s="70"/>
      <c r="M108" s="70"/>
      <c r="N108" s="70"/>
    </row>
    <row r="109" spans="2:14" ht="14.65" thickBot="1">
      <c r="B109" s="60" t="s">
        <v>347</v>
      </c>
      <c r="C109" s="70">
        <f>+C108+C107</f>
        <v>0</v>
      </c>
      <c r="D109" s="70">
        <f>+D108+D107</f>
        <v>0</v>
      </c>
      <c r="E109" s="70">
        <f>+E108+E107</f>
        <v>0</v>
      </c>
      <c r="F109" s="70">
        <f t="shared" ref="F109:N109" si="46">+F108+F107</f>
        <v>0</v>
      </c>
      <c r="G109" s="70">
        <f t="shared" si="46"/>
        <v>0</v>
      </c>
      <c r="H109" s="70">
        <f t="shared" si="46"/>
        <v>0</v>
      </c>
      <c r="I109" s="70">
        <f t="shared" si="46"/>
        <v>0</v>
      </c>
      <c r="J109" s="70">
        <f t="shared" si="46"/>
        <v>0</v>
      </c>
      <c r="K109" s="70">
        <f t="shared" si="46"/>
        <v>0</v>
      </c>
      <c r="L109" s="70">
        <f t="shared" si="46"/>
        <v>0</v>
      </c>
      <c r="M109" s="70">
        <f t="shared" si="46"/>
        <v>0</v>
      </c>
      <c r="N109" s="70">
        <f t="shared" si="46"/>
        <v>0</v>
      </c>
    </row>
    <row r="111" spans="2:14" ht="14.65" thickBot="1">
      <c r="B111" s="75" t="s">
        <v>348</v>
      </c>
    </row>
    <row r="112" spans="2:14" ht="14.65" thickBot="1">
      <c r="B112" s="82" t="s">
        <v>308</v>
      </c>
      <c r="C112" s="88">
        <v>2017</v>
      </c>
      <c r="D112" s="88">
        <v>2018</v>
      </c>
      <c r="E112" s="88">
        <v>2019</v>
      </c>
      <c r="F112" s="88">
        <v>2020</v>
      </c>
      <c r="G112" s="88">
        <v>2021</v>
      </c>
      <c r="H112" s="88">
        <v>2022</v>
      </c>
      <c r="I112" s="88">
        <v>2023</v>
      </c>
      <c r="J112" s="88">
        <v>2024</v>
      </c>
      <c r="K112" s="88">
        <v>2025</v>
      </c>
      <c r="L112" s="88">
        <v>2026</v>
      </c>
      <c r="M112" s="88">
        <v>2027</v>
      </c>
      <c r="N112" s="88">
        <v>2028</v>
      </c>
    </row>
    <row r="113" spans="2:14">
      <c r="B113" s="83" t="s">
        <v>349</v>
      </c>
      <c r="C113" s="90"/>
      <c r="D113" s="90"/>
      <c r="E113" s="90"/>
      <c r="F113" s="90"/>
      <c r="G113" s="90"/>
      <c r="H113" s="90"/>
      <c r="I113" s="90"/>
      <c r="J113" s="90"/>
      <c r="K113" s="90"/>
      <c r="L113" s="90"/>
      <c r="M113" s="90"/>
      <c r="N113" s="90"/>
    </row>
    <row r="114" spans="2:14">
      <c r="B114" s="85" t="s">
        <v>534</v>
      </c>
      <c r="C114" s="160"/>
      <c r="D114" s="160"/>
      <c r="E114" s="160"/>
      <c r="F114" s="160"/>
      <c r="G114" s="66"/>
      <c r="H114" s="66"/>
      <c r="I114" s="66"/>
      <c r="J114" s="66"/>
      <c r="K114" s="66"/>
      <c r="L114" s="66"/>
      <c r="M114" s="66"/>
      <c r="N114" s="66"/>
    </row>
    <row r="115" spans="2:14">
      <c r="B115" s="86" t="s">
        <v>422</v>
      </c>
      <c r="C115" s="141">
        <f t="shared" ref="C115:F115" si="47">+C113+C114</f>
        <v>0</v>
      </c>
      <c r="D115" s="141">
        <f>+D113+D114</f>
        <v>0</v>
      </c>
      <c r="E115" s="141">
        <f t="shared" si="47"/>
        <v>0</v>
      </c>
      <c r="F115" s="141">
        <f t="shared" si="47"/>
        <v>0</v>
      </c>
      <c r="G115" s="64">
        <f>+G113+G114</f>
        <v>0</v>
      </c>
      <c r="H115" s="64">
        <f t="shared" ref="H115:I115" si="48">+H113+H114</f>
        <v>0</v>
      </c>
      <c r="I115" s="64">
        <f t="shared" si="48"/>
        <v>0</v>
      </c>
      <c r="J115" s="64"/>
      <c r="K115" s="64"/>
      <c r="L115" s="64"/>
      <c r="M115" s="64"/>
      <c r="N115" s="64"/>
    </row>
    <row r="116" spans="2:14">
      <c r="B116" s="85" t="s">
        <v>592</v>
      </c>
      <c r="C116" s="189"/>
      <c r="D116" s="189"/>
      <c r="E116" s="189"/>
      <c r="F116" s="189"/>
      <c r="G116" s="117"/>
      <c r="H116" s="117"/>
      <c r="I116" s="117"/>
      <c r="J116" s="117"/>
      <c r="K116" s="117"/>
      <c r="L116" s="117"/>
      <c r="M116" s="117"/>
      <c r="N116" s="117"/>
    </row>
    <row r="117" spans="2:14">
      <c r="B117" s="85" t="s">
        <v>536</v>
      </c>
      <c r="C117" s="189"/>
      <c r="D117" s="189"/>
      <c r="E117" s="189"/>
      <c r="F117" s="189"/>
      <c r="G117" s="117"/>
      <c r="H117" s="117"/>
      <c r="I117" s="117"/>
      <c r="J117" s="117"/>
      <c r="K117" s="117"/>
      <c r="L117" s="117"/>
      <c r="M117" s="117"/>
      <c r="N117" s="117"/>
    </row>
    <row r="118" spans="2:14">
      <c r="B118" s="85" t="s">
        <v>537</v>
      </c>
      <c r="C118" s="189"/>
      <c r="D118" s="189"/>
      <c r="E118" s="189"/>
      <c r="F118" s="189"/>
      <c r="G118" s="117"/>
      <c r="H118" s="117"/>
      <c r="I118" s="117"/>
      <c r="J118" s="117"/>
      <c r="K118" s="117"/>
      <c r="L118" s="117"/>
      <c r="M118" s="117"/>
      <c r="N118" s="117"/>
    </row>
    <row r="119" spans="2:14">
      <c r="B119" s="85" t="s">
        <v>593</v>
      </c>
      <c r="C119" s="189"/>
      <c r="D119" s="189"/>
      <c r="E119" s="189"/>
      <c r="F119" s="189"/>
      <c r="G119" s="117"/>
      <c r="H119" s="117"/>
      <c r="I119" s="117"/>
      <c r="J119" s="117"/>
      <c r="K119" s="117"/>
      <c r="L119" s="117"/>
      <c r="M119" s="117"/>
      <c r="N119" s="117"/>
    </row>
    <row r="120" spans="2:14">
      <c r="B120" s="86" t="s">
        <v>428</v>
      </c>
      <c r="C120" s="141">
        <f t="shared" ref="C120" si="49">+C115+C119+C116+C117+C118</f>
        <v>0</v>
      </c>
      <c r="D120" s="141"/>
      <c r="E120" s="141"/>
      <c r="F120" s="141"/>
      <c r="G120" s="64"/>
      <c r="H120" s="64"/>
      <c r="I120" s="64"/>
      <c r="J120" s="64"/>
      <c r="K120" s="64"/>
      <c r="L120" s="64"/>
      <c r="M120" s="64"/>
      <c r="N120" s="64"/>
    </row>
    <row r="121" spans="2:14">
      <c r="B121" s="85" t="s">
        <v>429</v>
      </c>
      <c r="C121" s="160"/>
      <c r="D121" s="160"/>
      <c r="E121" s="160"/>
      <c r="F121" s="160"/>
      <c r="G121" s="131"/>
      <c r="H121" s="131"/>
      <c r="I121" s="131"/>
      <c r="J121" s="131"/>
      <c r="K121" s="131"/>
      <c r="L121" s="131"/>
      <c r="M121" s="131"/>
      <c r="N121" s="131"/>
    </row>
    <row r="122" spans="2:14">
      <c r="B122" s="85" t="s">
        <v>430</v>
      </c>
      <c r="C122" s="160"/>
      <c r="D122" s="160"/>
      <c r="E122" s="160"/>
      <c r="F122" s="160"/>
      <c r="G122" s="131"/>
      <c r="H122" s="131"/>
      <c r="I122" s="131"/>
      <c r="J122" s="131"/>
      <c r="K122" s="131"/>
      <c r="L122" s="131"/>
      <c r="M122" s="131"/>
      <c r="N122" s="131"/>
    </row>
    <row r="123" spans="2:14">
      <c r="B123" s="85" t="s">
        <v>431</v>
      </c>
      <c r="C123" s="160"/>
      <c r="D123" s="160"/>
      <c r="E123" s="160"/>
      <c r="F123" s="160"/>
      <c r="G123" s="131"/>
      <c r="H123" s="131"/>
      <c r="I123" s="131"/>
      <c r="J123" s="131"/>
      <c r="K123" s="131"/>
      <c r="L123" s="131"/>
      <c r="M123" s="131"/>
      <c r="N123" s="131"/>
    </row>
    <row r="124" spans="2:14">
      <c r="B124" s="85" t="s">
        <v>432</v>
      </c>
      <c r="C124" s="160"/>
      <c r="D124" s="160"/>
      <c r="E124" s="160"/>
      <c r="F124" s="160"/>
      <c r="G124" s="131"/>
      <c r="H124" s="131"/>
      <c r="I124" s="131"/>
      <c r="J124" s="131"/>
      <c r="K124" s="131"/>
      <c r="L124" s="131"/>
      <c r="M124" s="131"/>
      <c r="N124" s="131"/>
    </row>
    <row r="125" spans="2:14">
      <c r="B125" s="85" t="s">
        <v>433</v>
      </c>
      <c r="C125" s="160"/>
      <c r="D125" s="160"/>
      <c r="E125" s="160"/>
      <c r="F125" s="160"/>
      <c r="G125" s="131"/>
      <c r="H125" s="131"/>
      <c r="I125" s="131"/>
      <c r="J125" s="131"/>
      <c r="K125" s="131"/>
      <c r="L125" s="131"/>
      <c r="M125" s="131"/>
      <c r="N125" s="131"/>
    </row>
    <row r="126" spans="2:14">
      <c r="B126" s="86" t="s">
        <v>362</v>
      </c>
      <c r="C126" s="64">
        <f t="shared" ref="C126:I126" si="50">+C120+C121+C122+C123+C124+C125</f>
        <v>0</v>
      </c>
      <c r="D126" s="64">
        <f t="shared" si="50"/>
        <v>0</v>
      </c>
      <c r="E126" s="64">
        <f t="shared" si="50"/>
        <v>0</v>
      </c>
      <c r="F126" s="64">
        <f t="shared" si="50"/>
        <v>0</v>
      </c>
      <c r="G126" s="64">
        <f t="shared" si="50"/>
        <v>0</v>
      </c>
      <c r="H126" s="64">
        <f t="shared" si="50"/>
        <v>0</v>
      </c>
      <c r="I126" s="64">
        <f t="shared" si="50"/>
        <v>0</v>
      </c>
      <c r="J126" s="64"/>
      <c r="K126" s="64"/>
      <c r="L126" s="64"/>
      <c r="M126" s="64"/>
      <c r="N126" s="64"/>
    </row>
    <row r="127" spans="2:14">
      <c r="B127" s="85" t="s">
        <v>363</v>
      </c>
      <c r="C127" s="160"/>
      <c r="D127" s="160"/>
      <c r="E127" s="160"/>
      <c r="F127" s="160"/>
      <c r="G127" s="91"/>
      <c r="H127" s="91"/>
      <c r="I127" s="91"/>
      <c r="J127" s="91"/>
      <c r="K127" s="91"/>
      <c r="L127" s="91"/>
      <c r="M127" s="91"/>
      <c r="N127" s="91"/>
    </row>
    <row r="128" spans="2:14">
      <c r="B128" s="84" t="s">
        <v>365</v>
      </c>
      <c r="C128" s="130">
        <f t="shared" ref="C128:G128" si="51">+C126+C127</f>
        <v>0</v>
      </c>
      <c r="D128" s="130">
        <f t="shared" si="51"/>
        <v>0</v>
      </c>
      <c r="E128" s="130">
        <f t="shared" si="51"/>
        <v>0</v>
      </c>
      <c r="F128" s="130">
        <f t="shared" si="51"/>
        <v>0</v>
      </c>
      <c r="G128" s="130">
        <f t="shared" si="51"/>
        <v>0</v>
      </c>
      <c r="H128" s="130">
        <f>+H126+H127</f>
        <v>0</v>
      </c>
      <c r="I128" s="130">
        <f>+I126+I127</f>
        <v>0</v>
      </c>
      <c r="J128" s="130"/>
      <c r="K128" s="130"/>
      <c r="L128" s="130"/>
      <c r="M128" s="130"/>
      <c r="N128" s="130"/>
    </row>
    <row r="129" spans="2:14" ht="28.5">
      <c r="B129" s="87" t="s">
        <v>435</v>
      </c>
      <c r="C129" s="66"/>
      <c r="D129" s="66"/>
      <c r="E129" s="66"/>
      <c r="F129" s="66"/>
      <c r="G129" s="91"/>
      <c r="H129" s="91"/>
      <c r="I129" s="91"/>
      <c r="J129" s="91"/>
      <c r="K129" s="91"/>
      <c r="L129" s="91"/>
      <c r="M129" s="91"/>
      <c r="N129" s="91"/>
    </row>
    <row r="130" spans="2:14">
      <c r="B130" s="84" t="s">
        <v>436</v>
      </c>
      <c r="C130" s="66">
        <f>+C128-C129</f>
        <v>0</v>
      </c>
      <c r="D130" s="66">
        <f t="shared" ref="D130:N130" si="52">+D128-D129</f>
        <v>0</v>
      </c>
      <c r="E130" s="66">
        <f t="shared" si="52"/>
        <v>0</v>
      </c>
      <c r="F130" s="66">
        <f t="shared" si="52"/>
        <v>0</v>
      </c>
      <c r="G130" s="66">
        <f t="shared" si="52"/>
        <v>0</v>
      </c>
      <c r="H130" s="66">
        <f t="shared" si="52"/>
        <v>0</v>
      </c>
      <c r="I130" s="66">
        <f t="shared" si="52"/>
        <v>0</v>
      </c>
      <c r="J130" s="66">
        <f t="shared" si="52"/>
        <v>0</v>
      </c>
      <c r="K130" s="66">
        <f t="shared" si="52"/>
        <v>0</v>
      </c>
      <c r="L130" s="66">
        <f t="shared" si="52"/>
        <v>0</v>
      </c>
      <c r="M130" s="66">
        <f t="shared" si="52"/>
        <v>0</v>
      </c>
      <c r="N130" s="66">
        <f t="shared" si="52"/>
        <v>0</v>
      </c>
    </row>
    <row r="131" spans="2:14">
      <c r="B131" s="84" t="s">
        <v>366</v>
      </c>
      <c r="C131" s="111"/>
      <c r="D131" s="111"/>
      <c r="E131" s="111"/>
      <c r="F131" s="134"/>
      <c r="G131" s="134"/>
      <c r="H131" s="134"/>
      <c r="I131" s="134"/>
      <c r="J131" s="134"/>
      <c r="K131" s="134"/>
      <c r="L131" s="134"/>
      <c r="M131" s="134"/>
      <c r="N131" s="134"/>
    </row>
    <row r="133" spans="2:14" ht="14.65" thickBot="1">
      <c r="B133" s="75" t="s">
        <v>367</v>
      </c>
    </row>
    <row r="134" spans="2:14" ht="14.65" thickBot="1">
      <c r="B134" s="82" t="s">
        <v>308</v>
      </c>
      <c r="C134" s="88">
        <v>2017</v>
      </c>
      <c r="D134" s="88">
        <v>2018</v>
      </c>
      <c r="E134" s="88">
        <v>2019</v>
      </c>
      <c r="F134" s="88">
        <v>2020</v>
      </c>
      <c r="G134" s="88">
        <v>2021</v>
      </c>
      <c r="H134" s="88">
        <v>2022</v>
      </c>
      <c r="I134" s="88">
        <v>2023</v>
      </c>
      <c r="J134" s="88">
        <v>2024</v>
      </c>
      <c r="K134" s="88">
        <v>2025</v>
      </c>
      <c r="L134" s="88">
        <v>2026</v>
      </c>
      <c r="M134" s="88">
        <v>2027</v>
      </c>
      <c r="N134" s="88">
        <v>2028</v>
      </c>
    </row>
    <row r="135" spans="2:14">
      <c r="B135" s="83" t="s">
        <v>368</v>
      </c>
      <c r="C135" s="90"/>
      <c r="D135" s="90"/>
      <c r="E135" s="90"/>
      <c r="F135" s="90"/>
      <c r="G135" s="90"/>
      <c r="H135" s="90"/>
      <c r="I135" s="90"/>
      <c r="J135" s="90"/>
      <c r="K135" s="90"/>
      <c r="L135" s="90"/>
      <c r="M135" s="90"/>
      <c r="N135" s="90"/>
    </row>
    <row r="136" spans="2:14">
      <c r="B136" s="86" t="s">
        <v>369</v>
      </c>
      <c r="C136" s="91"/>
      <c r="D136" s="91"/>
      <c r="E136" s="93"/>
      <c r="F136" s="66"/>
      <c r="G136" s="91"/>
      <c r="H136" s="66"/>
      <c r="I136" s="66"/>
      <c r="J136" s="66"/>
      <c r="K136" s="66"/>
      <c r="L136" s="66"/>
      <c r="M136" s="66"/>
      <c r="N136" s="66"/>
    </row>
    <row r="137" spans="2:14">
      <c r="B137" s="85" t="s">
        <v>370</v>
      </c>
      <c r="C137" s="93"/>
      <c r="D137" s="93"/>
      <c r="E137" s="93"/>
      <c r="F137" s="93"/>
      <c r="G137" s="93"/>
      <c r="H137" s="93"/>
      <c r="I137" s="93"/>
      <c r="J137" s="93"/>
      <c r="K137" s="93"/>
      <c r="L137" s="93"/>
      <c r="M137" s="93"/>
      <c r="N137" s="93"/>
    </row>
    <row r="138" spans="2:14">
      <c r="B138" s="86" t="s">
        <v>372</v>
      </c>
      <c r="C138" s="120"/>
      <c r="D138" s="120"/>
      <c r="E138" s="64"/>
      <c r="F138" s="120"/>
      <c r="G138" s="114"/>
      <c r="H138" s="120"/>
      <c r="I138" s="120"/>
      <c r="J138" s="120"/>
      <c r="K138" s="120"/>
      <c r="L138" s="120"/>
      <c r="M138" s="120"/>
      <c r="N138" s="120"/>
    </row>
    <row r="139" spans="2:14">
      <c r="B139" s="85" t="s">
        <v>373</v>
      </c>
      <c r="C139" s="366"/>
      <c r="D139" s="366"/>
      <c r="E139" s="66"/>
      <c r="F139" s="93"/>
      <c r="G139" s="93"/>
      <c r="H139" s="93"/>
      <c r="I139" s="93"/>
      <c r="J139" s="93"/>
      <c r="K139" s="93"/>
      <c r="L139" s="93"/>
      <c r="M139" s="93"/>
      <c r="N139" s="93"/>
    </row>
    <row r="140" spans="2:14">
      <c r="B140" s="85" t="s">
        <v>437</v>
      </c>
      <c r="C140" s="366"/>
      <c r="D140" s="366"/>
      <c r="E140" s="160"/>
      <c r="F140" s="366"/>
      <c r="G140" s="93"/>
      <c r="H140" s="93"/>
      <c r="I140" s="93"/>
      <c r="J140" s="93"/>
      <c r="K140" s="93"/>
      <c r="L140" s="93"/>
      <c r="M140" s="93"/>
      <c r="N140" s="93"/>
    </row>
    <row r="141" spans="2:14">
      <c r="B141" s="86" t="s">
        <v>375</v>
      </c>
      <c r="C141" s="64"/>
      <c r="D141" s="64"/>
      <c r="E141" s="64"/>
      <c r="F141" s="64"/>
      <c r="G141" s="64"/>
      <c r="H141" s="64"/>
      <c r="I141" s="64"/>
      <c r="J141" s="64"/>
      <c r="K141" s="64"/>
      <c r="L141" s="64"/>
      <c r="M141" s="64"/>
      <c r="N141" s="64"/>
    </row>
    <row r="142" spans="2:14">
      <c r="B142" s="85"/>
      <c r="C142" s="66"/>
      <c r="D142" s="66"/>
      <c r="E142" s="66"/>
      <c r="F142" s="66"/>
      <c r="G142" s="66"/>
      <c r="H142" s="66"/>
      <c r="I142" s="66"/>
      <c r="J142" s="66"/>
      <c r="K142" s="66"/>
      <c r="L142" s="66"/>
      <c r="M142" s="66"/>
      <c r="N142" s="66"/>
    </row>
    <row r="143" spans="2:14">
      <c r="B143" s="84" t="s">
        <v>376</v>
      </c>
      <c r="C143" s="131">
        <f t="shared" ref="C143:G143" si="53">+C135+C137+C140</f>
        <v>0</v>
      </c>
      <c r="D143" s="131">
        <f t="shared" si="53"/>
        <v>0</v>
      </c>
      <c r="E143" s="131">
        <f t="shared" si="53"/>
        <v>0</v>
      </c>
      <c r="F143" s="131">
        <f t="shared" si="53"/>
        <v>0</v>
      </c>
      <c r="G143" s="131">
        <f t="shared" si="53"/>
        <v>0</v>
      </c>
      <c r="H143" s="131">
        <f>+H135+H137+H140</f>
        <v>0</v>
      </c>
      <c r="I143" s="131">
        <f>+I135+I137+I140</f>
        <v>0</v>
      </c>
      <c r="J143" s="131"/>
      <c r="K143" s="131"/>
      <c r="L143" s="131"/>
      <c r="M143" s="131"/>
      <c r="N143" s="131"/>
    </row>
  </sheetData>
  <conditionalFormatting sqref="C105:D105 F105">
    <cfRule type="cellIs" dxfId="116" priority="7" operator="lessThan">
      <formula>0</formula>
    </cfRule>
  </conditionalFormatting>
  <conditionalFormatting sqref="C67:F68">
    <cfRule type="cellIs" dxfId="115" priority="12" operator="lessThan">
      <formula>0</formula>
    </cfRule>
  </conditionalFormatting>
  <conditionalFormatting sqref="C106:F106">
    <cfRule type="cellIs" dxfId="114" priority="6" operator="lessThan">
      <formula>0</formula>
    </cfRule>
  </conditionalFormatting>
  <conditionalFormatting sqref="C61:H65">
    <cfRule type="cellIs" dxfId="113" priority="1" operator="lessThan">
      <formula>0</formula>
    </cfRule>
  </conditionalFormatting>
  <conditionalFormatting sqref="C69:H94">
    <cfRule type="cellIs" dxfId="112" priority="10" operator="lessThan">
      <formula>0</formula>
    </cfRule>
  </conditionalFormatting>
  <conditionalFormatting sqref="C96:H101">
    <cfRule type="cellIs" dxfId="111" priority="9" operator="lessThan">
      <formula>0</formula>
    </cfRule>
  </conditionalFormatting>
  <conditionalFormatting sqref="C103:I104">
    <cfRule type="cellIs" dxfId="110" priority="8" operator="lessThan">
      <formula>0</formula>
    </cfRule>
  </conditionalFormatting>
  <conditionalFormatting sqref="C113:N131">
    <cfRule type="cellIs" dxfId="109" priority="4" operator="lessThan">
      <formula>0</formula>
    </cfRule>
  </conditionalFormatting>
  <conditionalFormatting sqref="C135:N143">
    <cfRule type="cellIs" dxfId="108" priority="3" operator="lessThan">
      <formula>0</formula>
    </cfRule>
  </conditionalFormatting>
  <conditionalFormatting sqref="D66:F66">
    <cfRule type="cellIs" dxfId="107" priority="13" operator="lessThan">
      <formula>0</formula>
    </cfRule>
  </conditionalFormatting>
  <conditionalFormatting sqref="G66:H68">
    <cfRule type="cellIs" dxfId="106" priority="11" operator="lessThan">
      <formula>0</formula>
    </cfRule>
  </conditionalFormatting>
  <conditionalFormatting sqref="G105:I106 C107:I109">
    <cfRule type="cellIs" dxfId="105" priority="14" operator="lessThan">
      <formula>0</formula>
    </cfRule>
  </conditionalFormatting>
  <conditionalFormatting sqref="I61:N101">
    <cfRule type="cellIs" dxfId="104" priority="2" operator="lessThan">
      <formula>0</formula>
    </cfRule>
  </conditionalFormatting>
  <conditionalFormatting sqref="J103:N109">
    <cfRule type="cellIs" dxfId="103" priority="5" operator="lessThan">
      <formula>0</formula>
    </cfRule>
  </conditionalFormatting>
  <pageMargins left="0.7" right="0.7" top="0.75" bottom="0.75" header="0.3" footer="0.3"/>
  <pageSetup paperSize="9" orientation="portrait" r:id="rId1"/>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F1065-4CC9-4B12-A476-1D7512963BDB}">
  <dimension ref="B2:P159"/>
  <sheetViews>
    <sheetView zoomScale="70" zoomScaleNormal="70" workbookViewId="0">
      <pane xSplit="2" ySplit="6" topLeftCell="G124" activePane="bottomRight" state="frozen"/>
      <selection pane="bottomRight"/>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3" width="35.28515625" customWidth="1"/>
    <col min="4" max="4" width="36.7109375" bestFit="1" customWidth="1"/>
    <col min="5" max="6" width="38" bestFit="1" customWidth="1"/>
    <col min="7" max="8" width="37.7109375" customWidth="1"/>
    <col min="9" max="9" width="38" bestFit="1" customWidth="1"/>
    <col min="10" max="10" width="37.7109375" customWidth="1"/>
    <col min="11" max="14" width="25.42578125" bestFit="1" customWidth="1"/>
  </cols>
  <sheetData>
    <row r="2" spans="2:14" ht="21">
      <c r="B2" s="313">
        <f ca="1">TODAY()-1</f>
        <v>46105</v>
      </c>
      <c r="C2" s="314"/>
      <c r="D2" s="344" t="s">
        <v>265</v>
      </c>
      <c r="E2" s="345" t="s">
        <v>266</v>
      </c>
    </row>
    <row r="3" spans="2:14" ht="25.5">
      <c r="B3" s="376" cm="1">
        <f t="array" aca="1" ref="B3" ca="1">_FV(B6,"Precio")</f>
        <v>19999</v>
      </c>
      <c r="C3" s="781">
        <f ca="1">D3/B3</f>
        <v>2.2167320032668299E-2</v>
      </c>
      <c r="D3" s="346">
        <f>AVERAGE(G47:I47)</f>
        <v>443.32423333333332</v>
      </c>
      <c r="E3" s="346">
        <f>AVERAGE(G46:I46)</f>
        <v>443.32423333333332</v>
      </c>
    </row>
    <row r="4" spans="2:14" ht="23.25">
      <c r="B4" s="319"/>
      <c r="C4" s="316"/>
      <c r="D4" s="328"/>
      <c r="E4" s="328"/>
    </row>
    <row r="6" spans="2:14" ht="33.4">
      <c r="B6" s="3" t="e" vm="39">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+C70</f>
        <v>265683526000</v>
      </c>
      <c r="D7" s="5">
        <f t="shared" ref="D7:I7" si="0">+D70</f>
        <v>274562167000</v>
      </c>
      <c r="E7" s="5">
        <f t="shared" si="0"/>
        <v>310249987000</v>
      </c>
      <c r="F7" s="5">
        <f t="shared" si="0"/>
        <v>358098366000</v>
      </c>
      <c r="G7" s="5">
        <f t="shared" si="0"/>
        <v>426665158000</v>
      </c>
      <c r="H7" s="5">
        <f t="shared" si="0"/>
        <v>607031552000</v>
      </c>
      <c r="I7" s="5">
        <f t="shared" si="0"/>
        <v>588911668000</v>
      </c>
      <c r="J7" s="5">
        <f t="shared" ref="J7:N7" si="1">+J70</f>
        <v>524145967000</v>
      </c>
      <c r="K7" s="5">
        <f t="shared" si="1"/>
        <v>0</v>
      </c>
      <c r="L7" s="5">
        <f t="shared" si="1"/>
        <v>0</v>
      </c>
      <c r="M7" s="5">
        <f t="shared" si="1"/>
        <v>0</v>
      </c>
      <c r="N7" s="5">
        <f t="shared" si="1"/>
        <v>0</v>
      </c>
    </row>
    <row r="8" spans="2:14" ht="25.5">
      <c r="B8" s="4" t="s">
        <v>379</v>
      </c>
      <c r="C8" s="5">
        <f>+C79</f>
        <v>704141517000</v>
      </c>
      <c r="D8" s="5">
        <f t="shared" ref="D8:I8" si="2">+D79</f>
        <v>728922744000</v>
      </c>
      <c r="E8" s="5">
        <f t="shared" si="2"/>
        <v>800164811000</v>
      </c>
      <c r="F8" s="5">
        <f t="shared" si="2"/>
        <v>890504062000</v>
      </c>
      <c r="G8" s="5">
        <f t="shared" si="2"/>
        <v>950952529000</v>
      </c>
      <c r="H8" s="5">
        <f t="shared" si="2"/>
        <v>985693855000</v>
      </c>
      <c r="I8" s="5">
        <f t="shared" si="2"/>
        <v>993990722000</v>
      </c>
      <c r="J8" s="5">
        <f t="shared" ref="J8:N8" si="3">+J79</f>
        <v>1129818190000</v>
      </c>
      <c r="K8" s="5">
        <f t="shared" si="3"/>
        <v>0</v>
      </c>
      <c r="L8" s="5">
        <f t="shared" si="3"/>
        <v>0</v>
      </c>
      <c r="M8" s="5">
        <f t="shared" si="3"/>
        <v>0</v>
      </c>
      <c r="N8" s="5">
        <f t="shared" si="3"/>
        <v>0</v>
      </c>
    </row>
    <row r="9" spans="2:14" ht="25.5">
      <c r="B9" s="4" t="s">
        <v>759</v>
      </c>
      <c r="C9" s="5">
        <f>+C90</f>
        <v>6131085195000</v>
      </c>
      <c r="D9" s="5">
        <f t="shared" ref="D9:I9" si="4">+D90</f>
        <v>6559614728000</v>
      </c>
      <c r="E9" s="5">
        <f t="shared" si="4"/>
        <v>6961405848000</v>
      </c>
      <c r="F9" s="5">
        <f t="shared" si="4"/>
        <v>7008342125000</v>
      </c>
      <c r="G9" s="5">
        <f t="shared" si="4"/>
        <v>7642707395000</v>
      </c>
      <c r="H9" s="5">
        <f t="shared" si="4"/>
        <v>8326393274000</v>
      </c>
      <c r="I9" s="5">
        <f t="shared" si="4"/>
        <v>8929591208000</v>
      </c>
      <c r="J9" s="5">
        <f t="shared" ref="J9:N9" si="5">+J90</f>
        <v>9824631207000</v>
      </c>
      <c r="K9" s="5">
        <f t="shared" si="5"/>
        <v>0</v>
      </c>
      <c r="L9" s="5">
        <f t="shared" si="5"/>
        <v>0</v>
      </c>
      <c r="M9" s="5">
        <f t="shared" si="5"/>
        <v>0</v>
      </c>
      <c r="N9" s="5">
        <f t="shared" si="5"/>
        <v>0</v>
      </c>
    </row>
    <row r="10" spans="2:14" ht="25.5">
      <c r="B10" s="4" t="s">
        <v>760</v>
      </c>
      <c r="C10" s="5">
        <f>+C91</f>
        <v>1676445151000</v>
      </c>
      <c r="D10" s="5">
        <f t="shared" ref="D10:I10" si="6">+D91</f>
        <v>2399210873000</v>
      </c>
      <c r="E10" s="5">
        <f t="shared" si="6"/>
        <v>3315946978000</v>
      </c>
      <c r="F10" s="5">
        <f t="shared" si="6"/>
        <v>3546879535000</v>
      </c>
      <c r="G10" s="5">
        <f t="shared" si="6"/>
        <v>3660195796000</v>
      </c>
      <c r="H10" s="5">
        <f t="shared" si="6"/>
        <v>4392892529000</v>
      </c>
      <c r="I10" s="5">
        <f t="shared" si="6"/>
        <v>5021746974000</v>
      </c>
      <c r="J10" s="5">
        <f t="shared" ref="J10:N10" si="7">+J91</f>
        <v>5011508377000</v>
      </c>
      <c r="K10" s="5">
        <f t="shared" si="7"/>
        <v>0</v>
      </c>
      <c r="L10" s="5">
        <f t="shared" si="7"/>
        <v>0</v>
      </c>
      <c r="M10" s="5">
        <f t="shared" si="7"/>
        <v>0</v>
      </c>
      <c r="N10" s="5">
        <f t="shared" si="7"/>
        <v>0</v>
      </c>
    </row>
    <row r="11" spans="2:14" ht="25.5">
      <c r="B11" s="8" t="s">
        <v>272</v>
      </c>
      <c r="C11" s="9">
        <f>+C92</f>
        <v>8777355389000</v>
      </c>
      <c r="D11" s="9">
        <f t="shared" ref="D11:I11" si="8">+D92</f>
        <v>9962310512000</v>
      </c>
      <c r="E11" s="9">
        <f t="shared" si="8"/>
        <v>11387767624000</v>
      </c>
      <c r="F11" s="9">
        <f t="shared" si="8"/>
        <v>11803824088000</v>
      </c>
      <c r="G11" s="9">
        <f t="shared" si="8"/>
        <v>12680520878000</v>
      </c>
      <c r="H11" s="9">
        <f t="shared" si="8"/>
        <v>14312011210000</v>
      </c>
      <c r="I11" s="9">
        <f t="shared" si="8"/>
        <v>15534240572000</v>
      </c>
      <c r="J11" s="9">
        <f t="shared" ref="J11:N11" si="9">+J92</f>
        <v>16490103741000</v>
      </c>
      <c r="K11" s="9">
        <f t="shared" si="9"/>
        <v>0</v>
      </c>
      <c r="L11" s="9">
        <f t="shared" si="9"/>
        <v>0</v>
      </c>
      <c r="M11" s="9">
        <f t="shared" si="9"/>
        <v>0</v>
      </c>
      <c r="N11" s="9">
        <f t="shared" si="9"/>
        <v>0</v>
      </c>
    </row>
    <row r="12" spans="2:14" ht="25.5">
      <c r="B12" s="10" t="s">
        <v>273</v>
      </c>
      <c r="C12" s="11">
        <f>+C95</f>
        <v>270698313000</v>
      </c>
      <c r="D12" s="11">
        <f t="shared" ref="D12:I12" si="10">+D95</f>
        <v>339783845000</v>
      </c>
      <c r="E12" s="11">
        <f t="shared" si="10"/>
        <v>360770789000</v>
      </c>
      <c r="F12" s="11">
        <f t="shared" si="10"/>
        <v>351973669000</v>
      </c>
      <c r="G12" s="11">
        <f t="shared" si="10"/>
        <v>474007614000</v>
      </c>
      <c r="H12" s="11">
        <f t="shared" si="10"/>
        <v>533093618000</v>
      </c>
      <c r="I12" s="11">
        <f t="shared" si="10"/>
        <v>523344990000</v>
      </c>
      <c r="J12" s="11">
        <f t="shared" ref="J12:N12" si="11">+J95</f>
        <v>500362260000</v>
      </c>
      <c r="K12" s="11">
        <f t="shared" si="11"/>
        <v>0</v>
      </c>
      <c r="L12" s="11">
        <f t="shared" si="11"/>
        <v>0</v>
      </c>
      <c r="M12" s="11">
        <f t="shared" si="11"/>
        <v>0</v>
      </c>
      <c r="N12" s="11">
        <f t="shared" si="11"/>
        <v>0</v>
      </c>
    </row>
    <row r="13" spans="2:14" ht="25.5">
      <c r="B13" s="10" t="s">
        <v>274</v>
      </c>
      <c r="C13" s="11">
        <f>+C105</f>
        <v>487029811000</v>
      </c>
      <c r="D13" s="11">
        <f t="shared" ref="D13:I13" si="12">+D105</f>
        <v>441568331000</v>
      </c>
      <c r="E13" s="11">
        <f t="shared" si="12"/>
        <v>613514565000</v>
      </c>
      <c r="F13" s="11">
        <f t="shared" si="12"/>
        <v>720711355000</v>
      </c>
      <c r="G13" s="11">
        <f t="shared" si="12"/>
        <v>686641387000</v>
      </c>
      <c r="H13" s="11">
        <f t="shared" si="12"/>
        <v>948142596000</v>
      </c>
      <c r="I13" s="11">
        <f t="shared" si="12"/>
        <v>897439640000</v>
      </c>
      <c r="J13" s="11">
        <f t="shared" ref="J13:N13" si="13">+J105</f>
        <v>1026826354000</v>
      </c>
      <c r="K13" s="11">
        <f t="shared" si="13"/>
        <v>0</v>
      </c>
      <c r="L13" s="11">
        <f t="shared" si="13"/>
        <v>0</v>
      </c>
      <c r="M13" s="11">
        <f t="shared" si="13"/>
        <v>0</v>
      </c>
      <c r="N13" s="11">
        <f t="shared" si="13"/>
        <v>0</v>
      </c>
    </row>
    <row r="14" spans="2:14" ht="25.5">
      <c r="B14" s="10" t="s">
        <v>761</v>
      </c>
      <c r="C14" s="11">
        <f>+C111</f>
        <v>5653801556000</v>
      </c>
      <c r="D14" s="11">
        <f t="shared" ref="D14:I14" si="14">+D111</f>
        <v>6101067969000</v>
      </c>
      <c r="E14" s="11">
        <f t="shared" si="14"/>
        <v>6448703485000</v>
      </c>
      <c r="F14" s="11">
        <f t="shared" si="14"/>
        <v>650431949600</v>
      </c>
      <c r="G14" s="11">
        <f t="shared" si="14"/>
        <v>7226328806000</v>
      </c>
      <c r="H14" s="11">
        <f t="shared" si="14"/>
        <v>7815660915000</v>
      </c>
      <c r="I14" s="11">
        <f t="shared" si="14"/>
        <v>8409323377000</v>
      </c>
      <c r="J14" s="11">
        <f t="shared" ref="J14:N14" si="15">+J111</f>
        <v>9213540679000</v>
      </c>
      <c r="K14" s="11">
        <f t="shared" si="15"/>
        <v>0</v>
      </c>
      <c r="L14" s="11">
        <f t="shared" si="15"/>
        <v>0</v>
      </c>
      <c r="M14" s="11">
        <f t="shared" si="15"/>
        <v>0</v>
      </c>
      <c r="N14" s="11">
        <f t="shared" si="15"/>
        <v>0</v>
      </c>
    </row>
    <row r="15" spans="2:14" ht="25.5">
      <c r="B15" s="10" t="s">
        <v>762</v>
      </c>
      <c r="C15" s="11">
        <f>+C112</f>
        <v>1554445942000</v>
      </c>
      <c r="D15" s="11">
        <f t="shared" ref="D15:I15" si="16">+D112</f>
        <v>2238715013000</v>
      </c>
      <c r="E15" s="11">
        <f t="shared" si="16"/>
        <v>3110961671000</v>
      </c>
      <c r="F15" s="11">
        <f t="shared" si="16"/>
        <v>3308009193000</v>
      </c>
      <c r="G15" s="11">
        <f t="shared" si="16"/>
        <v>3351408688000</v>
      </c>
      <c r="H15" s="11">
        <f t="shared" si="16"/>
        <v>4020544983000</v>
      </c>
      <c r="I15" s="11">
        <f t="shared" si="16"/>
        <v>4579806963000</v>
      </c>
      <c r="J15" s="11">
        <f t="shared" ref="J15:N15" si="17">+J112</f>
        <v>4505628778000</v>
      </c>
      <c r="K15" s="11">
        <f t="shared" si="17"/>
        <v>0</v>
      </c>
      <c r="L15" s="11">
        <f t="shared" si="17"/>
        <v>0</v>
      </c>
      <c r="M15" s="11">
        <f t="shared" si="17"/>
        <v>0</v>
      </c>
      <c r="N15" s="11">
        <f t="shared" si="17"/>
        <v>0</v>
      </c>
    </row>
    <row r="16" spans="2:14" ht="25.5">
      <c r="B16" s="12" t="s">
        <v>275</v>
      </c>
      <c r="C16" s="13">
        <f>+C113</f>
        <v>7965975622000</v>
      </c>
      <c r="D16" s="13">
        <f t="shared" ref="D16:I16" si="18">+D113</f>
        <v>9121135158000</v>
      </c>
      <c r="E16" s="13">
        <f t="shared" si="18"/>
        <v>10533950510000</v>
      </c>
      <c r="F16" s="13">
        <f t="shared" si="18"/>
        <v>5031126166600</v>
      </c>
      <c r="G16" s="13">
        <f t="shared" si="18"/>
        <v>11738386495000</v>
      </c>
      <c r="H16" s="13">
        <f t="shared" si="18"/>
        <v>13317442112000</v>
      </c>
      <c r="I16" s="13">
        <f t="shared" si="18"/>
        <v>14409914970000</v>
      </c>
      <c r="J16" s="13">
        <f t="shared" ref="J16:N16" si="19">+J113</f>
        <v>15246358071000</v>
      </c>
      <c r="K16" s="13">
        <f t="shared" si="19"/>
        <v>0</v>
      </c>
      <c r="L16" s="13">
        <f t="shared" si="19"/>
        <v>0</v>
      </c>
      <c r="M16" s="13">
        <f t="shared" si="19"/>
        <v>0</v>
      </c>
      <c r="N16" s="13">
        <f t="shared" si="19"/>
        <v>0</v>
      </c>
    </row>
    <row r="17" spans="2:14" ht="25.5">
      <c r="B17" s="14" t="s">
        <v>276</v>
      </c>
      <c r="C17" s="15">
        <f>+C122</f>
        <v>691705017000</v>
      </c>
      <c r="D17" s="15">
        <f t="shared" ref="D17:I17" si="20">+D122</f>
        <v>719276797000</v>
      </c>
      <c r="E17" s="15">
        <f t="shared" si="20"/>
        <v>771628493000</v>
      </c>
      <c r="F17" s="15">
        <f t="shared" si="20"/>
        <v>825395230000</v>
      </c>
      <c r="G17" s="15">
        <f t="shared" si="20"/>
        <v>838447613000</v>
      </c>
      <c r="H17" s="15">
        <f t="shared" si="20"/>
        <v>880462935000</v>
      </c>
      <c r="I17" s="15">
        <f t="shared" si="20"/>
        <v>984208862000</v>
      </c>
      <c r="J17" s="15">
        <f t="shared" ref="J17:N17" si="21">+J122</f>
        <v>1131339700000</v>
      </c>
      <c r="K17" s="15">
        <f t="shared" si="21"/>
        <v>0</v>
      </c>
      <c r="L17" s="15">
        <f t="shared" si="21"/>
        <v>0</v>
      </c>
      <c r="M17" s="15">
        <f t="shared" si="21"/>
        <v>0</v>
      </c>
      <c r="N17" s="15">
        <f t="shared" si="21"/>
        <v>0</v>
      </c>
    </row>
    <row r="18" spans="2:14" ht="25.5">
      <c r="B18" s="79" t="s">
        <v>278</v>
      </c>
      <c r="C18" s="80">
        <v>100000000</v>
      </c>
      <c r="D18" s="80">
        <v>100000000</v>
      </c>
      <c r="E18" s="80">
        <v>100000000</v>
      </c>
      <c r="F18" s="80">
        <v>100000000</v>
      </c>
      <c r="G18" s="80">
        <v>100000000</v>
      </c>
      <c r="H18" s="80">
        <v>100000000</v>
      </c>
      <c r="I18" s="80">
        <v>100000000</v>
      </c>
      <c r="J18" s="80">
        <v>100000000</v>
      </c>
      <c r="K18" s="80">
        <v>100000000</v>
      </c>
      <c r="L18" s="80">
        <v>100000000</v>
      </c>
      <c r="M18" s="80">
        <v>100000000</v>
      </c>
      <c r="N18" s="80">
        <v>100000000</v>
      </c>
    </row>
    <row r="20" spans="2:14" ht="25.5">
      <c r="B20" s="18" t="s">
        <v>279</v>
      </c>
      <c r="C20" s="19">
        <f t="shared" ref="C20:I20" si="22">(C17/C18)</f>
        <v>6917.0501700000004</v>
      </c>
      <c r="D20" s="19">
        <f t="shared" si="22"/>
        <v>7192.7679699999999</v>
      </c>
      <c r="E20" s="19">
        <f t="shared" si="22"/>
        <v>7716.2849299999998</v>
      </c>
      <c r="F20" s="19">
        <f t="shared" si="22"/>
        <v>8253.9523000000008</v>
      </c>
      <c r="G20" s="19">
        <f t="shared" si="22"/>
        <v>8384.4761299999991</v>
      </c>
      <c r="H20" s="19">
        <f t="shared" si="22"/>
        <v>8804.6293499999992</v>
      </c>
      <c r="I20" s="19">
        <f t="shared" si="22"/>
        <v>9842.0886200000004</v>
      </c>
      <c r="J20" s="19">
        <f t="shared" ref="J20:N20" si="23">(J17/J18)</f>
        <v>11313.397000000001</v>
      </c>
      <c r="K20" s="19">
        <f t="shared" si="23"/>
        <v>0</v>
      </c>
      <c r="L20" s="19">
        <f t="shared" si="23"/>
        <v>0</v>
      </c>
      <c r="M20" s="19">
        <f t="shared" si="23"/>
        <v>0</v>
      </c>
      <c r="N20" s="19">
        <f t="shared" si="23"/>
        <v>0</v>
      </c>
    </row>
    <row r="21" spans="2:14" ht="25.5">
      <c r="B21" s="76" t="s">
        <v>282</v>
      </c>
      <c r="C21" s="77">
        <v>11648</v>
      </c>
      <c r="D21" s="77">
        <v>11154</v>
      </c>
      <c r="E21" s="77">
        <v>8242</v>
      </c>
      <c r="F21" s="77">
        <v>4704</v>
      </c>
      <c r="G21" s="77">
        <v>2997</v>
      </c>
      <c r="H21" s="101">
        <v>3290</v>
      </c>
      <c r="I21" s="101">
        <v>6333</v>
      </c>
      <c r="J21" s="1235">
        <v>7614</v>
      </c>
      <c r="K21" s="101"/>
      <c r="L21" s="101"/>
      <c r="M21" s="101"/>
      <c r="N21" s="101"/>
    </row>
    <row r="22" spans="2:14" ht="25.5">
      <c r="B22" s="18" t="s">
        <v>283</v>
      </c>
      <c r="C22" s="22">
        <f>+C21/C42</f>
        <v>9.0085073472544472</v>
      </c>
      <c r="D22" s="22">
        <f t="shared" ref="D22:I22" si="24">+D21/D42</f>
        <v>10.829126213592232</v>
      </c>
      <c r="E22" s="22">
        <f t="shared" si="24"/>
        <v>9.0571428571428569</v>
      </c>
      <c r="F22" s="22">
        <f t="shared" si="24"/>
        <v>5.4068965517241381</v>
      </c>
      <c r="G22" s="22">
        <f t="shared" si="24"/>
        <v>3.4056818181818183</v>
      </c>
      <c r="H22" s="22">
        <f t="shared" si="24"/>
        <v>2.2380952380952381</v>
      </c>
      <c r="I22" s="22">
        <f t="shared" si="24"/>
        <v>3.4606557377049181</v>
      </c>
      <c r="J22" s="22">
        <f t="shared" ref="J22:N22" si="25">+J21/J42</f>
        <v>5.11006711409396</v>
      </c>
      <c r="K22" s="22" t="e">
        <f t="shared" si="25"/>
        <v>#DIV/0!</v>
      </c>
      <c r="L22" s="22" t="e">
        <f t="shared" si="25"/>
        <v>#DIV/0!</v>
      </c>
      <c r="M22" s="22" t="e">
        <f t="shared" si="25"/>
        <v>#DIV/0!</v>
      </c>
      <c r="N22" s="22" t="e">
        <f t="shared" si="25"/>
        <v>#DIV/0!</v>
      </c>
    </row>
    <row r="23" spans="2:14" ht="25.5">
      <c r="B23" s="18" t="s">
        <v>380</v>
      </c>
      <c r="C23" s="22">
        <f t="shared" ref="C23:I23" si="26">+C21/C20</f>
        <v>1.6839548237655761</v>
      </c>
      <c r="D23" s="22">
        <f t="shared" si="26"/>
        <v>1.5507242895254969</v>
      </c>
      <c r="E23" s="22">
        <f t="shared" si="26"/>
        <v>1.0681305932542851</v>
      </c>
      <c r="F23" s="22">
        <f t="shared" si="26"/>
        <v>0.56990879387563209</v>
      </c>
      <c r="G23" s="22">
        <f t="shared" si="26"/>
        <v>0.35744630356530105</v>
      </c>
      <c r="H23" s="22">
        <f t="shared" si="26"/>
        <v>0.37366706413371054</v>
      </c>
      <c r="I23" s="22">
        <f t="shared" si="26"/>
        <v>0.64346098115097039</v>
      </c>
      <c r="J23" s="22">
        <f t="shared" ref="J23:N23" si="27">+J21/J20</f>
        <v>0.6730074088268978</v>
      </c>
      <c r="K23" s="22" t="e">
        <f t="shared" si="27"/>
        <v>#DIV/0!</v>
      </c>
      <c r="L23" s="22" t="e">
        <f t="shared" si="27"/>
        <v>#DIV/0!</v>
      </c>
      <c r="M23" s="22" t="e">
        <f t="shared" si="27"/>
        <v>#DIV/0!</v>
      </c>
      <c r="N23" s="22" t="e">
        <f t="shared" si="27"/>
        <v>#DIV/0!</v>
      </c>
    </row>
    <row r="24" spans="2:14" ht="25.5">
      <c r="B24" s="18" t="s">
        <v>285</v>
      </c>
      <c r="C24" s="22">
        <f>+C22*C23</f>
        <v>15.169919402336761</v>
      </c>
      <c r="D24" s="22">
        <f t="shared" ref="D24:I24" si="28">+D22*D23</f>
        <v>16.792989053754749</v>
      </c>
      <c r="E24" s="22">
        <f t="shared" si="28"/>
        <v>9.6742113731888093</v>
      </c>
      <c r="F24" s="22">
        <f t="shared" si="28"/>
        <v>3.0814378924034176</v>
      </c>
      <c r="G24" s="22">
        <f t="shared" si="28"/>
        <v>1.2173483770286446</v>
      </c>
      <c r="H24" s="22">
        <f t="shared" si="28"/>
        <v>0.83630247687068549</v>
      </c>
      <c r="I24" s="22">
        <f t="shared" si="28"/>
        <v>2.2267969364093418</v>
      </c>
      <c r="J24" s="22">
        <f t="shared" ref="J24:N24" si="29">+J22*J23</f>
        <v>3.4391130273879194</v>
      </c>
      <c r="K24" s="22" t="e">
        <f t="shared" si="29"/>
        <v>#DIV/0!</v>
      </c>
      <c r="L24" s="22" t="e">
        <f t="shared" si="29"/>
        <v>#DIV/0!</v>
      </c>
      <c r="M24" s="22" t="e">
        <f t="shared" si="29"/>
        <v>#DIV/0!</v>
      </c>
      <c r="N24" s="22" t="e">
        <f t="shared" si="29"/>
        <v>#DIV/0!</v>
      </c>
    </row>
    <row r="25" spans="2:14" ht="25.5">
      <c r="B25" s="23" t="s">
        <v>286</v>
      </c>
      <c r="C25" s="24">
        <f>IF(C43&lt;10%,0,IF(15%&lt;C43,2,1))</f>
        <v>2</v>
      </c>
      <c r="D25" s="24">
        <f>IF(D43&lt;10%,0,IF(15%&lt;D43,2,1))</f>
        <v>1</v>
      </c>
      <c r="E25" s="24">
        <f t="shared" ref="E25:I25" si="30">IF(E43&lt;10%,0,IF(15%&lt;E43,2,1))</f>
        <v>1</v>
      </c>
      <c r="F25" s="24">
        <f t="shared" si="30"/>
        <v>1</v>
      </c>
      <c r="G25" s="24">
        <f t="shared" si="30"/>
        <v>1</v>
      </c>
      <c r="H25" s="24">
        <f t="shared" si="30"/>
        <v>2</v>
      </c>
      <c r="I25" s="24">
        <f t="shared" si="30"/>
        <v>2</v>
      </c>
      <c r="J25" s="24">
        <f t="shared" ref="J25:N25" si="31">IF(J43&lt;10%,0,IF(15%&lt;J43,2,1))</f>
        <v>1</v>
      </c>
      <c r="K25" s="24" t="e">
        <f t="shared" si="31"/>
        <v>#DIV/0!</v>
      </c>
      <c r="L25" s="24" t="e">
        <f t="shared" si="31"/>
        <v>#DIV/0!</v>
      </c>
      <c r="M25" s="24" t="e">
        <f t="shared" si="31"/>
        <v>#DIV/0!</v>
      </c>
      <c r="N25" s="24" t="e">
        <f t="shared" si="31"/>
        <v>#DIV/0!</v>
      </c>
    </row>
    <row r="26" spans="2:14" ht="25.5">
      <c r="B26" s="23" t="s">
        <v>287</v>
      </c>
      <c r="C26" s="24">
        <f>IF(C43&lt;10%,1,IF(15%&lt;C43,2.5,2))</f>
        <v>2.5</v>
      </c>
      <c r="D26" s="24">
        <f t="shared" ref="D26:I26" si="32">IF(D43&lt;10%,1,IF(15%&lt;D43,2.5,2))</f>
        <v>2</v>
      </c>
      <c r="E26" s="24">
        <f t="shared" si="32"/>
        <v>2</v>
      </c>
      <c r="F26" s="24">
        <f t="shared" si="32"/>
        <v>2</v>
      </c>
      <c r="G26" s="24">
        <f t="shared" si="32"/>
        <v>2</v>
      </c>
      <c r="H26" s="24">
        <f t="shared" si="32"/>
        <v>2.5</v>
      </c>
      <c r="I26" s="24">
        <f t="shared" si="32"/>
        <v>2.5</v>
      </c>
      <c r="J26" s="24">
        <f t="shared" ref="J26:N26" si="33">IF(J43&lt;10%,1,IF(15%&lt;J43,2.5,2))</f>
        <v>2</v>
      </c>
      <c r="K26" s="24" t="e">
        <f t="shared" si="33"/>
        <v>#DIV/0!</v>
      </c>
      <c r="L26" s="24" t="e">
        <f t="shared" si="33"/>
        <v>#DIV/0!</v>
      </c>
      <c r="M26" s="24" t="e">
        <f t="shared" si="33"/>
        <v>#DIV/0!</v>
      </c>
      <c r="N26" s="24" t="e">
        <f t="shared" si="33"/>
        <v>#DIV/0!</v>
      </c>
    </row>
    <row r="27" spans="2:14" ht="25.5">
      <c r="B27" s="25" t="s">
        <v>288</v>
      </c>
      <c r="C27" s="26">
        <f t="shared" ref="C27:I27" si="34">+C25*C20</f>
        <v>13834.100340000001</v>
      </c>
      <c r="D27" s="26">
        <f t="shared" si="34"/>
        <v>7192.7679699999999</v>
      </c>
      <c r="E27" s="26">
        <f t="shared" si="34"/>
        <v>7716.2849299999998</v>
      </c>
      <c r="F27" s="26">
        <f t="shared" si="34"/>
        <v>8253.9523000000008</v>
      </c>
      <c r="G27" s="26">
        <f t="shared" si="34"/>
        <v>8384.4761299999991</v>
      </c>
      <c r="H27" s="26">
        <f t="shared" si="34"/>
        <v>17609.258699999998</v>
      </c>
      <c r="I27" s="26">
        <f t="shared" si="34"/>
        <v>19684.177240000001</v>
      </c>
      <c r="J27" s="26">
        <f t="shared" ref="J27:N27" si="35">+J25*J20</f>
        <v>11313.397000000001</v>
      </c>
      <c r="K27" s="26" t="e">
        <f t="shared" si="35"/>
        <v>#DIV/0!</v>
      </c>
      <c r="L27" s="26" t="e">
        <f t="shared" si="35"/>
        <v>#DIV/0!</v>
      </c>
      <c r="M27" s="26" t="e">
        <f t="shared" si="35"/>
        <v>#DIV/0!</v>
      </c>
      <c r="N27" s="26" t="e">
        <f t="shared" si="35"/>
        <v>#DIV/0!</v>
      </c>
    </row>
    <row r="28" spans="2:14" ht="25.5">
      <c r="B28" s="25" t="s">
        <v>289</v>
      </c>
      <c r="C28" s="26">
        <f>AVERAGE(C27,C29)</f>
        <v>15563.362882500001</v>
      </c>
      <c r="D28" s="26">
        <f t="shared" ref="D28:I28" si="36">AVERAGE(D27,D29)</f>
        <v>10789.151954999999</v>
      </c>
      <c r="E28" s="26">
        <f t="shared" si="36"/>
        <v>11574.427394999999</v>
      </c>
      <c r="F28" s="26">
        <f t="shared" si="36"/>
        <v>12380.928450000001</v>
      </c>
      <c r="G28" s="26">
        <f t="shared" si="36"/>
        <v>12576.714194999999</v>
      </c>
      <c r="H28" s="26">
        <f t="shared" si="36"/>
        <v>19810.416037499999</v>
      </c>
      <c r="I28" s="26">
        <f t="shared" si="36"/>
        <v>22144.699395000003</v>
      </c>
      <c r="J28" s="26">
        <f t="shared" ref="J28:N28" si="37">AVERAGE(J27,J29)</f>
        <v>16970.095500000003</v>
      </c>
      <c r="K28" s="26" t="e">
        <f t="shared" si="37"/>
        <v>#DIV/0!</v>
      </c>
      <c r="L28" s="26" t="e">
        <f t="shared" si="37"/>
        <v>#DIV/0!</v>
      </c>
      <c r="M28" s="26" t="e">
        <f t="shared" si="37"/>
        <v>#DIV/0!</v>
      </c>
      <c r="N28" s="26" t="e">
        <f t="shared" si="37"/>
        <v>#DIV/0!</v>
      </c>
    </row>
    <row r="29" spans="2:14" ht="25.5">
      <c r="B29" s="25" t="s">
        <v>290</v>
      </c>
      <c r="C29" s="26">
        <f t="shared" ref="C29:I29" si="38">+C20*C26</f>
        <v>17292.625425000002</v>
      </c>
      <c r="D29" s="26">
        <f t="shared" si="38"/>
        <v>14385.53594</v>
      </c>
      <c r="E29" s="26">
        <f t="shared" si="38"/>
        <v>15432.56986</v>
      </c>
      <c r="F29" s="26">
        <f t="shared" si="38"/>
        <v>16507.904600000002</v>
      </c>
      <c r="G29" s="26">
        <f t="shared" si="38"/>
        <v>16768.952259999998</v>
      </c>
      <c r="H29" s="26">
        <f t="shared" si="38"/>
        <v>22011.573375</v>
      </c>
      <c r="I29" s="26">
        <f t="shared" si="38"/>
        <v>24605.221550000002</v>
      </c>
      <c r="J29" s="26">
        <f t="shared" ref="J29:N29" si="39">+J20*J26</f>
        <v>22626.794000000002</v>
      </c>
      <c r="K29" s="26" t="e">
        <f t="shared" si="39"/>
        <v>#DIV/0!</v>
      </c>
      <c r="L29" s="26" t="e">
        <f t="shared" si="39"/>
        <v>#DIV/0!</v>
      </c>
      <c r="M29" s="26" t="e">
        <f t="shared" si="39"/>
        <v>#DIV/0!</v>
      </c>
      <c r="N29" s="26" t="e">
        <f t="shared" si="39"/>
        <v>#DIV/0!</v>
      </c>
    </row>
    <row r="31" spans="2:14" ht="25.5">
      <c r="B31" s="243" t="s">
        <v>291</v>
      </c>
      <c r="C31" s="81">
        <f t="shared" ref="C31:I31" si="40">C7-C12</f>
        <v>-5014787000</v>
      </c>
      <c r="D31" s="81">
        <f t="shared" si="40"/>
        <v>-65221678000</v>
      </c>
      <c r="E31" s="81">
        <f t="shared" si="40"/>
        <v>-50520802000</v>
      </c>
      <c r="F31" s="81">
        <f t="shared" si="40"/>
        <v>6124697000</v>
      </c>
      <c r="G31" s="81">
        <f t="shared" si="40"/>
        <v>-47342456000</v>
      </c>
      <c r="H31" s="81">
        <f t="shared" si="40"/>
        <v>73937934000</v>
      </c>
      <c r="I31" s="81">
        <f t="shared" si="40"/>
        <v>65566678000</v>
      </c>
      <c r="J31" s="81">
        <f t="shared" ref="J31:N31" si="41">J7-J12</f>
        <v>23783707000</v>
      </c>
      <c r="K31" s="81">
        <f t="shared" si="41"/>
        <v>0</v>
      </c>
      <c r="L31" s="81">
        <f t="shared" si="41"/>
        <v>0</v>
      </c>
      <c r="M31" s="81">
        <f t="shared" si="41"/>
        <v>0</v>
      </c>
      <c r="N31" s="81">
        <f t="shared" si="41"/>
        <v>0</v>
      </c>
    </row>
    <row r="32" spans="2:14" ht="25.5">
      <c r="B32" s="30" t="s">
        <v>149</v>
      </c>
      <c r="C32" s="241">
        <f t="shared" ref="C32:I32" si="42">C7/C12</f>
        <v>0.98147462780826422</v>
      </c>
      <c r="D32" s="241">
        <f t="shared" si="42"/>
        <v>0.8080495027655008</v>
      </c>
      <c r="E32" s="241">
        <f t="shared" si="42"/>
        <v>0.85996426667459491</v>
      </c>
      <c r="F32" s="241">
        <f t="shared" si="42"/>
        <v>1.0174010090510492</v>
      </c>
      <c r="G32" s="241">
        <f t="shared" si="42"/>
        <v>0.90012300519712751</v>
      </c>
      <c r="H32" s="242">
        <f t="shared" si="42"/>
        <v>1.1386959654054609</v>
      </c>
      <c r="I32" s="242">
        <f t="shared" si="42"/>
        <v>1.1252838553016433</v>
      </c>
      <c r="J32" s="242">
        <f t="shared" ref="J32:N32" si="43">J7/J12</f>
        <v>1.0475329754086569</v>
      </c>
      <c r="K32" s="242" t="e">
        <f t="shared" si="43"/>
        <v>#DIV/0!</v>
      </c>
      <c r="L32" s="242" t="e">
        <f t="shared" si="43"/>
        <v>#DIV/0!</v>
      </c>
      <c r="M32" s="242" t="e">
        <f t="shared" si="43"/>
        <v>#DIV/0!</v>
      </c>
      <c r="N32" s="242" t="e">
        <f t="shared" si="43"/>
        <v>#DIV/0!</v>
      </c>
    </row>
    <row r="33" spans="2:14" ht="25.5">
      <c r="B33" s="30" t="s">
        <v>292</v>
      </c>
      <c r="C33" s="241">
        <f t="shared" ref="C33:N33" si="44">+C32</f>
        <v>0.98147462780826422</v>
      </c>
      <c r="D33" s="241">
        <f t="shared" si="44"/>
        <v>0.8080495027655008</v>
      </c>
      <c r="E33" s="241">
        <f t="shared" si="44"/>
        <v>0.85996426667459491</v>
      </c>
      <c r="F33" s="241">
        <f t="shared" si="44"/>
        <v>1.0174010090510492</v>
      </c>
      <c r="G33" s="241">
        <f t="shared" si="44"/>
        <v>0.90012300519712751</v>
      </c>
      <c r="H33" s="241">
        <f t="shared" si="44"/>
        <v>1.1386959654054609</v>
      </c>
      <c r="I33" s="241">
        <f t="shared" si="44"/>
        <v>1.1252838553016433</v>
      </c>
      <c r="J33" s="241">
        <f t="shared" si="44"/>
        <v>1.0475329754086569</v>
      </c>
      <c r="K33" s="241" t="e">
        <f t="shared" si="44"/>
        <v>#DIV/0!</v>
      </c>
      <c r="L33" s="241" t="e">
        <f t="shared" si="44"/>
        <v>#DIV/0!</v>
      </c>
      <c r="M33" s="241" t="e">
        <f t="shared" si="44"/>
        <v>#DIV/0!</v>
      </c>
      <c r="N33" s="241" t="e">
        <f t="shared" si="44"/>
        <v>#DIV/0!</v>
      </c>
    </row>
    <row r="34" spans="2:14" ht="25.5">
      <c r="B34" s="32" t="s">
        <v>153</v>
      </c>
      <c r="C34" s="33">
        <f t="shared" ref="C34:I34" si="45">C16/C11</f>
        <v>0.90755988210106642</v>
      </c>
      <c r="D34" s="33">
        <f t="shared" si="45"/>
        <v>0.9155642305078957</v>
      </c>
      <c r="E34" s="33">
        <f t="shared" si="45"/>
        <v>0.92502331078476174</v>
      </c>
      <c r="F34" s="33">
        <f t="shared" si="45"/>
        <v>0.42622849418052089</v>
      </c>
      <c r="G34" s="33">
        <f t="shared" si="45"/>
        <v>0.92570223320758449</v>
      </c>
      <c r="H34" s="33">
        <f t="shared" si="45"/>
        <v>0.93050808279795916</v>
      </c>
      <c r="I34" s="33">
        <f t="shared" si="45"/>
        <v>0.92762275073642397</v>
      </c>
      <c r="J34" s="33">
        <f t="shared" ref="J34:N34" si="46">J16/J11</f>
        <v>0.92457623738851169</v>
      </c>
      <c r="K34" s="33" t="e">
        <f t="shared" si="46"/>
        <v>#DIV/0!</v>
      </c>
      <c r="L34" s="33" t="e">
        <f t="shared" si="46"/>
        <v>#DIV/0!</v>
      </c>
      <c r="M34" s="33" t="e">
        <f t="shared" si="46"/>
        <v>#DIV/0!</v>
      </c>
      <c r="N34" s="33" t="e">
        <f t="shared" si="46"/>
        <v>#DIV/0!</v>
      </c>
    </row>
    <row r="37" spans="2:14" ht="25.5">
      <c r="B37" s="35" t="s">
        <v>293</v>
      </c>
      <c r="C37" s="36">
        <f>+C127</f>
        <v>0</v>
      </c>
      <c r="D37" s="36">
        <f t="shared" ref="D37:I37" si="47">+D127</f>
        <v>0</v>
      </c>
      <c r="E37" s="36">
        <f t="shared" si="47"/>
        <v>0</v>
      </c>
      <c r="F37" s="36">
        <f t="shared" si="47"/>
        <v>0</v>
      </c>
      <c r="G37" s="36">
        <f t="shared" si="47"/>
        <v>0</v>
      </c>
      <c r="H37" s="36">
        <f t="shared" si="47"/>
        <v>0</v>
      </c>
      <c r="I37" s="36">
        <f t="shared" si="47"/>
        <v>0</v>
      </c>
      <c r="J37" s="36">
        <f t="shared" ref="J37:N37" si="48">+J127</f>
        <v>1403740955000</v>
      </c>
      <c r="K37" s="36">
        <f t="shared" si="48"/>
        <v>0</v>
      </c>
      <c r="L37" s="36">
        <f t="shared" si="48"/>
        <v>0</v>
      </c>
      <c r="M37" s="36">
        <f t="shared" si="48"/>
        <v>0</v>
      </c>
      <c r="N37" s="36">
        <f t="shared" si="48"/>
        <v>0</v>
      </c>
    </row>
    <row r="38" spans="2:14" ht="25.5">
      <c r="B38" s="39" t="s">
        <v>156</v>
      </c>
      <c r="C38" s="40">
        <f>+C134</f>
        <v>0</v>
      </c>
      <c r="D38" s="40">
        <f t="shared" ref="D38:I38" si="49">+D134</f>
        <v>0</v>
      </c>
      <c r="E38" s="40">
        <f t="shared" si="49"/>
        <v>0</v>
      </c>
      <c r="F38" s="40">
        <f t="shared" si="49"/>
        <v>0</v>
      </c>
      <c r="G38" s="40">
        <f t="shared" si="49"/>
        <v>0</v>
      </c>
      <c r="H38" s="40">
        <f t="shared" si="49"/>
        <v>0</v>
      </c>
      <c r="I38" s="40">
        <f t="shared" si="49"/>
        <v>0</v>
      </c>
      <c r="J38" s="40">
        <f t="shared" ref="J38:N38" si="50">+J134</f>
        <v>-29366076000</v>
      </c>
      <c r="K38" s="40">
        <f t="shared" si="50"/>
        <v>0</v>
      </c>
      <c r="L38" s="40">
        <f t="shared" si="50"/>
        <v>0</v>
      </c>
      <c r="M38" s="40">
        <f t="shared" si="50"/>
        <v>0</v>
      </c>
      <c r="N38" s="40">
        <f t="shared" si="50"/>
        <v>0</v>
      </c>
    </row>
    <row r="39" spans="2:14" ht="25.5">
      <c r="B39" s="35" t="s">
        <v>381</v>
      </c>
      <c r="C39" s="41" t="e">
        <f>C38/C37</f>
        <v>#DIV/0!</v>
      </c>
      <c r="D39" s="41" t="e">
        <f t="shared" ref="D39:I39" si="51">D38/D37</f>
        <v>#DIV/0!</v>
      </c>
      <c r="E39" s="41" t="e">
        <f t="shared" si="51"/>
        <v>#DIV/0!</v>
      </c>
      <c r="F39" s="41" t="e">
        <f t="shared" si="51"/>
        <v>#DIV/0!</v>
      </c>
      <c r="G39" s="41" t="e">
        <f t="shared" si="51"/>
        <v>#DIV/0!</v>
      </c>
      <c r="H39" s="41" t="e">
        <f t="shared" si="51"/>
        <v>#DIV/0!</v>
      </c>
      <c r="I39" s="41" t="e">
        <f t="shared" si="51"/>
        <v>#DIV/0!</v>
      </c>
      <c r="J39" s="41">
        <f t="shared" ref="J39:N39" si="52">J38/J37</f>
        <v>-2.09198683670236E-2</v>
      </c>
      <c r="K39" s="41" t="e">
        <f t="shared" si="52"/>
        <v>#DIV/0!</v>
      </c>
      <c r="L39" s="41" t="e">
        <f t="shared" si="52"/>
        <v>#DIV/0!</v>
      </c>
      <c r="M39" s="41" t="e">
        <f t="shared" si="52"/>
        <v>#DIV/0!</v>
      </c>
      <c r="N39" s="41" t="e">
        <f t="shared" si="52"/>
        <v>#DIV/0!</v>
      </c>
    </row>
    <row r="40" spans="2:14" ht="25.5">
      <c r="B40" s="43" t="s">
        <v>295</v>
      </c>
      <c r="C40" s="44">
        <f>+C146</f>
        <v>129378282000</v>
      </c>
      <c r="D40" s="44">
        <f t="shared" ref="D40:H40" si="53">+D146</f>
        <v>102616345000</v>
      </c>
      <c r="E40" s="44">
        <f t="shared" si="53"/>
        <v>91011428000</v>
      </c>
      <c r="F40" s="44">
        <f t="shared" si="53"/>
        <v>86536519000</v>
      </c>
      <c r="G40" s="44">
        <f t="shared" si="53"/>
        <v>88418723000</v>
      </c>
      <c r="H40" s="44">
        <f t="shared" si="53"/>
        <v>146343077000</v>
      </c>
      <c r="I40" s="44">
        <f>+I146</f>
        <v>182618052000</v>
      </c>
      <c r="J40" s="44">
        <f t="shared" ref="J40:N40" si="54">+J146</f>
        <v>148243897000</v>
      </c>
      <c r="K40" s="44">
        <f t="shared" si="54"/>
        <v>0</v>
      </c>
      <c r="L40" s="44">
        <f t="shared" si="54"/>
        <v>0</v>
      </c>
      <c r="M40" s="44">
        <f t="shared" si="54"/>
        <v>0</v>
      </c>
      <c r="N40" s="44">
        <f t="shared" si="54"/>
        <v>0</v>
      </c>
    </row>
    <row r="41" spans="2:14" ht="25.5">
      <c r="B41" s="30" t="s">
        <v>296</v>
      </c>
      <c r="C41" s="45" t="e">
        <f>C40/C37</f>
        <v>#DIV/0!</v>
      </c>
      <c r="D41" s="45" t="e">
        <f t="shared" ref="D41:I41" si="55">D40/D37</f>
        <v>#DIV/0!</v>
      </c>
      <c r="E41" s="45" t="e">
        <f t="shared" si="55"/>
        <v>#DIV/0!</v>
      </c>
      <c r="F41" s="45" t="e">
        <f t="shared" si="55"/>
        <v>#DIV/0!</v>
      </c>
      <c r="G41" s="45" t="e">
        <f t="shared" si="55"/>
        <v>#DIV/0!</v>
      </c>
      <c r="H41" s="45" t="e">
        <f t="shared" si="55"/>
        <v>#DIV/0!</v>
      </c>
      <c r="I41" s="45" t="e">
        <f t="shared" si="55"/>
        <v>#DIV/0!</v>
      </c>
      <c r="J41" s="45">
        <f t="shared" ref="J41:N41" si="56">J40/J37</f>
        <v>0.10560630611507663</v>
      </c>
      <c r="K41" s="45" t="e">
        <f t="shared" si="56"/>
        <v>#DIV/0!</v>
      </c>
      <c r="L41" s="45" t="e">
        <f t="shared" si="56"/>
        <v>#DIV/0!</v>
      </c>
      <c r="M41" s="45" t="e">
        <f t="shared" si="56"/>
        <v>#DIV/0!</v>
      </c>
      <c r="N41" s="45" t="e">
        <f t="shared" si="56"/>
        <v>#DIV/0!</v>
      </c>
    </row>
    <row r="42" spans="2:14" ht="25.5">
      <c r="B42" s="46" t="s">
        <v>159</v>
      </c>
      <c r="C42" s="121">
        <f>+C147</f>
        <v>1293</v>
      </c>
      <c r="D42" s="121">
        <f t="shared" ref="D42:H42" si="57">+D147</f>
        <v>1030</v>
      </c>
      <c r="E42" s="121">
        <f t="shared" si="57"/>
        <v>910</v>
      </c>
      <c r="F42" s="121">
        <f t="shared" si="57"/>
        <v>870</v>
      </c>
      <c r="G42" s="121">
        <f t="shared" si="57"/>
        <v>880</v>
      </c>
      <c r="H42" s="121">
        <f t="shared" si="57"/>
        <v>1470</v>
      </c>
      <c r="I42" s="121">
        <f>+I147</f>
        <v>1830</v>
      </c>
      <c r="J42" s="121">
        <f t="shared" ref="J42:N42" si="58">+J147</f>
        <v>1490</v>
      </c>
      <c r="K42" s="121">
        <f t="shared" si="58"/>
        <v>0</v>
      </c>
      <c r="L42" s="121">
        <f t="shared" si="58"/>
        <v>0</v>
      </c>
      <c r="M42" s="121">
        <f t="shared" si="58"/>
        <v>0</v>
      </c>
      <c r="N42" s="121">
        <f t="shared" si="58"/>
        <v>0</v>
      </c>
    </row>
    <row r="43" spans="2:14" ht="25.5">
      <c r="B43" s="48" t="s">
        <v>160</v>
      </c>
      <c r="C43" s="49">
        <f t="shared" ref="C43:I43" si="59">C40/C17</f>
        <v>0.18704256701957678</v>
      </c>
      <c r="D43" s="49">
        <f t="shared" si="59"/>
        <v>0.14266600205650731</v>
      </c>
      <c r="E43" s="49">
        <f t="shared" si="59"/>
        <v>0.1179472101220088</v>
      </c>
      <c r="F43" s="49">
        <f t="shared" si="59"/>
        <v>0.10484252374465503</v>
      </c>
      <c r="G43" s="49">
        <f t="shared" si="59"/>
        <v>0.10545527428199619</v>
      </c>
      <c r="H43" s="49">
        <f t="shared" si="59"/>
        <v>0.16621151349204721</v>
      </c>
      <c r="I43" s="49">
        <f t="shared" si="59"/>
        <v>0.18554806713374219</v>
      </c>
      <c r="J43" s="49">
        <f t="shared" ref="J43:N43" si="60">J40/J17</f>
        <v>0.13103393878956074</v>
      </c>
      <c r="K43" s="49" t="e">
        <f t="shared" si="60"/>
        <v>#DIV/0!</v>
      </c>
      <c r="L43" s="49" t="e">
        <f t="shared" si="60"/>
        <v>#DIV/0!</v>
      </c>
      <c r="M43" s="49" t="e">
        <f t="shared" si="60"/>
        <v>#DIV/0!</v>
      </c>
      <c r="N43" s="49" t="e">
        <f t="shared" si="60"/>
        <v>#DIV/0!</v>
      </c>
    </row>
    <row r="44" spans="2:14" ht="25.5">
      <c r="B44" s="48" t="s">
        <v>382</v>
      </c>
      <c r="C44" s="49">
        <f>AVERAGE(G43:I43)</f>
        <v>0.15240495163592852</v>
      </c>
      <c r="D44" s="49"/>
      <c r="E44" s="49"/>
      <c r="F44" s="49"/>
      <c r="G44" s="49"/>
      <c r="H44" s="49"/>
      <c r="I44" s="49"/>
      <c r="J44" s="1234">
        <v>0.1426</v>
      </c>
      <c r="K44" s="49"/>
      <c r="L44" s="49"/>
      <c r="M44" s="49"/>
      <c r="N44" s="49"/>
    </row>
    <row r="45" spans="2:14" ht="25.5">
      <c r="B45" s="48" t="s">
        <v>298</v>
      </c>
      <c r="C45" s="50">
        <f>+C159</f>
        <v>0</v>
      </c>
      <c r="D45" s="50">
        <f t="shared" ref="D45:I45" si="61">+D159</f>
        <v>0</v>
      </c>
      <c r="E45" s="50">
        <f t="shared" si="61"/>
        <v>0</v>
      </c>
      <c r="F45" s="50">
        <f t="shared" si="61"/>
        <v>0</v>
      </c>
      <c r="G45" s="50">
        <f t="shared" si="61"/>
        <v>0</v>
      </c>
      <c r="H45" s="50">
        <f t="shared" si="61"/>
        <v>0</v>
      </c>
      <c r="I45" s="50">
        <f t="shared" si="61"/>
        <v>0</v>
      </c>
      <c r="J45" s="50">
        <f t="shared" ref="J45:N45" si="62">+J159</f>
        <v>0</v>
      </c>
      <c r="K45" s="50">
        <f t="shared" si="62"/>
        <v>0</v>
      </c>
      <c r="L45" s="50">
        <f t="shared" si="62"/>
        <v>0</v>
      </c>
      <c r="M45" s="50">
        <f t="shared" si="62"/>
        <v>0</v>
      </c>
      <c r="N45" s="50">
        <f t="shared" si="62"/>
        <v>0</v>
      </c>
    </row>
    <row r="46" spans="2:14" ht="25.5">
      <c r="B46" s="908" t="s">
        <v>111</v>
      </c>
      <c r="C46" s="51">
        <f>SUM(C48:C51)</f>
        <v>750</v>
      </c>
      <c r="D46" s="51">
        <f t="shared" ref="D46:N46" si="63">SUM(D48:D51)</f>
        <v>631</v>
      </c>
      <c r="E46" s="51">
        <f t="shared" si="63"/>
        <v>450</v>
      </c>
      <c r="F46" s="51">
        <f t="shared" si="63"/>
        <v>223.03399999999999</v>
      </c>
      <c r="G46" s="51">
        <f t="shared" si="63"/>
        <v>330</v>
      </c>
      <c r="H46" s="51">
        <f t="shared" si="63"/>
        <v>350</v>
      </c>
      <c r="I46" s="51">
        <f t="shared" si="63"/>
        <v>649.97270000000003</v>
      </c>
      <c r="J46" s="51">
        <f t="shared" si="63"/>
        <v>450</v>
      </c>
      <c r="K46" s="51">
        <f t="shared" si="63"/>
        <v>600000</v>
      </c>
      <c r="L46" s="51">
        <f t="shared" si="63"/>
        <v>0</v>
      </c>
      <c r="M46" s="51">
        <f t="shared" si="63"/>
        <v>0</v>
      </c>
      <c r="N46" s="51">
        <f t="shared" si="63"/>
        <v>0</v>
      </c>
    </row>
    <row r="47" spans="2:14" ht="25.5">
      <c r="B47" s="908" t="s">
        <v>112</v>
      </c>
      <c r="C47" s="51">
        <f>+C48+C49+C50</f>
        <v>750</v>
      </c>
      <c r="D47" s="51">
        <f t="shared" ref="D47:N47" si="64">+D48+D49+D50</f>
        <v>631</v>
      </c>
      <c r="E47" s="51">
        <f t="shared" si="64"/>
        <v>450</v>
      </c>
      <c r="F47" s="51">
        <f t="shared" si="64"/>
        <v>223.03399999999999</v>
      </c>
      <c r="G47" s="51">
        <f t="shared" si="64"/>
        <v>330</v>
      </c>
      <c r="H47" s="51">
        <f t="shared" si="64"/>
        <v>350</v>
      </c>
      <c r="I47" s="51">
        <f t="shared" si="64"/>
        <v>649.97270000000003</v>
      </c>
      <c r="J47" s="51">
        <f t="shared" si="64"/>
        <v>450</v>
      </c>
      <c r="K47" s="51">
        <f t="shared" si="64"/>
        <v>600000</v>
      </c>
      <c r="L47" s="51">
        <f t="shared" si="64"/>
        <v>0</v>
      </c>
      <c r="M47" s="51">
        <f t="shared" si="64"/>
        <v>0</v>
      </c>
      <c r="N47" s="51">
        <f t="shared" si="64"/>
        <v>0</v>
      </c>
    </row>
    <row r="48" spans="2:14" ht="18">
      <c r="B48" s="909" t="s">
        <v>114</v>
      </c>
      <c r="C48" s="94"/>
      <c r="D48" s="94">
        <f>188.135+292.865</f>
        <v>481</v>
      </c>
      <c r="E48" s="94">
        <v>183.73699999999999</v>
      </c>
      <c r="F48" s="94">
        <v>183.03399999999999</v>
      </c>
      <c r="G48" s="94">
        <f>209.61+50</f>
        <v>259.61</v>
      </c>
      <c r="H48" s="94">
        <f>165.256+84.744</f>
        <v>250</v>
      </c>
      <c r="I48" s="1230">
        <v>339.60300000000001</v>
      </c>
      <c r="J48" s="1231">
        <v>407.67345999999998</v>
      </c>
      <c r="K48" s="1209">
        <v>453808</v>
      </c>
      <c r="L48" s="155"/>
      <c r="M48" s="155"/>
      <c r="N48" s="155"/>
    </row>
    <row r="49" spans="2:16" ht="18">
      <c r="B49" s="909" t="s">
        <v>115</v>
      </c>
      <c r="C49" s="94">
        <f>100+250</f>
        <v>350</v>
      </c>
      <c r="D49" s="94">
        <f>50+100</f>
        <v>150</v>
      </c>
      <c r="E49" s="94">
        <f>50+50</f>
        <v>100</v>
      </c>
      <c r="F49" s="94">
        <v>40</v>
      </c>
      <c r="G49" s="94"/>
      <c r="H49" s="94">
        <v>100</v>
      </c>
      <c r="I49" s="1232">
        <f>100+150</f>
        <v>250</v>
      </c>
      <c r="J49" s="1233"/>
      <c r="K49" s="155"/>
      <c r="L49" s="155"/>
      <c r="M49" s="155"/>
      <c r="N49" s="155"/>
    </row>
    <row r="50" spans="2:16" ht="18">
      <c r="B50" s="909" t="s">
        <v>116</v>
      </c>
      <c r="C50" s="94">
        <v>400</v>
      </c>
      <c r="D50" s="94"/>
      <c r="E50" s="94">
        <v>166.26300000000001</v>
      </c>
      <c r="F50" s="94"/>
      <c r="G50" s="94">
        <v>70.39</v>
      </c>
      <c r="H50" s="94"/>
      <c r="I50" s="1232">
        <v>60.369700000000002</v>
      </c>
      <c r="J50" s="1233">
        <v>42.326540000000001</v>
      </c>
      <c r="K50" s="1209">
        <v>146192</v>
      </c>
      <c r="L50" s="155"/>
      <c r="M50" s="155"/>
      <c r="N50" s="155"/>
    </row>
    <row r="51" spans="2:16">
      <c r="B51" s="909" t="s">
        <v>117</v>
      </c>
      <c r="C51" s="94"/>
      <c r="D51" s="94"/>
      <c r="E51" s="94"/>
      <c r="F51" s="94"/>
      <c r="G51" s="94"/>
      <c r="H51" s="94"/>
      <c r="I51" s="94"/>
      <c r="J51" s="94"/>
      <c r="K51" s="94"/>
      <c r="L51" s="94"/>
      <c r="M51" s="94"/>
      <c r="N51" s="94"/>
    </row>
    <row r="52" spans="2:16" ht="25.5">
      <c r="B52" s="908" t="s">
        <v>119</v>
      </c>
      <c r="C52" s="51">
        <f>SUM(C54:C57)</f>
        <v>681</v>
      </c>
      <c r="D52" s="51">
        <f t="shared" ref="D52:N52" si="65">SUM(D54:D57)</f>
        <v>450</v>
      </c>
      <c r="E52" s="51">
        <f t="shared" si="65"/>
        <v>273.03399999999999</v>
      </c>
      <c r="F52" s="51">
        <f t="shared" si="65"/>
        <v>330</v>
      </c>
      <c r="G52" s="51">
        <f t="shared" si="65"/>
        <v>350</v>
      </c>
      <c r="H52" s="51">
        <f t="shared" si="65"/>
        <v>500</v>
      </c>
      <c r="I52" s="51">
        <f t="shared" si="65"/>
        <v>600</v>
      </c>
      <c r="J52" s="1315">
        <f t="shared" si="65"/>
        <v>600</v>
      </c>
      <c r="K52" s="51">
        <f t="shared" si="65"/>
        <v>0</v>
      </c>
      <c r="L52" s="51">
        <f t="shared" si="65"/>
        <v>0</v>
      </c>
      <c r="M52" s="51">
        <f t="shared" si="65"/>
        <v>0</v>
      </c>
      <c r="N52" s="51">
        <f t="shared" si="65"/>
        <v>0</v>
      </c>
    </row>
    <row r="53" spans="2:16" ht="25.5">
      <c r="B53" s="908" t="s">
        <v>120</v>
      </c>
      <c r="C53" s="51">
        <f>+C54+C55+C56</f>
        <v>681</v>
      </c>
      <c r="D53" s="51">
        <f t="shared" ref="D53:N53" si="66">+D54+D55+D56</f>
        <v>450</v>
      </c>
      <c r="E53" s="51">
        <f t="shared" si="66"/>
        <v>273.03399999999999</v>
      </c>
      <c r="F53" s="51">
        <f t="shared" si="66"/>
        <v>330</v>
      </c>
      <c r="G53" s="51">
        <f t="shared" si="66"/>
        <v>350</v>
      </c>
      <c r="H53" s="51">
        <f t="shared" si="66"/>
        <v>500</v>
      </c>
      <c r="I53" s="51">
        <f t="shared" si="66"/>
        <v>600</v>
      </c>
      <c r="J53" s="1315">
        <f t="shared" si="66"/>
        <v>600</v>
      </c>
      <c r="K53" s="51">
        <f t="shared" si="66"/>
        <v>0</v>
      </c>
      <c r="L53" s="51">
        <f t="shared" si="66"/>
        <v>0</v>
      </c>
      <c r="M53" s="51">
        <f t="shared" si="66"/>
        <v>0</v>
      </c>
      <c r="N53" s="51">
        <f t="shared" si="66"/>
        <v>0</v>
      </c>
    </row>
    <row r="54" spans="2:16" ht="18">
      <c r="B54" s="909" t="s">
        <v>121</v>
      </c>
      <c r="C54" s="94">
        <f>188.135+292.865</f>
        <v>481</v>
      </c>
      <c r="D54" s="851">
        <v>183.73699999999999</v>
      </c>
      <c r="E54" s="94">
        <v>183.03399999999999</v>
      </c>
      <c r="F54" s="94">
        <f>50+209.61</f>
        <v>259.61</v>
      </c>
      <c r="G54" s="94">
        <f>165.256+84.744</f>
        <v>250</v>
      </c>
      <c r="H54" s="94">
        <v>339.60300000000001</v>
      </c>
      <c r="I54" s="516">
        <v>407.673</v>
      </c>
      <c r="J54" s="1316">
        <v>453.80799999999999</v>
      </c>
      <c r="K54" s="94"/>
      <c r="L54" s="94"/>
      <c r="M54" s="94"/>
      <c r="N54" s="94"/>
    </row>
    <row r="55" spans="2:16">
      <c r="B55" s="909" t="s">
        <v>122</v>
      </c>
      <c r="C55" s="94">
        <f>100+100</f>
        <v>200</v>
      </c>
      <c r="D55" s="94">
        <f>50+50</f>
        <v>100</v>
      </c>
      <c r="E55" s="94">
        <f>50+40</f>
        <v>90</v>
      </c>
      <c r="F55" s="94"/>
      <c r="G55" s="94">
        <v>100</v>
      </c>
      <c r="H55" s="94">
        <v>100</v>
      </c>
      <c r="I55" s="94">
        <v>150</v>
      </c>
      <c r="J55" s="94"/>
      <c r="K55" s="94"/>
      <c r="L55" s="94"/>
      <c r="M55" s="94"/>
      <c r="N55" s="94"/>
    </row>
    <row r="56" spans="2:16" ht="18">
      <c r="B56" s="909" t="s">
        <v>123</v>
      </c>
      <c r="C56" s="94"/>
      <c r="D56" s="851">
        <v>166.26300000000001</v>
      </c>
      <c r="E56" s="94"/>
      <c r="F56" s="94">
        <v>70.39</v>
      </c>
      <c r="G56" s="94"/>
      <c r="H56" s="94">
        <v>60.396999999999998</v>
      </c>
      <c r="I56" s="94">
        <v>42.326999999999998</v>
      </c>
      <c r="J56" s="1297">
        <v>146.19200000000001</v>
      </c>
      <c r="K56" s="94"/>
      <c r="L56" s="94"/>
      <c r="M56" s="94"/>
      <c r="N56" s="94"/>
    </row>
    <row r="57" spans="2:16">
      <c r="B57" s="909" t="s">
        <v>124</v>
      </c>
      <c r="C57" s="94"/>
      <c r="D57" s="94"/>
      <c r="E57" s="94"/>
      <c r="F57" s="94"/>
      <c r="G57" s="94"/>
      <c r="H57" s="94"/>
      <c r="I57" s="94"/>
      <c r="J57" s="94"/>
      <c r="K57" s="94"/>
      <c r="L57" s="94"/>
      <c r="M57" s="94"/>
      <c r="N57" s="94"/>
    </row>
    <row r="58" spans="2:16" ht="25.5">
      <c r="B58" s="541" t="s">
        <v>167</v>
      </c>
      <c r="C58" s="99">
        <f xml:space="preserve"> (C54+C55+C56)/C42</f>
        <v>0.52668213457076563</v>
      </c>
      <c r="D58" s="99">
        <f t="shared" ref="D58:N58" si="67" xml:space="preserve"> (D54+D55+D56)/D42</f>
        <v>0.43689320388349512</v>
      </c>
      <c r="E58" s="99">
        <f t="shared" si="67"/>
        <v>0.30003736263736264</v>
      </c>
      <c r="F58" s="99">
        <f t="shared" si="67"/>
        <v>0.37931034482758619</v>
      </c>
      <c r="G58" s="99">
        <f t="shared" si="67"/>
        <v>0.39772727272727271</v>
      </c>
      <c r="H58" s="99">
        <f t="shared" si="67"/>
        <v>0.3401360544217687</v>
      </c>
      <c r="I58" s="99">
        <f t="shared" si="67"/>
        <v>0.32786885245901637</v>
      </c>
      <c r="J58" s="99">
        <f t="shared" si="67"/>
        <v>0.40268456375838924</v>
      </c>
      <c r="K58" s="99" t="e">
        <f t="shared" si="67"/>
        <v>#DIV/0!</v>
      </c>
      <c r="L58" s="99" t="e">
        <f t="shared" si="67"/>
        <v>#DIV/0!</v>
      </c>
      <c r="M58" s="99" t="e">
        <f t="shared" si="67"/>
        <v>#DIV/0!</v>
      </c>
      <c r="N58" s="99" t="e">
        <f t="shared" si="67"/>
        <v>#DIV/0!</v>
      </c>
    </row>
    <row r="59" spans="2:16" ht="28.5">
      <c r="B59" s="540" t="s">
        <v>303</v>
      </c>
      <c r="C59" s="54">
        <f>AVERAGE(G58:I58)</f>
        <v>0.35524405986935254</v>
      </c>
      <c r="D59" s="54"/>
      <c r="E59" s="54"/>
      <c r="F59" s="54"/>
      <c r="G59" s="54"/>
      <c r="H59" s="54"/>
      <c r="I59" s="54"/>
      <c r="J59" s="54"/>
      <c r="K59" s="54"/>
      <c r="L59" s="54"/>
      <c r="M59" s="54"/>
      <c r="N59" s="54"/>
    </row>
    <row r="60" spans="2:16" ht="25.5">
      <c r="B60" s="541" t="s">
        <v>299</v>
      </c>
      <c r="C60" s="99">
        <f t="shared" ref="C60:I60" si="68">+C46/C21</f>
        <v>6.4388736263736257E-2</v>
      </c>
      <c r="D60" s="99">
        <f t="shared" si="68"/>
        <v>5.6571633494710415E-2</v>
      </c>
      <c r="E60" s="99">
        <f t="shared" si="68"/>
        <v>5.4598398446978891E-2</v>
      </c>
      <c r="F60" s="99">
        <f t="shared" si="68"/>
        <v>4.7413690476190477E-2</v>
      </c>
      <c r="G60" s="99">
        <f t="shared" si="68"/>
        <v>0.11011011011011011</v>
      </c>
      <c r="H60" s="99">
        <f t="shared" si="68"/>
        <v>0.10638297872340426</v>
      </c>
      <c r="I60" s="99">
        <f t="shared" si="68"/>
        <v>0.10263267014053372</v>
      </c>
      <c r="J60" s="99">
        <f t="shared" ref="J60:N60" si="69">+J46/J21</f>
        <v>5.9101654846335699E-2</v>
      </c>
      <c r="K60" s="99" t="e">
        <f t="shared" si="69"/>
        <v>#DIV/0!</v>
      </c>
      <c r="L60" s="99" t="e">
        <f t="shared" si="69"/>
        <v>#DIV/0!</v>
      </c>
      <c r="M60" s="99" t="e">
        <f t="shared" si="69"/>
        <v>#DIV/0!</v>
      </c>
      <c r="N60" s="99" t="e">
        <f t="shared" si="69"/>
        <v>#DIV/0!</v>
      </c>
    </row>
    <row r="61" spans="2:16" ht="25.5">
      <c r="B61" s="542" t="s">
        <v>384</v>
      </c>
      <c r="C61" s="534">
        <f>AVERAGE(G60:I60)</f>
        <v>0.10637525299134937</v>
      </c>
      <c r="D61" s="534"/>
      <c r="E61" s="534"/>
      <c r="F61" s="534"/>
      <c r="G61" s="534"/>
      <c r="H61" s="534"/>
      <c r="I61" s="534"/>
      <c r="J61" s="534"/>
      <c r="K61" s="534"/>
      <c r="L61" s="534"/>
      <c r="M61" s="534"/>
      <c r="N61" s="534"/>
      <c r="O61" s="534"/>
      <c r="P61" s="534"/>
    </row>
    <row r="62" spans="2:16" ht="25.5">
      <c r="B62" s="543" t="s">
        <v>176</v>
      </c>
      <c r="C62" s="355">
        <f>+C43*(100%-C58)</f>
        <v>8.8530588566110596E-2</v>
      </c>
      <c r="D62" s="355">
        <f t="shared" ref="D62:I62" si="70">+D43*(100%-D58)</f>
        <v>8.0336195332790516E-2</v>
      </c>
      <c r="E62" s="355">
        <f t="shared" si="70"/>
        <v>8.2558640266566438E-2</v>
      </c>
      <c r="F62" s="549">
        <f t="shared" si="70"/>
        <v>6.507466991047553E-2</v>
      </c>
      <c r="G62" s="355">
        <f t="shared" si="70"/>
        <v>6.351283564711134E-2</v>
      </c>
      <c r="H62" s="355">
        <f t="shared" si="70"/>
        <v>0.10967698509339172</v>
      </c>
      <c r="I62" s="355">
        <f t="shared" si="70"/>
        <v>0.12471263528661362</v>
      </c>
      <c r="J62" s="355">
        <f>+J43*(100%-J58)</f>
        <v>7.8268594310542991E-2</v>
      </c>
      <c r="K62" s="355" t="e">
        <f t="shared" ref="K62:N62" si="71">+K43*(100%-K58)</f>
        <v>#DIV/0!</v>
      </c>
      <c r="L62" s="355" t="e">
        <f t="shared" si="71"/>
        <v>#DIV/0!</v>
      </c>
      <c r="M62" s="355" t="e">
        <f t="shared" si="71"/>
        <v>#DIV/0!</v>
      </c>
      <c r="N62" s="355" t="e">
        <f t="shared" si="71"/>
        <v>#DIV/0!</v>
      </c>
    </row>
    <row r="63" spans="2:16" ht="25.5">
      <c r="B63" s="542" t="s">
        <v>306</v>
      </c>
      <c r="C63" s="534">
        <f>AVERAGE(G62:I62)</f>
        <v>9.930081867570556E-2</v>
      </c>
      <c r="D63" s="534"/>
      <c r="E63" s="534"/>
      <c r="F63" s="534"/>
      <c r="G63" s="534"/>
      <c r="H63" s="534"/>
      <c r="I63" s="534"/>
      <c r="J63" s="534"/>
      <c r="K63" s="534"/>
      <c r="L63" s="534"/>
      <c r="M63" s="534"/>
      <c r="N63" s="534"/>
      <c r="O63" s="534"/>
    </row>
    <row r="64" spans="2:16" ht="25.5">
      <c r="B64" s="543" t="s">
        <v>300</v>
      </c>
      <c r="C64" s="725">
        <f ca="1">B3</f>
        <v>19999</v>
      </c>
      <c r="D64" s="534"/>
      <c r="E64" s="534"/>
      <c r="F64" s="534"/>
      <c r="G64" s="534"/>
      <c r="H64" s="534"/>
      <c r="I64" s="534"/>
      <c r="J64" s="534"/>
      <c r="K64" s="534"/>
      <c r="L64" s="534"/>
      <c r="M64" s="534"/>
      <c r="N64" s="534"/>
      <c r="O64" s="534"/>
    </row>
    <row r="66" spans="2:14">
      <c r="B66" s="75" t="s">
        <v>307</v>
      </c>
    </row>
    <row r="67" spans="2:14" ht="14.65" thickBot="1"/>
    <row r="68" spans="2:14">
      <c r="B68" s="57" t="s">
        <v>385</v>
      </c>
      <c r="C68" s="158">
        <v>2017</v>
      </c>
      <c r="D68" s="158">
        <v>2018</v>
      </c>
      <c r="E68" s="158">
        <v>2019</v>
      </c>
      <c r="F68" s="158">
        <v>2020</v>
      </c>
      <c r="G68" s="158">
        <v>2021</v>
      </c>
      <c r="H68" s="158">
        <v>2022</v>
      </c>
      <c r="I68" s="158">
        <v>2023</v>
      </c>
      <c r="J68" s="158">
        <v>2024</v>
      </c>
      <c r="K68" s="158">
        <v>2025</v>
      </c>
      <c r="L68" s="158">
        <v>2026</v>
      </c>
      <c r="M68" s="158">
        <v>2027</v>
      </c>
      <c r="N68" s="158">
        <v>2028</v>
      </c>
    </row>
    <row r="69" spans="2:14">
      <c r="B69" s="157" t="s">
        <v>309</v>
      </c>
      <c r="C69" s="66"/>
      <c r="D69" s="66"/>
      <c r="E69" s="66"/>
      <c r="F69" s="66"/>
      <c r="G69" s="66"/>
      <c r="H69" s="66"/>
      <c r="I69" s="66"/>
      <c r="J69" s="66"/>
      <c r="K69" s="66"/>
      <c r="L69" s="66"/>
      <c r="M69" s="66"/>
      <c r="N69" s="66"/>
    </row>
    <row r="70" spans="2:14">
      <c r="B70" s="58" t="s">
        <v>310</v>
      </c>
      <c r="C70" s="64">
        <v>265683526000</v>
      </c>
      <c r="D70" s="64">
        <v>274562167000</v>
      </c>
      <c r="E70" s="64">
        <v>310249987000</v>
      </c>
      <c r="F70" s="159">
        <v>358098366000</v>
      </c>
      <c r="G70" s="64">
        <v>426665158000</v>
      </c>
      <c r="H70" s="141">
        <v>607031552000</v>
      </c>
      <c r="I70" s="64">
        <v>588911668000</v>
      </c>
      <c r="J70" s="1214">
        <v>524145967000</v>
      </c>
      <c r="K70" s="64"/>
      <c r="L70" s="64"/>
      <c r="M70" s="64"/>
      <c r="N70" s="64"/>
    </row>
    <row r="71" spans="2:14">
      <c r="B71" s="59" t="s">
        <v>386</v>
      </c>
      <c r="C71" s="66"/>
      <c r="D71" s="66"/>
      <c r="E71" s="66"/>
      <c r="F71" s="66"/>
      <c r="G71" s="66"/>
      <c r="H71" s="160"/>
      <c r="I71" s="66"/>
      <c r="J71" s="1215">
        <v>153598445000</v>
      </c>
      <c r="K71" s="66"/>
      <c r="L71" s="66"/>
      <c r="M71" s="66"/>
      <c r="N71" s="66"/>
    </row>
    <row r="72" spans="2:14">
      <c r="B72" s="59" t="s">
        <v>387</v>
      </c>
      <c r="C72" s="66"/>
      <c r="D72" s="66"/>
      <c r="E72" s="66"/>
      <c r="F72" s="66"/>
      <c r="G72" s="66"/>
      <c r="H72" s="160"/>
      <c r="I72" s="66"/>
      <c r="J72" s="1215">
        <v>7834205000</v>
      </c>
      <c r="K72" s="66"/>
      <c r="L72" s="66"/>
      <c r="M72" s="66"/>
      <c r="N72" s="66"/>
    </row>
    <row r="73" spans="2:14">
      <c r="B73" s="59" t="s">
        <v>388</v>
      </c>
      <c r="C73" s="66"/>
      <c r="D73" s="66"/>
      <c r="E73" s="66"/>
      <c r="F73" s="66"/>
      <c r="G73" s="66"/>
      <c r="H73" s="160"/>
      <c r="I73" s="66"/>
      <c r="J73" s="1215">
        <v>85329732000</v>
      </c>
      <c r="K73" s="66"/>
      <c r="L73" s="66"/>
      <c r="M73" s="66"/>
      <c r="N73" s="66"/>
    </row>
    <row r="74" spans="2:14">
      <c r="B74" s="59" t="s">
        <v>389</v>
      </c>
      <c r="C74" s="66"/>
      <c r="D74" s="66"/>
      <c r="E74" s="66"/>
      <c r="F74" s="66"/>
      <c r="G74" s="66"/>
      <c r="H74" s="160"/>
      <c r="I74" s="66"/>
      <c r="J74" s="1215">
        <v>225148550000</v>
      </c>
      <c r="K74" s="66"/>
      <c r="L74" s="66"/>
      <c r="M74" s="66"/>
      <c r="N74" s="66"/>
    </row>
    <row r="75" spans="2:14">
      <c r="B75" s="59" t="s">
        <v>390</v>
      </c>
      <c r="C75" s="66"/>
      <c r="D75" s="66"/>
      <c r="E75" s="66"/>
      <c r="F75" s="66"/>
      <c r="G75" s="66"/>
      <c r="H75" s="160"/>
      <c r="I75" s="66"/>
      <c r="J75" s="1215">
        <v>19790552000</v>
      </c>
      <c r="K75" s="66"/>
      <c r="L75" s="66"/>
      <c r="M75" s="66"/>
      <c r="N75" s="66"/>
    </row>
    <row r="76" spans="2:14">
      <c r="B76" s="59" t="s">
        <v>391</v>
      </c>
      <c r="C76" s="161"/>
      <c r="D76" s="66"/>
      <c r="E76" s="66"/>
      <c r="F76" s="66"/>
      <c r="G76" s="66"/>
      <c r="H76" s="160"/>
      <c r="I76" s="66"/>
      <c r="J76" s="1215">
        <v>15674976000</v>
      </c>
      <c r="K76" s="66"/>
      <c r="L76" s="66"/>
      <c r="M76" s="66"/>
      <c r="N76" s="66"/>
    </row>
    <row r="77" spans="2:14">
      <c r="B77" s="59" t="s">
        <v>392</v>
      </c>
      <c r="C77" s="66"/>
      <c r="D77" s="66"/>
      <c r="E77" s="66"/>
      <c r="F77" s="66"/>
      <c r="G77" s="66"/>
      <c r="H77" s="160"/>
      <c r="I77" s="66"/>
      <c r="J77" s="1215">
        <v>5836077000</v>
      </c>
      <c r="K77" s="66"/>
      <c r="L77" s="66"/>
      <c r="M77" s="66"/>
      <c r="N77" s="66"/>
    </row>
    <row r="78" spans="2:14">
      <c r="B78" s="59" t="s">
        <v>318</v>
      </c>
      <c r="C78" s="66">
        <f t="shared" ref="C78:J78" si="72">+C70-C71-C76-C77-C75-C74-C73-C72</f>
        <v>265683526000</v>
      </c>
      <c r="D78" s="66">
        <f t="shared" si="72"/>
        <v>274562167000</v>
      </c>
      <c r="E78" s="66">
        <f t="shared" si="72"/>
        <v>310249987000</v>
      </c>
      <c r="F78" s="66">
        <f t="shared" si="72"/>
        <v>358098366000</v>
      </c>
      <c r="G78" s="66">
        <f t="shared" si="72"/>
        <v>426665158000</v>
      </c>
      <c r="H78" s="66">
        <f t="shared" si="72"/>
        <v>607031552000</v>
      </c>
      <c r="I78" s="66">
        <f t="shared" si="72"/>
        <v>588911668000</v>
      </c>
      <c r="J78" s="66">
        <f t="shared" si="72"/>
        <v>10933430000</v>
      </c>
      <c r="K78" s="66"/>
      <c r="L78" s="66"/>
      <c r="M78" s="66"/>
      <c r="N78" s="66"/>
    </row>
    <row r="79" spans="2:14">
      <c r="B79" s="58" t="s">
        <v>319</v>
      </c>
      <c r="C79" s="64">
        <v>704141517000</v>
      </c>
      <c r="D79" s="64">
        <v>728922744000</v>
      </c>
      <c r="E79" s="64">
        <v>800164811000</v>
      </c>
      <c r="F79" s="159">
        <v>890504062000</v>
      </c>
      <c r="G79" s="64">
        <v>950952529000</v>
      </c>
      <c r="H79" s="141">
        <v>985693855000</v>
      </c>
      <c r="I79" s="64">
        <v>993990722000</v>
      </c>
      <c r="J79" s="1214">
        <v>1129818190000</v>
      </c>
      <c r="K79" s="64"/>
      <c r="L79" s="64"/>
      <c r="M79" s="64"/>
      <c r="N79" s="64"/>
    </row>
    <row r="80" spans="2:14">
      <c r="B80" s="59" t="s">
        <v>393</v>
      </c>
      <c r="C80" s="66"/>
      <c r="D80" s="66"/>
      <c r="E80" s="66"/>
      <c r="F80" s="66"/>
      <c r="G80" s="66"/>
      <c r="H80" s="160"/>
      <c r="I80" s="66"/>
      <c r="J80" s="1215">
        <v>29003118000</v>
      </c>
      <c r="K80" s="66"/>
      <c r="L80" s="66"/>
      <c r="M80" s="66"/>
      <c r="N80" s="66"/>
    </row>
    <row r="81" spans="2:14">
      <c r="B81" s="59" t="s">
        <v>394</v>
      </c>
      <c r="C81" s="66"/>
      <c r="D81" s="66"/>
      <c r="E81" s="66"/>
      <c r="F81" s="66"/>
      <c r="G81" s="66"/>
      <c r="H81" s="160"/>
      <c r="I81" s="66"/>
      <c r="J81" s="1215">
        <v>3349300000</v>
      </c>
      <c r="K81" s="66"/>
      <c r="L81" s="66"/>
      <c r="M81" s="66"/>
      <c r="N81" s="66"/>
    </row>
    <row r="82" spans="2:14">
      <c r="B82" s="59" t="s">
        <v>395</v>
      </c>
      <c r="C82" s="66"/>
      <c r="D82" s="66"/>
      <c r="E82" s="66"/>
      <c r="F82" s="66"/>
      <c r="G82" s="66"/>
      <c r="H82" s="160"/>
      <c r="I82" s="66"/>
      <c r="J82" s="1215">
        <v>403875678000</v>
      </c>
      <c r="K82" s="66"/>
      <c r="L82" s="66"/>
      <c r="M82" s="66"/>
      <c r="N82" s="66"/>
    </row>
    <row r="83" spans="2:14">
      <c r="B83" s="59" t="s">
        <v>396</v>
      </c>
      <c r="C83" s="66"/>
      <c r="D83" s="66"/>
      <c r="E83" s="66"/>
      <c r="F83" s="66"/>
      <c r="G83" s="66"/>
      <c r="H83" s="160"/>
      <c r="I83" s="66"/>
      <c r="J83" s="1215">
        <v>2270657000</v>
      </c>
      <c r="K83" s="66"/>
      <c r="L83" s="66"/>
      <c r="M83" s="66"/>
      <c r="N83" s="66"/>
    </row>
    <row r="84" spans="2:14">
      <c r="B84" s="59" t="s">
        <v>397</v>
      </c>
      <c r="C84" s="66"/>
      <c r="D84" s="66"/>
      <c r="E84" s="66"/>
      <c r="F84" s="66"/>
      <c r="G84" s="66"/>
      <c r="H84" s="160"/>
      <c r="I84" s="66"/>
      <c r="J84" s="1215">
        <v>34142932000</v>
      </c>
      <c r="K84" s="66"/>
      <c r="L84" s="66"/>
      <c r="M84" s="66"/>
      <c r="N84" s="66"/>
    </row>
    <row r="85" spans="2:14">
      <c r="B85" s="59" t="s">
        <v>398</v>
      </c>
      <c r="C85" s="66"/>
      <c r="D85" s="66"/>
      <c r="E85" s="66"/>
      <c r="F85" s="66"/>
      <c r="G85" s="66"/>
      <c r="H85" s="160"/>
      <c r="I85" s="66"/>
      <c r="J85" s="1215">
        <v>373178436000</v>
      </c>
      <c r="K85" s="66"/>
      <c r="L85" s="66"/>
      <c r="M85" s="66"/>
      <c r="N85" s="66"/>
    </row>
    <row r="86" spans="2:14">
      <c r="B86" s="59" t="s">
        <v>399</v>
      </c>
      <c r="C86" s="66"/>
      <c r="D86" s="66"/>
      <c r="E86" s="66"/>
      <c r="F86" s="66"/>
      <c r="G86" s="66"/>
      <c r="H86" s="160"/>
      <c r="I86" s="66"/>
      <c r="J86" s="1215">
        <v>6690541000</v>
      </c>
      <c r="K86" s="66"/>
      <c r="L86" s="66"/>
      <c r="M86" s="66"/>
      <c r="N86" s="66"/>
    </row>
    <row r="87" spans="2:14">
      <c r="B87" s="59" t="s">
        <v>400</v>
      </c>
      <c r="C87" s="66"/>
      <c r="D87" s="66"/>
      <c r="E87" s="66"/>
      <c r="F87" s="161"/>
      <c r="G87" s="66"/>
      <c r="H87" s="160"/>
      <c r="I87" s="66"/>
      <c r="J87" s="1215">
        <v>168257639000</v>
      </c>
      <c r="K87" s="66"/>
      <c r="L87" s="66"/>
      <c r="M87" s="66"/>
      <c r="N87" s="66"/>
    </row>
    <row r="88" spans="2:14">
      <c r="B88" s="59" t="s">
        <v>401</v>
      </c>
      <c r="C88" s="66"/>
      <c r="D88" s="66"/>
      <c r="E88" s="66"/>
      <c r="F88" s="66"/>
      <c r="G88" s="66"/>
      <c r="H88" s="160"/>
      <c r="I88" s="66"/>
      <c r="J88" s="1215">
        <v>105323875000</v>
      </c>
      <c r="K88" s="66"/>
      <c r="L88" s="66"/>
      <c r="M88" s="66"/>
      <c r="N88" s="66"/>
    </row>
    <row r="89" spans="2:14">
      <c r="B89" s="59" t="s">
        <v>328</v>
      </c>
      <c r="C89" s="66">
        <f t="shared" ref="C89:J89" si="73">+C79-C86-C87-C85-C80-C88-C84-C83-C82-C81</f>
        <v>704141517000</v>
      </c>
      <c r="D89" s="66">
        <f t="shared" si="73"/>
        <v>728922744000</v>
      </c>
      <c r="E89" s="66">
        <f t="shared" si="73"/>
        <v>800164811000</v>
      </c>
      <c r="F89" s="66">
        <f t="shared" si="73"/>
        <v>890504062000</v>
      </c>
      <c r="G89" s="66">
        <f t="shared" si="73"/>
        <v>950952529000</v>
      </c>
      <c r="H89" s="66">
        <f t="shared" si="73"/>
        <v>985693855000</v>
      </c>
      <c r="I89" s="66">
        <f t="shared" si="73"/>
        <v>993990722000</v>
      </c>
      <c r="J89" s="66">
        <f t="shared" si="73"/>
        <v>3726014000</v>
      </c>
      <c r="K89" s="66"/>
      <c r="L89" s="66"/>
      <c r="M89" s="66"/>
      <c r="N89" s="66"/>
    </row>
    <row r="90" spans="2:14">
      <c r="B90" s="58" t="s">
        <v>763</v>
      </c>
      <c r="C90" s="64">
        <v>6131085195000</v>
      </c>
      <c r="D90" s="64">
        <v>6559614728000</v>
      </c>
      <c r="E90" s="64">
        <v>6961405848000</v>
      </c>
      <c r="F90" s="159">
        <v>7008342125000</v>
      </c>
      <c r="G90" s="64">
        <v>7642707395000</v>
      </c>
      <c r="H90" s="141">
        <v>8326393274000</v>
      </c>
      <c r="I90" s="64">
        <v>8929591208000</v>
      </c>
      <c r="J90" s="1214">
        <v>9824631207000</v>
      </c>
      <c r="K90" s="64"/>
      <c r="L90" s="64"/>
      <c r="M90" s="64"/>
      <c r="N90" s="64"/>
    </row>
    <row r="91" spans="2:14">
      <c r="B91" s="58" t="s">
        <v>764</v>
      </c>
      <c r="C91" s="133">
        <v>1676445151000</v>
      </c>
      <c r="D91" s="133">
        <v>2399210873000</v>
      </c>
      <c r="E91" s="133">
        <v>3315946978000</v>
      </c>
      <c r="F91" s="133">
        <v>3546879535000</v>
      </c>
      <c r="G91" s="218">
        <v>3660195796000</v>
      </c>
      <c r="H91" s="218">
        <v>4392892529000</v>
      </c>
      <c r="I91" s="133">
        <v>5021746974000</v>
      </c>
      <c r="J91" s="1216">
        <v>5011508377000</v>
      </c>
      <c r="K91" s="133"/>
      <c r="L91" s="133"/>
      <c r="M91" s="133"/>
      <c r="N91" s="133"/>
    </row>
    <row r="92" spans="2:14">
      <c r="B92" s="60" t="s">
        <v>329</v>
      </c>
      <c r="C92" s="162">
        <f t="shared" ref="C92:G92" si="74">+C91+C90+C79+C70</f>
        <v>8777355389000</v>
      </c>
      <c r="D92" s="162">
        <f t="shared" si="74"/>
        <v>9962310512000</v>
      </c>
      <c r="E92" s="162">
        <f t="shared" si="74"/>
        <v>11387767624000</v>
      </c>
      <c r="F92" s="162">
        <f t="shared" si="74"/>
        <v>11803824088000</v>
      </c>
      <c r="G92" s="162">
        <f t="shared" si="74"/>
        <v>12680520878000</v>
      </c>
      <c r="H92" s="162">
        <f t="shared" ref="H92:N92" si="75">+H91+H90+H79+H70</f>
        <v>14312011210000</v>
      </c>
      <c r="I92" s="162">
        <f t="shared" si="75"/>
        <v>15534240572000</v>
      </c>
      <c r="J92" s="162">
        <f t="shared" si="75"/>
        <v>16490103741000</v>
      </c>
      <c r="K92" s="162">
        <f t="shared" si="75"/>
        <v>0</v>
      </c>
      <c r="L92" s="162">
        <f t="shared" si="75"/>
        <v>0</v>
      </c>
      <c r="M92" s="162">
        <f t="shared" si="75"/>
        <v>0</v>
      </c>
      <c r="N92" s="162">
        <f t="shared" si="75"/>
        <v>0</v>
      </c>
    </row>
    <row r="93" spans="2:14">
      <c r="B93" s="61"/>
      <c r="C93" s="72"/>
      <c r="D93" s="72"/>
      <c r="E93" s="72"/>
      <c r="F93" s="72"/>
      <c r="G93" s="72"/>
      <c r="H93" s="163"/>
      <c r="I93" s="72"/>
      <c r="J93" s="72"/>
      <c r="K93" s="72"/>
      <c r="L93" s="72"/>
      <c r="M93" s="72"/>
      <c r="N93" s="72"/>
    </row>
    <row r="94" spans="2:14">
      <c r="B94" s="57" t="s">
        <v>330</v>
      </c>
      <c r="C94" s="62"/>
      <c r="D94" s="62"/>
      <c r="E94" s="62"/>
      <c r="F94" s="62"/>
      <c r="G94" s="62"/>
      <c r="H94" s="164"/>
      <c r="I94" s="62"/>
      <c r="J94" s="62"/>
      <c r="K94" s="62"/>
      <c r="L94" s="62"/>
      <c r="M94" s="62"/>
      <c r="N94" s="62"/>
    </row>
    <row r="95" spans="2:14">
      <c r="B95" s="58" t="s">
        <v>310</v>
      </c>
      <c r="C95" s="64">
        <v>270698313000</v>
      </c>
      <c r="D95" s="64">
        <v>339783845000</v>
      </c>
      <c r="E95" s="64">
        <v>360770789000</v>
      </c>
      <c r="F95" s="64">
        <v>351973669000</v>
      </c>
      <c r="G95" s="64">
        <v>474007614000</v>
      </c>
      <c r="H95" s="141">
        <v>533093618000</v>
      </c>
      <c r="I95" s="64">
        <v>523344990000</v>
      </c>
      <c r="J95" s="1214">
        <v>500362260000</v>
      </c>
      <c r="K95" s="64"/>
      <c r="L95" s="64"/>
      <c r="M95" s="64"/>
      <c r="N95" s="64"/>
    </row>
    <row r="96" spans="2:14">
      <c r="B96" s="59" t="s">
        <v>402</v>
      </c>
      <c r="C96" s="66"/>
      <c r="D96" s="66"/>
      <c r="E96" s="66"/>
      <c r="F96" s="66"/>
      <c r="G96" s="66"/>
      <c r="H96" s="160"/>
      <c r="I96" s="66"/>
      <c r="J96" s="1215">
        <v>132311171000</v>
      </c>
      <c r="K96" s="66"/>
      <c r="L96" s="66"/>
      <c r="M96" s="66"/>
      <c r="N96" s="66"/>
    </row>
    <row r="97" spans="2:14">
      <c r="B97" s="59" t="s">
        <v>403</v>
      </c>
      <c r="C97" s="66"/>
      <c r="D97" s="66"/>
      <c r="E97" s="66"/>
      <c r="F97" s="66"/>
      <c r="G97" s="66"/>
      <c r="H97" s="160"/>
      <c r="I97" s="66"/>
      <c r="J97" s="1215">
        <v>17977393000</v>
      </c>
      <c r="K97" s="66"/>
      <c r="L97" s="66"/>
      <c r="M97" s="66"/>
      <c r="N97" s="66"/>
    </row>
    <row r="98" spans="2:14">
      <c r="B98" s="59" t="s">
        <v>404</v>
      </c>
      <c r="C98" s="66"/>
      <c r="D98" s="66"/>
      <c r="E98" s="66"/>
      <c r="F98" s="66"/>
      <c r="G98" s="66"/>
      <c r="H98" s="160"/>
      <c r="I98" s="66"/>
      <c r="J98" s="1215">
        <v>20277011000</v>
      </c>
      <c r="K98" s="66"/>
      <c r="L98" s="66"/>
      <c r="M98" s="66"/>
      <c r="N98" s="66"/>
    </row>
    <row r="99" spans="2:14">
      <c r="B99" s="59" t="s">
        <v>405</v>
      </c>
      <c r="C99" s="66"/>
      <c r="D99" s="66"/>
      <c r="E99" s="66"/>
      <c r="F99" s="66"/>
      <c r="G99" s="66"/>
      <c r="H99" s="160"/>
      <c r="I99" s="66"/>
      <c r="J99" s="1215">
        <v>229161979000</v>
      </c>
      <c r="K99" s="66"/>
      <c r="L99" s="66"/>
      <c r="M99" s="66"/>
      <c r="N99" s="66"/>
    </row>
    <row r="100" spans="2:14">
      <c r="B100" s="59" t="s">
        <v>406</v>
      </c>
      <c r="C100" s="66"/>
      <c r="D100" s="66"/>
      <c r="E100" s="66"/>
      <c r="F100" s="66"/>
      <c r="G100" s="66"/>
      <c r="H100" s="160"/>
      <c r="I100" s="66"/>
      <c r="J100" s="1215">
        <v>337992000</v>
      </c>
      <c r="K100" s="66"/>
      <c r="L100" s="66"/>
      <c r="M100" s="66"/>
      <c r="N100" s="66"/>
    </row>
    <row r="101" spans="2:14">
      <c r="B101" s="59" t="s">
        <v>407</v>
      </c>
      <c r="C101" s="66"/>
      <c r="D101" s="66"/>
      <c r="E101" s="66"/>
      <c r="F101" s="66"/>
      <c r="G101" s="66"/>
      <c r="H101" s="160"/>
      <c r="I101" s="66"/>
      <c r="J101" s="1215">
        <v>69107356000</v>
      </c>
      <c r="K101" s="66"/>
      <c r="L101" s="66"/>
      <c r="M101" s="66"/>
      <c r="N101" s="66"/>
    </row>
    <row r="102" spans="2:14">
      <c r="B102" s="59" t="s">
        <v>408</v>
      </c>
      <c r="C102" s="66"/>
      <c r="D102" s="66"/>
      <c r="E102" s="66"/>
      <c r="F102" s="66"/>
      <c r="G102" s="66"/>
      <c r="H102" s="160"/>
      <c r="I102" s="66"/>
      <c r="J102" s="1215">
        <v>4156266000</v>
      </c>
      <c r="K102" s="66"/>
      <c r="L102" s="66"/>
      <c r="M102" s="66"/>
      <c r="N102" s="66"/>
    </row>
    <row r="103" spans="2:14">
      <c r="B103" s="59" t="s">
        <v>409</v>
      </c>
      <c r="C103" s="66"/>
      <c r="D103" s="66"/>
      <c r="E103" s="66"/>
      <c r="F103" s="66"/>
      <c r="G103" s="66"/>
      <c r="H103" s="160"/>
      <c r="I103" s="66"/>
      <c r="J103" s="1215">
        <v>25768007000</v>
      </c>
      <c r="K103" s="66"/>
      <c r="L103" s="66"/>
      <c r="M103" s="66"/>
      <c r="N103" s="66"/>
    </row>
    <row r="104" spans="2:14">
      <c r="B104" s="59" t="s">
        <v>410</v>
      </c>
      <c r="C104" s="66">
        <f t="shared" ref="C104:J104" si="76">+C95-C96-C102-C103-C101-C100-C99-C98-C97</f>
        <v>270698313000</v>
      </c>
      <c r="D104" s="66">
        <f t="shared" si="76"/>
        <v>339783845000</v>
      </c>
      <c r="E104" s="66">
        <f t="shared" si="76"/>
        <v>360770789000</v>
      </c>
      <c r="F104" s="66">
        <f t="shared" si="76"/>
        <v>351973669000</v>
      </c>
      <c r="G104" s="66">
        <f t="shared" si="76"/>
        <v>474007614000</v>
      </c>
      <c r="H104" s="66">
        <f t="shared" si="76"/>
        <v>533093618000</v>
      </c>
      <c r="I104" s="66">
        <f t="shared" si="76"/>
        <v>523344990000</v>
      </c>
      <c r="J104" s="66">
        <f t="shared" si="76"/>
        <v>1265085000</v>
      </c>
      <c r="K104" s="66"/>
      <c r="L104" s="66"/>
      <c r="M104" s="66"/>
      <c r="N104" s="66"/>
    </row>
    <row r="105" spans="2:14">
      <c r="B105" s="58" t="s">
        <v>319</v>
      </c>
      <c r="C105" s="64">
        <v>487029811000</v>
      </c>
      <c r="D105" s="64">
        <v>441568331000</v>
      </c>
      <c r="E105" s="64">
        <v>613514565000</v>
      </c>
      <c r="F105" s="64">
        <v>720711355000</v>
      </c>
      <c r="G105" s="64">
        <v>686641387000</v>
      </c>
      <c r="H105" s="141">
        <v>948142596000</v>
      </c>
      <c r="I105" s="64">
        <v>897439640000</v>
      </c>
      <c r="J105" s="1214">
        <v>1026826354000</v>
      </c>
      <c r="K105" s="64"/>
      <c r="L105" s="64"/>
      <c r="M105" s="64"/>
      <c r="N105" s="64"/>
    </row>
    <row r="106" spans="2:14">
      <c r="B106" s="59" t="s">
        <v>411</v>
      </c>
      <c r="C106" s="66"/>
      <c r="D106" s="66"/>
      <c r="E106" s="66"/>
      <c r="F106" s="66"/>
      <c r="G106" s="66"/>
      <c r="H106" s="160"/>
      <c r="I106" s="66"/>
      <c r="J106" s="1217">
        <v>884752691000</v>
      </c>
      <c r="K106" s="66"/>
      <c r="L106" s="66"/>
      <c r="M106" s="66"/>
      <c r="N106" s="66"/>
    </row>
    <row r="107" spans="2:14">
      <c r="B107" s="59" t="s">
        <v>412</v>
      </c>
      <c r="C107" s="66"/>
      <c r="D107" s="66"/>
      <c r="E107" s="66"/>
      <c r="F107" s="66"/>
      <c r="G107" s="66"/>
      <c r="H107" s="160"/>
      <c r="I107" s="66"/>
      <c r="J107" s="1218">
        <v>77089225000</v>
      </c>
      <c r="K107" s="66"/>
      <c r="L107" s="66"/>
      <c r="M107" s="66"/>
      <c r="N107" s="66"/>
    </row>
    <row r="108" spans="2:14">
      <c r="B108" s="59" t="s">
        <v>413</v>
      </c>
      <c r="C108" s="66"/>
      <c r="D108" s="66"/>
      <c r="E108" s="66"/>
      <c r="F108" s="66"/>
      <c r="G108" s="66"/>
      <c r="H108" s="160"/>
      <c r="I108" s="66"/>
      <c r="J108" s="1215">
        <v>31980560000</v>
      </c>
      <c r="K108" s="66"/>
      <c r="L108" s="66"/>
      <c r="M108" s="66"/>
      <c r="N108" s="66"/>
    </row>
    <row r="109" spans="2:14">
      <c r="B109" s="59" t="s">
        <v>414</v>
      </c>
      <c r="C109" s="66"/>
      <c r="D109" s="66"/>
      <c r="E109" s="66"/>
      <c r="F109" s="66"/>
      <c r="G109" s="66"/>
      <c r="H109" s="160"/>
      <c r="I109" s="66"/>
      <c r="J109" s="66"/>
      <c r="K109" s="66"/>
      <c r="L109" s="66"/>
      <c r="M109" s="66"/>
      <c r="N109" s="66"/>
    </row>
    <row r="110" spans="2:14">
      <c r="B110" s="59" t="s">
        <v>341</v>
      </c>
      <c r="C110" s="66">
        <f t="shared" ref="C110:J110" si="77">+C105-C106-C108-C109-C107</f>
        <v>487029811000</v>
      </c>
      <c r="D110" s="66">
        <f t="shared" si="77"/>
        <v>441568331000</v>
      </c>
      <c r="E110" s="66">
        <f t="shared" si="77"/>
        <v>613514565000</v>
      </c>
      <c r="F110" s="66">
        <f t="shared" si="77"/>
        <v>720711355000</v>
      </c>
      <c r="G110" s="66">
        <f t="shared" si="77"/>
        <v>686641387000</v>
      </c>
      <c r="H110" s="66">
        <f t="shared" si="77"/>
        <v>948142596000</v>
      </c>
      <c r="I110" s="66">
        <f t="shared" si="77"/>
        <v>897439640000</v>
      </c>
      <c r="J110" s="66">
        <f t="shared" si="77"/>
        <v>33003878000</v>
      </c>
      <c r="K110" s="66"/>
      <c r="L110" s="66"/>
      <c r="M110" s="66"/>
      <c r="N110" s="66"/>
    </row>
    <row r="111" spans="2:14">
      <c r="B111" s="58" t="s">
        <v>765</v>
      </c>
      <c r="C111" s="64">
        <v>5653801556000</v>
      </c>
      <c r="D111" s="64">
        <v>6101067969000</v>
      </c>
      <c r="E111" s="64">
        <v>6448703485000</v>
      </c>
      <c r="F111" s="64">
        <v>650431949600</v>
      </c>
      <c r="G111" s="64">
        <v>7226328806000</v>
      </c>
      <c r="H111" s="141">
        <v>7815660915000</v>
      </c>
      <c r="I111" s="64">
        <v>8409323377000</v>
      </c>
      <c r="J111" s="1214">
        <v>9213540679000</v>
      </c>
      <c r="K111" s="64"/>
      <c r="L111" s="64"/>
      <c r="M111" s="64"/>
      <c r="N111" s="64"/>
    </row>
    <row r="112" spans="2:14">
      <c r="B112" s="58" t="s">
        <v>766</v>
      </c>
      <c r="C112" s="64">
        <v>1554445942000</v>
      </c>
      <c r="D112" s="64">
        <v>2238715013000</v>
      </c>
      <c r="E112" s="64">
        <v>3110961671000</v>
      </c>
      <c r="F112" s="64">
        <v>3308009193000</v>
      </c>
      <c r="G112" s="64">
        <v>3351408688000</v>
      </c>
      <c r="H112" s="141">
        <v>4020544983000</v>
      </c>
      <c r="I112" s="64">
        <v>4579806963000</v>
      </c>
      <c r="J112" s="1219">
        <v>4505628778000</v>
      </c>
      <c r="K112" s="64"/>
      <c r="L112" s="64"/>
      <c r="M112" s="64"/>
      <c r="N112" s="64"/>
    </row>
    <row r="113" spans="2:14" ht="14.65" thickBot="1">
      <c r="B113" s="60" t="s">
        <v>342</v>
      </c>
      <c r="C113" s="162">
        <f t="shared" ref="C113:G113" si="78">+C112+C111+C105+C95</f>
        <v>7965975622000</v>
      </c>
      <c r="D113" s="162">
        <f t="shared" si="78"/>
        <v>9121135158000</v>
      </c>
      <c r="E113" s="162">
        <f t="shared" si="78"/>
        <v>10533950510000</v>
      </c>
      <c r="F113" s="162">
        <f t="shared" si="78"/>
        <v>5031126166600</v>
      </c>
      <c r="G113" s="162">
        <f t="shared" si="78"/>
        <v>11738386495000</v>
      </c>
      <c r="H113" s="162">
        <f t="shared" ref="H113:N113" si="79">+H112+H111+H105+H95</f>
        <v>13317442112000</v>
      </c>
      <c r="I113" s="162">
        <f t="shared" si="79"/>
        <v>14409914970000</v>
      </c>
      <c r="J113" s="162">
        <f t="shared" si="79"/>
        <v>15246358071000</v>
      </c>
      <c r="K113" s="162">
        <f t="shared" si="79"/>
        <v>0</v>
      </c>
      <c r="L113" s="162">
        <f t="shared" si="79"/>
        <v>0</v>
      </c>
      <c r="M113" s="162">
        <f t="shared" si="79"/>
        <v>0</v>
      </c>
      <c r="N113" s="162">
        <f t="shared" si="79"/>
        <v>0</v>
      </c>
    </row>
    <row r="114" spans="2:14" ht="14.65" thickBot="1">
      <c r="B114" s="61"/>
      <c r="C114" s="61"/>
      <c r="D114" s="61"/>
      <c r="E114" s="61"/>
      <c r="F114" s="61"/>
      <c r="G114" s="61"/>
      <c r="H114" s="61"/>
      <c r="I114" s="61"/>
      <c r="J114" s="61"/>
      <c r="K114" s="61"/>
      <c r="L114" s="61"/>
      <c r="M114" s="61"/>
      <c r="N114" s="61"/>
    </row>
    <row r="115" spans="2:14">
      <c r="B115" s="57" t="s">
        <v>343</v>
      </c>
      <c r="C115" s="62"/>
      <c r="D115" s="62"/>
      <c r="E115" s="62"/>
      <c r="F115" s="62"/>
      <c r="G115" s="62"/>
      <c r="H115" s="164"/>
      <c r="I115" s="62"/>
      <c r="J115" s="62"/>
      <c r="K115" s="62"/>
      <c r="L115" s="62"/>
      <c r="M115" s="62"/>
      <c r="N115" s="62"/>
    </row>
    <row r="116" spans="2:14">
      <c r="B116" s="59" t="s">
        <v>415</v>
      </c>
      <c r="C116" s="160">
        <v>239852287000</v>
      </c>
      <c r="D116" s="160">
        <v>239852287000</v>
      </c>
      <c r="E116" s="160">
        <v>239852287000</v>
      </c>
      <c r="F116" s="160">
        <v>239852287000</v>
      </c>
      <c r="G116" s="160">
        <v>239852287000</v>
      </c>
      <c r="H116" s="160">
        <v>239852287000</v>
      </c>
      <c r="I116" s="160">
        <v>239852287000</v>
      </c>
      <c r="J116" s="1218">
        <v>237902800000</v>
      </c>
      <c r="K116" s="160"/>
      <c r="L116" s="160"/>
      <c r="M116" s="160"/>
      <c r="N116" s="160"/>
    </row>
    <row r="117" spans="2:14">
      <c r="B117" s="59" t="s">
        <v>417</v>
      </c>
      <c r="C117" s="160">
        <v>471175000</v>
      </c>
      <c r="D117" s="160">
        <v>471175000</v>
      </c>
      <c r="E117" s="160">
        <v>471175000</v>
      </c>
      <c r="F117" s="160">
        <v>471175000</v>
      </c>
      <c r="G117" s="160">
        <v>471175000</v>
      </c>
      <c r="H117" s="160">
        <v>471175000</v>
      </c>
      <c r="I117" s="160">
        <v>471175000</v>
      </c>
      <c r="J117" s="1215">
        <v>471175000</v>
      </c>
      <c r="K117" s="160"/>
      <c r="L117" s="160"/>
      <c r="M117" s="160"/>
      <c r="N117" s="160"/>
    </row>
    <row r="118" spans="2:14">
      <c r="B118" s="59" t="s">
        <v>345</v>
      </c>
      <c r="C118" s="160"/>
      <c r="D118" s="160"/>
      <c r="E118" s="160">
        <v>5190113000</v>
      </c>
      <c r="F118" s="160">
        <v>11336584000</v>
      </c>
      <c r="G118" s="160">
        <v>-31654608000</v>
      </c>
      <c r="H118" s="160">
        <v>-81833025000</v>
      </c>
      <c r="I118" s="160">
        <v>-62200045000</v>
      </c>
      <c r="J118" s="1220">
        <v>-12361888000</v>
      </c>
      <c r="K118" s="160"/>
      <c r="L118" s="160"/>
      <c r="M118" s="160"/>
      <c r="N118" s="160"/>
    </row>
    <row r="119" spans="2:14">
      <c r="B119" s="59" t="s">
        <v>680</v>
      </c>
      <c r="C119" s="66"/>
      <c r="D119" s="66"/>
      <c r="E119" s="66"/>
      <c r="F119" s="66"/>
      <c r="G119" s="66">
        <v>0</v>
      </c>
      <c r="H119" s="160">
        <v>-2496936000</v>
      </c>
      <c r="I119" s="66">
        <v>-6422982000</v>
      </c>
      <c r="J119" s="1220">
        <v>-7873804000</v>
      </c>
      <c r="K119" s="66"/>
      <c r="L119" s="66"/>
      <c r="M119" s="66"/>
      <c r="N119" s="66"/>
    </row>
    <row r="120" spans="2:14">
      <c r="B120" s="59" t="s">
        <v>727</v>
      </c>
      <c r="C120" s="66">
        <v>451381555000</v>
      </c>
      <c r="D120" s="66">
        <v>478953335000</v>
      </c>
      <c r="E120" s="66">
        <v>526114918000</v>
      </c>
      <c r="F120" s="66">
        <v>573735184000</v>
      </c>
      <c r="G120" s="66">
        <v>629778759000</v>
      </c>
      <c r="H120" s="160">
        <v>724469434000</v>
      </c>
      <c r="I120" s="66">
        <v>812508427000</v>
      </c>
      <c r="J120" s="1215">
        <v>913201417000</v>
      </c>
      <c r="K120" s="66"/>
      <c r="L120" s="66"/>
      <c r="M120" s="66"/>
      <c r="N120" s="66"/>
    </row>
    <row r="121" spans="2:14">
      <c r="B121" s="59" t="s">
        <v>419</v>
      </c>
      <c r="C121" s="66"/>
      <c r="D121" s="66"/>
      <c r="E121" s="66">
        <v>82188621000</v>
      </c>
      <c r="F121" s="66">
        <v>93415145000</v>
      </c>
      <c r="G121" s="66">
        <v>103686770000</v>
      </c>
      <c r="H121" s="160">
        <v>114106163000</v>
      </c>
      <c r="I121" s="66">
        <v>140116740000</v>
      </c>
      <c r="J121" s="1215">
        <v>112405970000</v>
      </c>
      <c r="K121" s="66"/>
      <c r="L121" s="66"/>
      <c r="M121" s="66"/>
      <c r="N121" s="66"/>
    </row>
    <row r="122" spans="2:14" ht="14.65" thickBot="1">
      <c r="B122" s="60" t="s">
        <v>420</v>
      </c>
      <c r="C122" s="70">
        <f t="shared" ref="C122:G122" si="80">+C116+C120+C119+C118+C117</f>
        <v>691705017000</v>
      </c>
      <c r="D122" s="70">
        <f t="shared" si="80"/>
        <v>719276797000</v>
      </c>
      <c r="E122" s="70">
        <f t="shared" si="80"/>
        <v>771628493000</v>
      </c>
      <c r="F122" s="70">
        <f t="shared" si="80"/>
        <v>825395230000</v>
      </c>
      <c r="G122" s="70">
        <f t="shared" si="80"/>
        <v>838447613000</v>
      </c>
      <c r="H122" s="70">
        <f t="shared" ref="H122:N122" si="81">+H116+H120+H119+H118+H117</f>
        <v>880462935000</v>
      </c>
      <c r="I122" s="70">
        <f t="shared" si="81"/>
        <v>984208862000</v>
      </c>
      <c r="J122" s="70">
        <f t="shared" si="81"/>
        <v>1131339700000</v>
      </c>
      <c r="K122" s="70">
        <f t="shared" si="81"/>
        <v>0</v>
      </c>
      <c r="L122" s="70">
        <f t="shared" si="81"/>
        <v>0</v>
      </c>
      <c r="M122" s="70">
        <f t="shared" si="81"/>
        <v>0</v>
      </c>
      <c r="N122" s="70">
        <f t="shared" si="81"/>
        <v>0</v>
      </c>
    </row>
    <row r="123" spans="2:14" ht="14.65" thickBot="1">
      <c r="B123" s="60" t="s">
        <v>347</v>
      </c>
      <c r="C123" s="70">
        <f>+C122+C121</f>
        <v>691705017000</v>
      </c>
      <c r="D123" s="70">
        <f t="shared" ref="D123:H123" si="82">+D122+D121</f>
        <v>719276797000</v>
      </c>
      <c r="E123" s="70">
        <f t="shared" si="82"/>
        <v>853817114000</v>
      </c>
      <c r="F123" s="70">
        <f t="shared" si="82"/>
        <v>918810375000</v>
      </c>
      <c r="G123" s="70">
        <f t="shared" si="82"/>
        <v>942134383000</v>
      </c>
      <c r="H123" s="70">
        <f t="shared" si="82"/>
        <v>994569098000</v>
      </c>
      <c r="I123" s="70">
        <f t="shared" ref="I123:J123" si="83">+I122+I121</f>
        <v>1124325602000</v>
      </c>
      <c r="J123" s="70">
        <f t="shared" si="83"/>
        <v>1243745670000</v>
      </c>
      <c r="K123" s="70">
        <f t="shared" ref="K123:N123" si="84">+K122+K121</f>
        <v>0</v>
      </c>
      <c r="L123" s="70">
        <f t="shared" si="84"/>
        <v>0</v>
      </c>
      <c r="M123" s="70">
        <f t="shared" si="84"/>
        <v>0</v>
      </c>
      <c r="N123" s="70">
        <f t="shared" si="84"/>
        <v>0</v>
      </c>
    </row>
    <row r="125" spans="2:14" ht="14.65" thickBot="1">
      <c r="B125" s="75" t="s">
        <v>348</v>
      </c>
    </row>
    <row r="126" spans="2:14" ht="14.65" thickBot="1">
      <c r="B126" s="82" t="s">
        <v>308</v>
      </c>
      <c r="C126" s="88">
        <v>2017</v>
      </c>
      <c r="D126" s="88">
        <v>2018</v>
      </c>
      <c r="E126" s="88">
        <v>2019</v>
      </c>
      <c r="F126" s="88">
        <v>2020</v>
      </c>
      <c r="G126" s="88">
        <v>2021</v>
      </c>
      <c r="H126" s="88">
        <v>2022</v>
      </c>
      <c r="I126" s="88">
        <v>2023</v>
      </c>
      <c r="J126" s="88">
        <v>2024</v>
      </c>
      <c r="K126" s="88">
        <v>2025</v>
      </c>
      <c r="L126" s="88">
        <v>2026</v>
      </c>
      <c r="M126" s="88">
        <v>2027</v>
      </c>
      <c r="N126" s="88">
        <v>2028</v>
      </c>
    </row>
    <row r="127" spans="2:14">
      <c r="B127" s="83" t="s">
        <v>349</v>
      </c>
      <c r="C127" s="90"/>
      <c r="D127" s="90"/>
      <c r="E127" s="90"/>
      <c r="F127" s="90"/>
      <c r="G127" s="90"/>
      <c r="H127" s="90"/>
      <c r="I127" s="90"/>
      <c r="J127" s="1219">
        <v>1403740955000</v>
      </c>
      <c r="K127" s="90"/>
      <c r="L127" s="90"/>
      <c r="M127" s="90"/>
      <c r="N127" s="90"/>
    </row>
    <row r="128" spans="2:14">
      <c r="B128" s="85" t="s">
        <v>534</v>
      </c>
      <c r="C128" s="66"/>
      <c r="D128" s="66"/>
      <c r="E128" s="66"/>
      <c r="F128" s="66"/>
      <c r="G128" s="66"/>
      <c r="H128" s="66"/>
      <c r="I128" s="66"/>
      <c r="J128" s="1220">
        <v>-1186663116000</v>
      </c>
      <c r="K128" s="66"/>
      <c r="L128" s="66"/>
      <c r="M128" s="66"/>
      <c r="N128" s="66"/>
    </row>
    <row r="129" spans="2:14">
      <c r="B129" s="86" t="s">
        <v>422</v>
      </c>
      <c r="C129" s="64">
        <f t="shared" ref="C129:F129" si="85">+C127+C128</f>
        <v>0</v>
      </c>
      <c r="D129" s="64">
        <f>+D127+D128</f>
        <v>0</v>
      </c>
      <c r="E129" s="64">
        <f t="shared" si="85"/>
        <v>0</v>
      </c>
      <c r="F129" s="64">
        <f t="shared" si="85"/>
        <v>0</v>
      </c>
      <c r="G129" s="64"/>
      <c r="H129" s="64"/>
      <c r="I129" s="64"/>
      <c r="J129" s="1219">
        <v>217077839000</v>
      </c>
      <c r="K129" s="64"/>
      <c r="L129" s="64"/>
      <c r="M129" s="64"/>
      <c r="N129" s="64"/>
    </row>
    <row r="130" spans="2:14">
      <c r="B130" s="85" t="s">
        <v>592</v>
      </c>
      <c r="C130" s="64"/>
      <c r="D130" s="64"/>
      <c r="E130" s="64"/>
      <c r="F130" s="117"/>
      <c r="G130" s="117"/>
      <c r="H130" s="117"/>
      <c r="I130" s="117"/>
      <c r="J130" s="1215">
        <v>7236375000</v>
      </c>
      <c r="K130" s="117"/>
      <c r="L130" s="117"/>
      <c r="M130" s="117"/>
      <c r="N130" s="117"/>
    </row>
    <row r="131" spans="2:14">
      <c r="B131" s="85" t="s">
        <v>537</v>
      </c>
      <c r="C131" s="64"/>
      <c r="D131" s="64"/>
      <c r="E131" s="64"/>
      <c r="F131" s="117"/>
      <c r="G131" s="117"/>
      <c r="H131" s="117"/>
      <c r="I131" s="117"/>
      <c r="J131" s="1220">
        <v>-205283700000</v>
      </c>
      <c r="K131" s="117"/>
      <c r="L131" s="117"/>
      <c r="M131" s="117"/>
      <c r="N131" s="117"/>
    </row>
    <row r="132" spans="2:14">
      <c r="B132" s="85" t="s">
        <v>767</v>
      </c>
      <c r="C132" s="64"/>
      <c r="D132" s="64"/>
      <c r="E132" s="64"/>
      <c r="F132" s="117"/>
      <c r="G132" s="117"/>
      <c r="H132" s="117"/>
      <c r="I132" s="117"/>
      <c r="J132" s="1220">
        <v>-795354000</v>
      </c>
      <c r="K132" s="117"/>
      <c r="L132" s="117"/>
      <c r="M132" s="117"/>
      <c r="N132" s="117"/>
    </row>
    <row r="133" spans="2:14">
      <c r="B133" s="85" t="s">
        <v>427</v>
      </c>
      <c r="C133" s="66"/>
      <c r="D133" s="66"/>
      <c r="E133" s="66"/>
      <c r="F133" s="117"/>
      <c r="G133" s="117"/>
      <c r="H133" s="117"/>
      <c r="I133" s="117"/>
      <c r="J133" s="1220">
        <v>-47601236000</v>
      </c>
      <c r="K133" s="117"/>
      <c r="L133" s="117"/>
      <c r="M133" s="117"/>
      <c r="N133" s="117"/>
    </row>
    <row r="134" spans="2:14">
      <c r="B134" s="86" t="s">
        <v>428</v>
      </c>
      <c r="C134" s="64">
        <f t="shared" ref="C134:F134" si="86">+C129+C133+C130+C131+C132</f>
        <v>0</v>
      </c>
      <c r="D134" s="64">
        <f t="shared" si="86"/>
        <v>0</v>
      </c>
      <c r="E134" s="64">
        <f t="shared" si="86"/>
        <v>0</v>
      </c>
      <c r="F134" s="64">
        <f t="shared" si="86"/>
        <v>0</v>
      </c>
      <c r="G134" s="64"/>
      <c r="H134" s="64"/>
      <c r="I134" s="64"/>
      <c r="J134" s="1221">
        <v>-29366076000</v>
      </c>
      <c r="K134" s="64"/>
      <c r="L134" s="64"/>
      <c r="M134" s="64"/>
      <c r="N134" s="64"/>
    </row>
    <row r="135" spans="2:14">
      <c r="B135" s="85" t="s">
        <v>429</v>
      </c>
      <c r="C135" s="66"/>
      <c r="D135" s="66"/>
      <c r="E135" s="66"/>
      <c r="F135" s="66"/>
      <c r="G135" s="131"/>
      <c r="H135" s="131"/>
      <c r="I135" s="131"/>
      <c r="J135" s="1222">
        <v>25401902000</v>
      </c>
      <c r="K135" s="131"/>
      <c r="L135" s="131"/>
      <c r="M135" s="131"/>
      <c r="N135" s="131"/>
    </row>
    <row r="136" spans="2:14">
      <c r="B136" s="85" t="s">
        <v>430</v>
      </c>
      <c r="C136" s="66"/>
      <c r="D136" s="66"/>
      <c r="E136" s="66"/>
      <c r="F136" s="66"/>
      <c r="G136" s="131"/>
      <c r="H136" s="131"/>
      <c r="I136" s="131"/>
      <c r="J136" s="1223">
        <v>-47053961000</v>
      </c>
      <c r="K136" s="131"/>
      <c r="L136" s="131"/>
      <c r="M136" s="131"/>
      <c r="N136" s="131"/>
    </row>
    <row r="137" spans="2:14">
      <c r="B137" s="85" t="s">
        <v>431</v>
      </c>
      <c r="C137" s="66"/>
      <c r="D137" s="66"/>
      <c r="E137" s="66"/>
      <c r="F137" s="66"/>
      <c r="G137" s="131"/>
      <c r="H137" s="131"/>
      <c r="I137" s="131"/>
      <c r="J137" s="1222">
        <v>69838570000</v>
      </c>
      <c r="K137" s="131"/>
      <c r="L137" s="131"/>
      <c r="M137" s="131"/>
      <c r="N137" s="131"/>
    </row>
    <row r="138" spans="2:14">
      <c r="B138" s="85" t="s">
        <v>432</v>
      </c>
      <c r="C138" s="66"/>
      <c r="D138" s="66"/>
      <c r="E138" s="66"/>
      <c r="F138" s="66"/>
      <c r="G138" s="131"/>
      <c r="H138" s="131"/>
      <c r="I138" s="131"/>
      <c r="J138" s="1223">
        <v>-1917377000</v>
      </c>
      <c r="K138" s="131"/>
      <c r="L138" s="131"/>
      <c r="M138" s="131"/>
      <c r="N138" s="131"/>
    </row>
    <row r="139" spans="2:14">
      <c r="B139" s="85" t="s">
        <v>433</v>
      </c>
      <c r="C139" s="66"/>
      <c r="D139" s="66"/>
      <c r="E139" s="66"/>
      <c r="F139" s="66"/>
      <c r="G139" s="131"/>
      <c r="H139" s="131"/>
      <c r="I139" s="131"/>
      <c r="J139" s="1223">
        <v>-32808681000</v>
      </c>
      <c r="K139" s="131"/>
      <c r="L139" s="131"/>
      <c r="M139" s="131"/>
      <c r="N139" s="131"/>
    </row>
    <row r="140" spans="2:14">
      <c r="B140" s="86" t="s">
        <v>362</v>
      </c>
      <c r="C140" s="64">
        <f t="shared" ref="C140:E140" si="87">+C134+C135+C136+C137+C138+C139</f>
        <v>0</v>
      </c>
      <c r="D140" s="64">
        <f t="shared" si="87"/>
        <v>0</v>
      </c>
      <c r="E140" s="64">
        <f t="shared" si="87"/>
        <v>0</v>
      </c>
      <c r="F140" s="64">
        <f>+F134+F135+F136+F137+F138+F139</f>
        <v>0</v>
      </c>
      <c r="G140" s="64"/>
      <c r="H140" s="64"/>
      <c r="I140" s="64"/>
      <c r="J140" s="1221">
        <v>-15905623000</v>
      </c>
      <c r="K140" s="64"/>
      <c r="L140" s="64"/>
      <c r="M140" s="64"/>
      <c r="N140" s="64"/>
    </row>
    <row r="141" spans="2:14">
      <c r="B141" s="85" t="s">
        <v>363</v>
      </c>
      <c r="C141" s="66"/>
      <c r="D141" s="66"/>
      <c r="E141" s="66"/>
      <c r="F141" s="66"/>
      <c r="G141" s="91"/>
      <c r="H141" s="91"/>
      <c r="I141" s="91"/>
      <c r="J141" s="1220">
        <v>-7372791000</v>
      </c>
      <c r="K141" s="91"/>
      <c r="L141" s="91"/>
      <c r="M141" s="91"/>
      <c r="N141" s="91"/>
    </row>
    <row r="142" spans="2:14">
      <c r="B142" s="85" t="s">
        <v>768</v>
      </c>
      <c r="C142" s="132"/>
      <c r="D142" s="132"/>
      <c r="E142" s="132"/>
      <c r="F142" s="132"/>
      <c r="G142" s="278"/>
      <c r="H142" s="278"/>
      <c r="I142" s="278"/>
      <c r="J142" s="1224">
        <v>114219426000</v>
      </c>
      <c r="K142" s="278"/>
      <c r="L142" s="278"/>
      <c r="M142" s="278"/>
      <c r="N142" s="278"/>
    </row>
    <row r="143" spans="2:14">
      <c r="B143" s="85" t="s">
        <v>136</v>
      </c>
      <c r="C143" s="132"/>
      <c r="D143" s="132"/>
      <c r="E143" s="132"/>
      <c r="F143" s="132"/>
      <c r="G143" s="278"/>
      <c r="H143" s="278"/>
      <c r="I143" s="278"/>
      <c r="J143" s="1224">
        <v>59905329000</v>
      </c>
      <c r="K143" s="278"/>
      <c r="L143" s="278"/>
      <c r="M143" s="278"/>
      <c r="N143" s="278"/>
    </row>
    <row r="144" spans="2:14">
      <c r="B144" s="84" t="s">
        <v>365</v>
      </c>
      <c r="C144" s="130">
        <v>135504307000</v>
      </c>
      <c r="D144" s="130">
        <v>112057687000</v>
      </c>
      <c r="E144" s="130">
        <v>102321649000</v>
      </c>
      <c r="F144" s="130">
        <v>95096735000</v>
      </c>
      <c r="G144" s="130">
        <v>104143546000</v>
      </c>
      <c r="H144" s="130">
        <v>164534220000</v>
      </c>
      <c r="I144" s="130">
        <v>202262357000</v>
      </c>
      <c r="J144" s="1225">
        <v>170108365000</v>
      </c>
      <c r="K144" s="130"/>
      <c r="L144" s="130"/>
      <c r="M144" s="130"/>
      <c r="N144" s="130"/>
    </row>
    <row r="145" spans="2:14" ht="28.5">
      <c r="B145" s="87" t="s">
        <v>435</v>
      </c>
      <c r="C145" s="66">
        <v>6126025000</v>
      </c>
      <c r="D145" s="66">
        <v>9441342000</v>
      </c>
      <c r="E145" s="66">
        <v>11310221000</v>
      </c>
      <c r="F145" s="66">
        <v>8560216000</v>
      </c>
      <c r="G145" s="91">
        <v>15724823000</v>
      </c>
      <c r="H145" s="91">
        <v>18191143000</v>
      </c>
      <c r="I145" s="91">
        <v>19644305000</v>
      </c>
      <c r="J145" s="1226">
        <v>21864468000</v>
      </c>
      <c r="K145" s="91"/>
      <c r="L145" s="91"/>
      <c r="M145" s="91"/>
      <c r="N145" s="91"/>
    </row>
    <row r="146" spans="2:14">
      <c r="B146" s="84" t="s">
        <v>436</v>
      </c>
      <c r="C146" s="66">
        <f>+C144-C145</f>
        <v>129378282000</v>
      </c>
      <c r="D146" s="66">
        <f t="shared" ref="D146:F146" si="88">+D144-D145</f>
        <v>102616345000</v>
      </c>
      <c r="E146" s="66">
        <f t="shared" si="88"/>
        <v>91011428000</v>
      </c>
      <c r="F146" s="66">
        <f t="shared" si="88"/>
        <v>86536519000</v>
      </c>
      <c r="G146" s="66">
        <v>88418723000</v>
      </c>
      <c r="H146" s="66">
        <v>146343077000</v>
      </c>
      <c r="I146" s="66">
        <f>+I144-I145</f>
        <v>182618052000</v>
      </c>
      <c r="J146" s="66">
        <f>+J144-J145</f>
        <v>148243897000</v>
      </c>
      <c r="K146" s="66">
        <f t="shared" ref="K146:N146" si="89">+K144-K145</f>
        <v>0</v>
      </c>
      <c r="L146" s="66">
        <f t="shared" si="89"/>
        <v>0</v>
      </c>
      <c r="M146" s="66">
        <f t="shared" si="89"/>
        <v>0</v>
      </c>
      <c r="N146" s="66">
        <f t="shared" si="89"/>
        <v>0</v>
      </c>
    </row>
    <row r="147" spans="2:14">
      <c r="B147" s="84" t="s">
        <v>366</v>
      </c>
      <c r="C147" s="111">
        <f>1.293*1000</f>
        <v>1293</v>
      </c>
      <c r="D147" s="111">
        <f>1.03*1000</f>
        <v>1030</v>
      </c>
      <c r="E147" s="111">
        <f>0.91*1000</f>
        <v>910</v>
      </c>
      <c r="F147" s="134">
        <f>0.87*1000</f>
        <v>870</v>
      </c>
      <c r="G147" s="134">
        <f>0.88*1000</f>
        <v>880</v>
      </c>
      <c r="H147" s="134">
        <f>1.47*1000</f>
        <v>1470</v>
      </c>
      <c r="I147" s="134">
        <f>1.83*1000</f>
        <v>1830</v>
      </c>
      <c r="J147" s="1227">
        <v>1490</v>
      </c>
      <c r="K147" s="134"/>
      <c r="L147" s="134"/>
      <c r="M147" s="134"/>
      <c r="N147" s="134"/>
    </row>
    <row r="149" spans="2:14" ht="14.65" thickBot="1">
      <c r="B149" s="75" t="s">
        <v>367</v>
      </c>
    </row>
    <row r="150" spans="2:14" ht="14.65" thickBot="1">
      <c r="B150" s="82" t="s">
        <v>308</v>
      </c>
      <c r="C150" s="88">
        <v>2017</v>
      </c>
      <c r="D150" s="88">
        <v>2018</v>
      </c>
      <c r="E150" s="88">
        <v>2019</v>
      </c>
      <c r="F150" s="88">
        <v>2020</v>
      </c>
      <c r="G150" s="88">
        <v>2021</v>
      </c>
      <c r="H150" s="88">
        <v>2022</v>
      </c>
      <c r="I150" s="88">
        <v>2023</v>
      </c>
      <c r="J150" s="88">
        <v>2024</v>
      </c>
      <c r="K150" s="88">
        <v>2025</v>
      </c>
      <c r="L150" s="88">
        <v>2026</v>
      </c>
      <c r="M150" s="88">
        <v>2027</v>
      </c>
      <c r="N150" s="88">
        <v>2028</v>
      </c>
    </row>
    <row r="151" spans="2:14">
      <c r="B151" s="83" t="s">
        <v>368</v>
      </c>
      <c r="C151" s="90"/>
      <c r="D151" s="90"/>
      <c r="E151" s="90"/>
      <c r="F151" s="90"/>
      <c r="G151" s="90"/>
      <c r="H151" s="90"/>
      <c r="I151" s="90"/>
      <c r="J151" s="1228">
        <v>-308826319000</v>
      </c>
      <c r="K151" s="90"/>
      <c r="L151" s="90"/>
      <c r="M151" s="90"/>
      <c r="N151" s="90"/>
    </row>
    <row r="152" spans="2:14">
      <c r="B152" s="86" t="s">
        <v>369</v>
      </c>
      <c r="C152" s="91"/>
      <c r="D152" s="93"/>
      <c r="E152" s="93"/>
      <c r="F152" s="66"/>
      <c r="G152" s="93"/>
      <c r="H152" s="66"/>
      <c r="I152" s="66"/>
      <c r="J152" s="1215">
        <v>107325491000</v>
      </c>
      <c r="K152" s="66"/>
      <c r="L152" s="66"/>
      <c r="M152" s="66"/>
      <c r="N152" s="66"/>
    </row>
    <row r="153" spans="2:14">
      <c r="B153" s="85" t="s">
        <v>370</v>
      </c>
      <c r="C153" s="93"/>
      <c r="D153" s="93"/>
      <c r="E153" s="93"/>
      <c r="F153" s="93"/>
      <c r="G153" s="93"/>
      <c r="H153" s="93"/>
      <c r="I153" s="93"/>
      <c r="J153" s="1220">
        <v>-21195314000</v>
      </c>
      <c r="K153" s="93"/>
      <c r="L153" s="93"/>
      <c r="M153" s="93"/>
      <c r="N153" s="93"/>
    </row>
    <row r="154" spans="2:14">
      <c r="B154" s="86" t="s">
        <v>372</v>
      </c>
      <c r="C154" s="120"/>
      <c r="D154" s="120"/>
      <c r="E154" s="64"/>
      <c r="F154" s="120"/>
      <c r="G154" s="120"/>
      <c r="H154" s="120"/>
      <c r="I154" s="120"/>
      <c r="J154" s="1221">
        <v>-25053833000</v>
      </c>
      <c r="K154" s="120"/>
      <c r="L154" s="120"/>
      <c r="M154" s="120"/>
      <c r="N154" s="120"/>
    </row>
    <row r="155" spans="2:14">
      <c r="B155" s="85" t="s">
        <v>373</v>
      </c>
      <c r="C155" s="93"/>
      <c r="D155" s="93"/>
      <c r="E155" s="66"/>
      <c r="F155" s="93"/>
      <c r="G155" s="93"/>
      <c r="H155" s="93"/>
      <c r="I155" s="93"/>
      <c r="J155" s="1220">
        <v>-46505139000</v>
      </c>
      <c r="K155" s="93"/>
      <c r="L155" s="93"/>
      <c r="M155" s="93"/>
      <c r="N155" s="93"/>
    </row>
    <row r="156" spans="2:14">
      <c r="B156" s="85" t="s">
        <v>437</v>
      </c>
      <c r="C156" s="93"/>
      <c r="D156" s="93"/>
      <c r="E156" s="66"/>
      <c r="F156" s="93"/>
      <c r="G156" s="93"/>
      <c r="H156" s="93"/>
      <c r="I156" s="93"/>
      <c r="J156" s="1220">
        <v>-37831283000</v>
      </c>
      <c r="K156" s="93"/>
      <c r="L156" s="93"/>
      <c r="M156" s="93"/>
      <c r="N156" s="93"/>
    </row>
    <row r="157" spans="2:14">
      <c r="B157" s="86" t="s">
        <v>375</v>
      </c>
      <c r="C157" s="64"/>
      <c r="D157" s="64"/>
      <c r="E157" s="64"/>
      <c r="F157" s="64"/>
      <c r="G157" s="64"/>
      <c r="H157" s="64"/>
      <c r="I157" s="64"/>
      <c r="J157" s="1221">
        <v>-226554661000</v>
      </c>
      <c r="K157" s="64"/>
      <c r="L157" s="64"/>
      <c r="M157" s="64"/>
      <c r="N157" s="64"/>
    </row>
    <row r="158" spans="2:14">
      <c r="B158" s="85"/>
      <c r="C158" s="66"/>
      <c r="D158" s="66"/>
      <c r="E158" s="66"/>
      <c r="F158" s="66"/>
      <c r="G158" s="66"/>
      <c r="H158" s="66"/>
      <c r="I158" s="66"/>
      <c r="J158" s="1213" t="s">
        <v>180</v>
      </c>
      <c r="K158" s="66"/>
      <c r="L158" s="66"/>
      <c r="M158" s="66"/>
      <c r="N158" s="66"/>
    </row>
    <row r="159" spans="2:14">
      <c r="B159" s="84" t="s">
        <v>376</v>
      </c>
      <c r="C159" s="131">
        <f t="shared" ref="C159:G159" si="90">+C151+C153+C156</f>
        <v>0</v>
      </c>
      <c r="D159" s="131">
        <f t="shared" si="90"/>
        <v>0</v>
      </c>
      <c r="E159" s="131">
        <f t="shared" si="90"/>
        <v>0</v>
      </c>
      <c r="F159" s="131">
        <f t="shared" si="90"/>
        <v>0</v>
      </c>
      <c r="G159" s="131">
        <f t="shared" si="90"/>
        <v>0</v>
      </c>
      <c r="H159" s="131">
        <f>+H151+H153+H156</f>
        <v>0</v>
      </c>
      <c r="I159" s="131"/>
      <c r="J159" s="1229"/>
      <c r="K159" s="131"/>
      <c r="L159" s="131"/>
      <c r="M159" s="131"/>
      <c r="N159" s="131"/>
    </row>
  </sheetData>
  <conditionalFormatting sqref="C69:H75 I69:I89 D76:H76 C77:H89 J78 J89 C90:I113 J104 J110">
    <cfRule type="cellIs" dxfId="102" priority="18" operator="lessThan">
      <formula>0</formula>
    </cfRule>
  </conditionalFormatting>
  <conditionalFormatting sqref="C127:I147 K127:N147 J146">
    <cfRule type="cellIs" dxfId="101" priority="2" operator="lessThan">
      <formula>0</formula>
    </cfRule>
  </conditionalFormatting>
  <conditionalFormatting sqref="C151:I159 K151:N159">
    <cfRule type="cellIs" dxfId="100" priority="1" operator="lessThan">
      <formula>0</formula>
    </cfRule>
  </conditionalFormatting>
  <conditionalFormatting sqref="J69:N69 K70:N91 J92:N94 K95:N108 J109:N109 K110:N112 J113:N113 C115:N115 C116:I121 K116:N121 C122:N123">
    <cfRule type="cellIs" dxfId="99" priority="3" operator="lessThan">
      <formula>0</formula>
    </cfRule>
  </conditionalFormatting>
  <pageMargins left="0.7" right="0.7" top="0.75" bottom="0.75" header="0.3" footer="0.3"/>
  <pageSetup paperSize="9" orientation="portrait" r:id="rId1"/>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8A462-E566-4263-A55F-CFFE9F7434AF}">
  <dimension ref="B2:N29"/>
  <sheetViews>
    <sheetView zoomScale="90" zoomScaleNormal="90" workbookViewId="0">
      <pane xSplit="2" ySplit="6" topLeftCell="E19" activePane="bottomRight" state="frozen"/>
      <selection pane="bottomRight" activeCell="G16" sqref="G16"/>
      <selection pane="bottomLeft" activeCell="A7" sqref="A7"/>
      <selection pane="topRight" activeCell="C1" sqref="C1"/>
    </sheetView>
  </sheetViews>
  <sheetFormatPr defaultColWidth="10.7109375" defaultRowHeight="14.25"/>
  <cols>
    <col min="1" max="1" width="3.7109375" customWidth="1"/>
    <col min="2" max="2" width="33.42578125" bestFit="1" customWidth="1"/>
    <col min="3" max="3" width="28" bestFit="1" customWidth="1"/>
    <col min="4" max="4" width="36.7109375" bestFit="1" customWidth="1"/>
    <col min="5" max="13" width="28" bestFit="1" customWidth="1"/>
  </cols>
  <sheetData>
    <row r="2" spans="2:13" ht="21">
      <c r="B2" s="313">
        <f ca="1">TODAY()-1</f>
        <v>46105</v>
      </c>
      <c r="C2" s="314"/>
      <c r="D2" s="344" t="s">
        <v>265</v>
      </c>
      <c r="E2" s="345" t="s">
        <v>266</v>
      </c>
    </row>
    <row r="3" spans="2:13" ht="25.5">
      <c r="B3" s="376" cm="1">
        <f t="array" aca="1" ref="B3" ca="1">_FV(B6,"Precio")</f>
        <v>19012</v>
      </c>
      <c r="C3" s="316"/>
      <c r="D3" s="346">
        <f>AVERAGE(F17:H17)</f>
        <v>7.3090600000000006E-2</v>
      </c>
      <c r="E3" s="346">
        <f>AVERAGE(F17:H17)</f>
        <v>7.3090600000000006E-2</v>
      </c>
    </row>
    <row r="4" spans="2:13" ht="12" customHeight="1">
      <c r="B4" s="319"/>
      <c r="C4" s="320"/>
      <c r="D4" s="328"/>
      <c r="E4" s="328"/>
    </row>
    <row r="6" spans="2:13" ht="23.25">
      <c r="B6" s="280" t="e" vm="40">
        <v>#VALUE!</v>
      </c>
      <c r="C6" s="280">
        <v>2018</v>
      </c>
      <c r="D6" s="280">
        <v>2019</v>
      </c>
      <c r="E6" s="280">
        <v>2020</v>
      </c>
      <c r="F6" s="280">
        <v>2021</v>
      </c>
      <c r="G6" s="280">
        <v>2022</v>
      </c>
      <c r="H6" s="280">
        <v>2023</v>
      </c>
      <c r="I6" s="280">
        <v>2024</v>
      </c>
      <c r="J6" s="280">
        <v>2025</v>
      </c>
      <c r="K6" s="280">
        <v>2026</v>
      </c>
      <c r="L6" s="280">
        <v>2027</v>
      </c>
      <c r="M6" s="280">
        <v>2028</v>
      </c>
    </row>
    <row r="7" spans="2:13" ht="23.25">
      <c r="B7" s="282" t="s">
        <v>272</v>
      </c>
      <c r="C7" s="283">
        <v>29455654</v>
      </c>
      <c r="D7" s="283">
        <v>33740383</v>
      </c>
      <c r="E7" s="283">
        <v>35638632</v>
      </c>
      <c r="F7" s="283">
        <v>37784282</v>
      </c>
      <c r="G7" s="283">
        <v>40504299</v>
      </c>
      <c r="H7" s="283">
        <v>41970270</v>
      </c>
      <c r="I7" s="283"/>
      <c r="J7" s="283"/>
      <c r="K7" s="283"/>
      <c r="L7" s="283"/>
      <c r="M7" s="283"/>
    </row>
    <row r="8" spans="2:13" ht="23.25">
      <c r="B8" s="284" t="s">
        <v>566</v>
      </c>
      <c r="C8" s="285">
        <v>25908042</v>
      </c>
      <c r="D8" s="285">
        <v>30299998</v>
      </c>
      <c r="E8" s="285">
        <v>33250306</v>
      </c>
      <c r="F8" s="285">
        <v>34431940</v>
      </c>
      <c r="G8" s="285">
        <v>37181540</v>
      </c>
      <c r="H8" s="285">
        <v>38233733</v>
      </c>
      <c r="I8" s="285"/>
      <c r="J8" s="285"/>
      <c r="K8" s="285"/>
      <c r="L8" s="285"/>
      <c r="M8" s="285"/>
    </row>
    <row r="9" spans="2:13" ht="23.25">
      <c r="B9" s="286" t="s">
        <v>276</v>
      </c>
      <c r="C9" s="287">
        <v>3547612</v>
      </c>
      <c r="D9" s="287">
        <v>3440385</v>
      </c>
      <c r="E9" s="287">
        <v>2388326</v>
      </c>
      <c r="F9" s="287">
        <v>3352342</v>
      </c>
      <c r="G9" s="287">
        <v>3320109</v>
      </c>
      <c r="H9" s="287">
        <v>3736537</v>
      </c>
      <c r="I9" s="287"/>
      <c r="J9" s="287"/>
      <c r="K9" s="287"/>
      <c r="L9" s="287"/>
      <c r="M9" s="287"/>
    </row>
    <row r="10" spans="2:13" ht="23.25">
      <c r="B10" s="286" t="s">
        <v>567</v>
      </c>
      <c r="C10" s="494">
        <v>512406760091</v>
      </c>
      <c r="D10" s="494">
        <v>512406760091</v>
      </c>
      <c r="E10" s="494">
        <v>512406760091</v>
      </c>
      <c r="F10" s="494">
        <v>973517871202</v>
      </c>
      <c r="G10" s="494">
        <v>973517871202</v>
      </c>
      <c r="H10" s="494">
        <v>216340749</v>
      </c>
      <c r="I10" s="287"/>
      <c r="J10" s="287"/>
      <c r="K10" s="289"/>
      <c r="L10" s="289"/>
      <c r="M10" s="289"/>
    </row>
    <row r="11" spans="2:13" ht="23.25">
      <c r="B11" s="553" t="s">
        <v>568</v>
      </c>
      <c r="C11" s="554">
        <v>26805</v>
      </c>
      <c r="D11" s="554">
        <v>18998</v>
      </c>
      <c r="E11" s="554">
        <v>9957</v>
      </c>
      <c r="F11" s="554">
        <v>7423</v>
      </c>
      <c r="G11" s="554">
        <v>8423</v>
      </c>
      <c r="H11" s="554">
        <v>8600</v>
      </c>
      <c r="I11" s="554"/>
      <c r="J11" s="554"/>
      <c r="K11" s="554"/>
      <c r="L11" s="554"/>
      <c r="M11" s="554"/>
    </row>
    <row r="12" spans="2:13" ht="23.25">
      <c r="B12" s="290"/>
      <c r="C12" s="290"/>
      <c r="D12" s="290"/>
      <c r="E12" s="290"/>
      <c r="F12" s="290"/>
      <c r="G12" s="290"/>
      <c r="H12" s="281"/>
      <c r="I12" s="281"/>
      <c r="J12" s="281"/>
      <c r="K12" s="281"/>
      <c r="L12" s="281"/>
      <c r="M12" s="281"/>
    </row>
    <row r="13" spans="2:13" ht="23.25">
      <c r="B13" s="291" t="s">
        <v>569</v>
      </c>
      <c r="C13" s="292">
        <v>1698645</v>
      </c>
      <c r="D13" s="292">
        <v>1719940</v>
      </c>
      <c r="E13" s="292">
        <v>1519401</v>
      </c>
      <c r="F13" s="292">
        <v>1650982</v>
      </c>
      <c r="G13" s="292">
        <v>2022355</v>
      </c>
      <c r="H13" s="292">
        <v>2919864</v>
      </c>
      <c r="I13" s="292"/>
      <c r="J13" s="292"/>
      <c r="K13" s="292"/>
      <c r="L13" s="292"/>
      <c r="M13" s="292"/>
    </row>
    <row r="14" spans="2:13" ht="23.25">
      <c r="B14" s="293" t="s">
        <v>570</v>
      </c>
      <c r="C14" s="491">
        <v>-749451</v>
      </c>
      <c r="D14" s="491">
        <v>-740975</v>
      </c>
      <c r="E14" s="491">
        <v>-1077940</v>
      </c>
      <c r="F14" s="294">
        <v>389613</v>
      </c>
      <c r="G14" s="294">
        <v>402279</v>
      </c>
      <c r="H14" s="294">
        <v>384667</v>
      </c>
      <c r="I14" s="294"/>
      <c r="J14" s="294"/>
      <c r="K14" s="294"/>
      <c r="L14" s="294"/>
      <c r="M14" s="294"/>
    </row>
    <row r="15" spans="2:13" ht="23.25">
      <c r="B15" s="295" t="s">
        <v>571</v>
      </c>
      <c r="C15" s="492">
        <v>176846</v>
      </c>
      <c r="D15" s="492">
        <v>132464</v>
      </c>
      <c r="E15" s="492">
        <v>-938617</v>
      </c>
      <c r="F15" s="296">
        <v>278810</v>
      </c>
      <c r="G15" s="296">
        <v>433785</v>
      </c>
      <c r="H15" s="296">
        <v>354883</v>
      </c>
      <c r="I15" s="296"/>
      <c r="J15" s="296"/>
      <c r="K15" s="296"/>
      <c r="L15" s="296"/>
      <c r="M15" s="296"/>
    </row>
    <row r="16" spans="2:13" ht="23.25">
      <c r="B16" s="295" t="s">
        <v>572</v>
      </c>
      <c r="C16" s="297">
        <v>0.33600000000000002</v>
      </c>
      <c r="D16" s="297">
        <v>0.248</v>
      </c>
      <c r="E16" s="493">
        <v>-1.806</v>
      </c>
      <c r="F16" s="297">
        <v>0.46400000000000002</v>
      </c>
      <c r="G16" s="297">
        <v>1640</v>
      </c>
      <c r="H16" s="297">
        <v>2005</v>
      </c>
      <c r="I16" s="297"/>
      <c r="J16" s="297"/>
      <c r="K16" s="297"/>
      <c r="L16" s="297"/>
      <c r="M16" s="297"/>
    </row>
    <row r="17" spans="2:14" ht="23.25">
      <c r="B17" s="298" t="s">
        <v>573</v>
      </c>
      <c r="C17" s="299">
        <v>4.4839999999999998E-2</v>
      </c>
      <c r="D17" s="299">
        <v>0.1007</v>
      </c>
      <c r="E17" s="299">
        <v>0.24797</v>
      </c>
      <c r="F17" s="299">
        <v>0</v>
      </c>
      <c r="G17" s="299">
        <v>8.5608900000000002E-2</v>
      </c>
      <c r="H17" s="299">
        <v>0.1336629</v>
      </c>
      <c r="I17" s="300"/>
      <c r="J17" s="299"/>
      <c r="K17" s="299"/>
      <c r="L17" s="299"/>
      <c r="M17" s="299"/>
    </row>
    <row r="18" spans="2:14" ht="23.25">
      <c r="B18" s="298" t="s">
        <v>574</v>
      </c>
      <c r="C18" s="301">
        <f>C17/C16</f>
        <v>0.13345238095238093</v>
      </c>
      <c r="D18" s="301">
        <f>D17/C16</f>
        <v>0.29970238095238094</v>
      </c>
      <c r="E18" s="301">
        <f t="shared" ref="E18:M18" si="0">E17/D16</f>
        <v>0.99987903225806452</v>
      </c>
      <c r="F18" s="301">
        <f t="shared" si="0"/>
        <v>0</v>
      </c>
      <c r="G18" s="301">
        <f t="shared" si="0"/>
        <v>0.18450193965517242</v>
      </c>
      <c r="H18" s="301">
        <f t="shared" si="0"/>
        <v>8.1501768292682923E-5</v>
      </c>
      <c r="I18" s="301">
        <f>I17/H16</f>
        <v>0</v>
      </c>
      <c r="J18" s="301" t="e">
        <f t="shared" si="0"/>
        <v>#DIV/0!</v>
      </c>
      <c r="K18" s="301" t="e">
        <f t="shared" si="0"/>
        <v>#DIV/0!</v>
      </c>
      <c r="L18" s="301" t="e">
        <f t="shared" si="0"/>
        <v>#DIV/0!</v>
      </c>
      <c r="M18" s="301" t="e">
        <f t="shared" si="0"/>
        <v>#DIV/0!</v>
      </c>
    </row>
    <row r="19" spans="2:14" ht="28.5">
      <c r="B19" s="540" t="s">
        <v>303</v>
      </c>
      <c r="C19" s="54">
        <f>AVERAGE(F18:H18)</f>
        <v>6.1527813807821706E-2</v>
      </c>
      <c r="D19" s="54"/>
      <c r="E19" s="54"/>
      <c r="F19" s="54"/>
      <c r="G19" s="54"/>
      <c r="H19" s="54"/>
      <c r="I19" s="54"/>
      <c r="J19" s="54"/>
      <c r="K19" s="54"/>
      <c r="L19" s="54"/>
      <c r="M19" s="54"/>
      <c r="N19" s="54"/>
    </row>
    <row r="20" spans="2:14" ht="23.25">
      <c r="B20" s="281"/>
      <c r="C20" s="281"/>
      <c r="D20" s="281"/>
      <c r="E20" s="302" t="s">
        <v>575</v>
      </c>
      <c r="F20" s="281"/>
      <c r="G20" s="281"/>
    </row>
    <row r="21" spans="2:14" ht="23.25">
      <c r="B21" s="303" t="s">
        <v>576</v>
      </c>
      <c r="C21" s="304">
        <f>C14/C13</f>
        <v>-0.44120519590614871</v>
      </c>
      <c r="D21" s="304">
        <f t="shared" ref="D21:M21" si="1">D14/D13</f>
        <v>-0.43081444701559357</v>
      </c>
      <c r="E21" s="304">
        <f t="shared" si="1"/>
        <v>-0.70945063218992221</v>
      </c>
      <c r="F21" s="304">
        <f t="shared" si="1"/>
        <v>0.23598864191129884</v>
      </c>
      <c r="G21" s="304">
        <f t="shared" si="1"/>
        <v>0.19891611512321031</v>
      </c>
      <c r="H21" s="304">
        <f t="shared" si="1"/>
        <v>0.13174140987388452</v>
      </c>
      <c r="I21" s="304" t="e">
        <f t="shared" si="1"/>
        <v>#DIV/0!</v>
      </c>
      <c r="J21" s="304" t="e">
        <f t="shared" si="1"/>
        <v>#DIV/0!</v>
      </c>
      <c r="K21" s="304" t="e">
        <f t="shared" si="1"/>
        <v>#DIV/0!</v>
      </c>
      <c r="L21" s="304" t="e">
        <f t="shared" si="1"/>
        <v>#DIV/0!</v>
      </c>
      <c r="M21" s="304" t="e">
        <f t="shared" si="1"/>
        <v>#DIV/0!</v>
      </c>
    </row>
    <row r="22" spans="2:14" ht="23.25">
      <c r="B22" s="303" t="s">
        <v>577</v>
      </c>
      <c r="C22" s="304">
        <f>C15/C13</f>
        <v>0.10411004065004754</v>
      </c>
      <c r="D22" s="304">
        <f t="shared" ref="D22:M22" si="2">D15/D13</f>
        <v>7.7016640115352863E-2</v>
      </c>
      <c r="E22" s="304">
        <f t="shared" si="2"/>
        <v>-0.61775462830418038</v>
      </c>
      <c r="F22" s="304">
        <f t="shared" si="2"/>
        <v>0.16887525121412589</v>
      </c>
      <c r="G22" s="304">
        <f t="shared" si="2"/>
        <v>0.2144949823349511</v>
      </c>
      <c r="H22" s="304">
        <f t="shared" si="2"/>
        <v>0.12154093478326387</v>
      </c>
      <c r="I22" s="304" t="e">
        <f t="shared" si="2"/>
        <v>#DIV/0!</v>
      </c>
      <c r="J22" s="304" t="e">
        <f t="shared" si="2"/>
        <v>#DIV/0!</v>
      </c>
      <c r="K22" s="304" t="e">
        <f t="shared" si="2"/>
        <v>#DIV/0!</v>
      </c>
      <c r="L22" s="304" t="e">
        <f t="shared" si="2"/>
        <v>#DIV/0!</v>
      </c>
      <c r="M22" s="304" t="e">
        <f t="shared" si="2"/>
        <v>#DIV/0!</v>
      </c>
    </row>
    <row r="23" spans="2:14" ht="23.25">
      <c r="B23" s="303" t="s">
        <v>160</v>
      </c>
      <c r="C23" s="304">
        <f>C15/C9</f>
        <v>4.9849307083187223E-2</v>
      </c>
      <c r="D23" s="304">
        <f t="shared" ref="D23:M23" si="3">D15/D9</f>
        <v>3.8502667579355221E-2</v>
      </c>
      <c r="E23" s="304">
        <f t="shared" si="3"/>
        <v>-0.39300204410955625</v>
      </c>
      <c r="F23" s="304">
        <f t="shared" si="3"/>
        <v>8.3168722045662405E-2</v>
      </c>
      <c r="G23" s="304">
        <f t="shared" si="3"/>
        <v>0.13065384299129937</v>
      </c>
      <c r="H23" s="304">
        <f t="shared" si="3"/>
        <v>9.4976444766905824E-2</v>
      </c>
      <c r="I23" s="304" t="e">
        <f t="shared" si="3"/>
        <v>#DIV/0!</v>
      </c>
      <c r="J23" s="304" t="e">
        <f t="shared" si="3"/>
        <v>#DIV/0!</v>
      </c>
      <c r="K23" s="304" t="e">
        <f t="shared" si="3"/>
        <v>#DIV/0!</v>
      </c>
      <c r="L23" s="304" t="e">
        <f t="shared" si="3"/>
        <v>#DIV/0!</v>
      </c>
      <c r="M23" s="304" t="e">
        <f t="shared" si="3"/>
        <v>#DIV/0!</v>
      </c>
    </row>
    <row r="24" spans="2:14" s="281" customFormat="1" ht="23.25">
      <c r="B24" s="281" t="s">
        <v>382</v>
      </c>
      <c r="C24" s="305">
        <f>AVERAGE(F23:H23)</f>
        <v>0.10293300326795586</v>
      </c>
    </row>
    <row r="25" spans="2:14" ht="23.25">
      <c r="B25" s="281" t="s">
        <v>176</v>
      </c>
      <c r="C25" s="305"/>
      <c r="D25" s="306">
        <f>D23*(100%-D18)</f>
        <v>2.6963326432804417E-2</v>
      </c>
      <c r="E25" s="306">
        <f t="shared" ref="E25:M25" si="4">E23*(100%-E18)</f>
        <v>-4.754056985196284E-5</v>
      </c>
      <c r="F25" s="306">
        <f t="shared" si="4"/>
        <v>8.3168722045662405E-2</v>
      </c>
      <c r="G25" s="306">
        <f t="shared" si="4"/>
        <v>0.10654795553600228</v>
      </c>
      <c r="H25" s="306">
        <f t="shared" si="4"/>
        <v>9.4968704018711173E-2</v>
      </c>
      <c r="I25" s="306" t="e">
        <f t="shared" si="4"/>
        <v>#DIV/0!</v>
      </c>
      <c r="J25" s="306" t="e">
        <f t="shared" si="4"/>
        <v>#DIV/0!</v>
      </c>
      <c r="K25" s="306" t="e">
        <f t="shared" si="4"/>
        <v>#DIV/0!</v>
      </c>
      <c r="L25" s="306" t="e">
        <f t="shared" si="4"/>
        <v>#DIV/0!</v>
      </c>
      <c r="M25" s="306" t="e">
        <f t="shared" si="4"/>
        <v>#DIV/0!</v>
      </c>
    </row>
    <row r="26" spans="2:14" ht="25.5">
      <c r="B26" s="542" t="s">
        <v>306</v>
      </c>
      <c r="C26" s="534">
        <f>AVERAGE(F25:H25)</f>
        <v>9.4895127200125287E-2</v>
      </c>
      <c r="D26" s="534"/>
      <c r="E26" s="534"/>
      <c r="F26" s="534"/>
      <c r="G26" s="534"/>
      <c r="H26" s="534"/>
      <c r="I26" s="534"/>
      <c r="J26" s="535"/>
      <c r="K26" s="534"/>
      <c r="L26" s="534"/>
      <c r="M26" s="534"/>
      <c r="N26" s="534"/>
    </row>
    <row r="27" spans="2:14" ht="25.5">
      <c r="B27" s="281" t="s">
        <v>578</v>
      </c>
      <c r="C27" s="534">
        <f>+C17/C11</f>
        <v>1.6728222346577131E-6</v>
      </c>
      <c r="D27" s="534">
        <f t="shared" ref="D27:M27" si="5">+D17/D11</f>
        <v>5.3005579534687861E-6</v>
      </c>
      <c r="E27" s="534">
        <f t="shared" si="5"/>
        <v>2.490408757657929E-5</v>
      </c>
      <c r="F27" s="534">
        <f t="shared" si="5"/>
        <v>0</v>
      </c>
      <c r="G27" s="534">
        <f t="shared" si="5"/>
        <v>1.0163706517867743E-5</v>
      </c>
      <c r="H27" s="534">
        <f t="shared" si="5"/>
        <v>1.5542197674418604E-5</v>
      </c>
      <c r="I27" s="534" t="e">
        <f t="shared" si="5"/>
        <v>#DIV/0!</v>
      </c>
      <c r="J27" s="534" t="e">
        <f t="shared" si="5"/>
        <v>#DIV/0!</v>
      </c>
      <c r="K27" s="534" t="e">
        <f t="shared" si="5"/>
        <v>#DIV/0!</v>
      </c>
      <c r="L27" s="534" t="e">
        <f t="shared" si="5"/>
        <v>#DIV/0!</v>
      </c>
      <c r="M27" s="534" t="e">
        <f t="shared" si="5"/>
        <v>#DIV/0!</v>
      </c>
    </row>
    <row r="28" spans="2:14" ht="25.5">
      <c r="B28" s="281" t="s">
        <v>579</v>
      </c>
      <c r="C28" s="534">
        <f>AVERAGE(F27:H27)</f>
        <v>8.5686347307621162E-6</v>
      </c>
    </row>
    <row r="29" spans="2:14" ht="23.25">
      <c r="B29" s="281"/>
      <c r="C29" s="281"/>
      <c r="D29" s="281"/>
      <c r="E29" s="281"/>
      <c r="F29" s="281"/>
      <c r="G29" s="281"/>
      <c r="H29" s="281"/>
      <c r="I29" s="281"/>
      <c r="J29" s="281"/>
      <c r="K29" s="281"/>
      <c r="L29" s="281"/>
      <c r="M29" s="281"/>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8D54-7ECC-4BFE-A3D9-9B5F5DC37074}">
  <sheetPr codeName="Hoja18"/>
  <dimension ref="B2:P150"/>
  <sheetViews>
    <sheetView zoomScale="85" zoomScaleNormal="85" workbookViewId="0">
      <pane xSplit="2" ySplit="6" topLeftCell="J7" activePane="bottomRight" state="frozen"/>
      <selection pane="bottomRight" activeCell="J32" sqref="J32"/>
      <selection pane="bottomLeft" activeCell="A7" sqref="A7"/>
      <selection pane="topRight" activeCell="C1" sqref="C1"/>
    </sheetView>
  </sheetViews>
  <sheetFormatPr defaultColWidth="10.7109375" defaultRowHeight="13.15"/>
  <cols>
    <col min="1" max="1" width="3" style="1000" customWidth="1"/>
    <col min="2" max="2" width="64.7109375" style="1000" bestFit="1" customWidth="1"/>
    <col min="3" max="3" width="33.28515625" style="1000" bestFit="1" customWidth="1"/>
    <col min="4" max="4" width="36.7109375" style="1000" bestFit="1" customWidth="1"/>
    <col min="5" max="7" width="33.28515625" style="1000" bestFit="1" customWidth="1"/>
    <col min="8" max="8" width="35.7109375" style="1000" bestFit="1" customWidth="1"/>
    <col min="9" max="9" width="32.7109375" style="1000" bestFit="1" customWidth="1"/>
    <col min="10" max="10" width="32.140625" style="1000" customWidth="1"/>
    <col min="11" max="14" width="25.42578125" style="1000" bestFit="1" customWidth="1"/>
    <col min="15" max="16384" width="10.7109375" style="1000"/>
  </cols>
  <sheetData>
    <row r="2" spans="2:14">
      <c r="B2" s="997">
        <f ca="1">TODAY()-1</f>
        <v>46105</v>
      </c>
      <c r="C2" s="998"/>
      <c r="D2" s="999" t="s">
        <v>265</v>
      </c>
      <c r="E2" s="999" t="s">
        <v>266</v>
      </c>
    </row>
    <row r="3" spans="2:14">
      <c r="B3" s="1001" cm="1">
        <f t="array" aca="1" ref="B3" ca="1">_FV(B6,"Precio")</f>
        <v>8145.9</v>
      </c>
      <c r="C3" s="1002"/>
      <c r="D3" s="1003">
        <f>AVERAGE(H45:J45)</f>
        <v>305</v>
      </c>
      <c r="E3" s="1003">
        <f>AVERAGE(H44:J44)</f>
        <v>310.66666666666669</v>
      </c>
    </row>
    <row r="4" spans="2:14">
      <c r="B4" s="1004"/>
      <c r="C4" s="1005"/>
      <c r="D4" s="1006"/>
      <c r="E4" s="1006"/>
    </row>
    <row r="6" spans="2:14">
      <c r="B6" s="1007" t="e" vm="41">
        <v>#VALUE!</v>
      </c>
      <c r="C6" s="1007">
        <v>2017</v>
      </c>
      <c r="D6" s="1007">
        <v>2018</v>
      </c>
      <c r="E6" s="1007">
        <v>2019</v>
      </c>
      <c r="F6" s="1007">
        <v>2020</v>
      </c>
      <c r="G6" s="1007">
        <v>2021</v>
      </c>
      <c r="H6" s="1007">
        <v>2022</v>
      </c>
      <c r="I6" s="1007">
        <v>2023</v>
      </c>
      <c r="J6" s="1007">
        <v>2024</v>
      </c>
      <c r="K6" s="1007">
        <v>2025</v>
      </c>
      <c r="L6" s="1007">
        <v>2026</v>
      </c>
      <c r="M6" s="1007">
        <v>2027</v>
      </c>
      <c r="N6" s="1007">
        <v>2028</v>
      </c>
    </row>
    <row r="7" spans="2:14">
      <c r="B7" s="1090" t="s">
        <v>267</v>
      </c>
      <c r="C7" s="1008">
        <f>+C68</f>
        <v>67804995000</v>
      </c>
      <c r="D7" s="1008">
        <f t="shared" ref="D7:I7" si="0">+D68</f>
        <v>84615205000</v>
      </c>
      <c r="E7" s="1008">
        <f t="shared" si="0"/>
        <v>83335307000</v>
      </c>
      <c r="F7" s="1008">
        <f t="shared" si="0"/>
        <v>132617923000</v>
      </c>
      <c r="G7" s="1008">
        <f t="shared" si="0"/>
        <v>151281267000</v>
      </c>
      <c r="H7" s="1008">
        <f t="shared" si="0"/>
        <v>159742997000</v>
      </c>
      <c r="I7" s="1008">
        <f t="shared" si="0"/>
        <v>214386660000</v>
      </c>
      <c r="J7" s="1008">
        <f t="shared" ref="J7:N7" si="1">+J68</f>
        <v>227272330000</v>
      </c>
      <c r="K7" s="1008">
        <f t="shared" si="1"/>
        <v>0</v>
      </c>
      <c r="L7" s="1008">
        <f t="shared" si="1"/>
        <v>0</v>
      </c>
      <c r="M7" s="1008">
        <f t="shared" si="1"/>
        <v>0</v>
      </c>
      <c r="N7" s="1008">
        <f t="shared" si="1"/>
        <v>0</v>
      </c>
    </row>
    <row r="8" spans="2:14">
      <c r="B8" s="1091" t="s">
        <v>377</v>
      </c>
      <c r="C8" s="1009">
        <f>+C72</f>
        <v>34909135000</v>
      </c>
      <c r="D8" s="1009">
        <f t="shared" ref="D8:I8" si="2">+D72</f>
        <v>41524524000</v>
      </c>
      <c r="E8" s="1009">
        <f t="shared" si="2"/>
        <v>40037977000</v>
      </c>
      <c r="F8" s="1009">
        <f t="shared" si="2"/>
        <v>36609778000</v>
      </c>
      <c r="G8" s="1009">
        <f t="shared" si="2"/>
        <v>53754590000</v>
      </c>
      <c r="H8" s="1009">
        <f t="shared" si="2"/>
        <v>56346997000</v>
      </c>
      <c r="I8" s="1009">
        <f t="shared" si="2"/>
        <v>65829088000</v>
      </c>
      <c r="J8" s="1009">
        <f t="shared" ref="J8:N8" si="3">+J72</f>
        <v>81750885000</v>
      </c>
      <c r="K8" s="1009">
        <f t="shared" si="3"/>
        <v>0</v>
      </c>
      <c r="L8" s="1009">
        <f t="shared" si="3"/>
        <v>0</v>
      </c>
      <c r="M8" s="1009">
        <f t="shared" si="3"/>
        <v>0</v>
      </c>
      <c r="N8" s="1009">
        <f t="shared" si="3"/>
        <v>0</v>
      </c>
    </row>
    <row r="9" spans="2:14">
      <c r="B9" s="1091" t="s">
        <v>718</v>
      </c>
      <c r="C9" s="1009">
        <f>+C74</f>
        <v>21974501000</v>
      </c>
      <c r="D9" s="1009">
        <f t="shared" ref="D9:I9" si="4">+D74</f>
        <v>22305305000</v>
      </c>
      <c r="E9" s="1009">
        <f t="shared" si="4"/>
        <v>21587921000</v>
      </c>
      <c r="F9" s="1009">
        <f t="shared" si="4"/>
        <v>23131562000</v>
      </c>
      <c r="G9" s="1009">
        <f t="shared" si="4"/>
        <v>38014024000</v>
      </c>
      <c r="H9" s="1009">
        <f t="shared" si="4"/>
        <v>35378132000</v>
      </c>
      <c r="I9" s="1009">
        <f t="shared" si="4"/>
        <v>24567451000</v>
      </c>
      <c r="J9" s="1009">
        <f t="shared" ref="J9:N9" si="5">+J74</f>
        <v>36923701000</v>
      </c>
      <c r="K9" s="1009">
        <f t="shared" si="5"/>
        <v>0</v>
      </c>
      <c r="L9" s="1009">
        <f t="shared" si="5"/>
        <v>0</v>
      </c>
      <c r="M9" s="1009">
        <f t="shared" si="5"/>
        <v>0</v>
      </c>
      <c r="N9" s="1009">
        <f t="shared" si="5"/>
        <v>0</v>
      </c>
    </row>
    <row r="10" spans="2:14">
      <c r="B10" s="1090" t="s">
        <v>719</v>
      </c>
      <c r="C10" s="1008">
        <f>+C77</f>
        <v>322864236000</v>
      </c>
      <c r="D10" s="1008">
        <f t="shared" ref="D10:I10" si="6">+D77</f>
        <v>360200798000</v>
      </c>
      <c r="E10" s="1008">
        <f t="shared" si="6"/>
        <v>425859654000</v>
      </c>
      <c r="F10" s="1008">
        <f t="shared" si="6"/>
        <v>426629684000</v>
      </c>
      <c r="G10" s="1008">
        <f t="shared" si="6"/>
        <v>472701969000</v>
      </c>
      <c r="H10" s="1008">
        <f t="shared" si="6"/>
        <v>536497555000</v>
      </c>
      <c r="I10" s="1008">
        <f t="shared" si="6"/>
        <v>520972887000</v>
      </c>
      <c r="J10" s="1008">
        <f t="shared" ref="J10:N10" si="7">+J77</f>
        <v>556815992000</v>
      </c>
      <c r="K10" s="1008">
        <f t="shared" si="7"/>
        <v>0</v>
      </c>
      <c r="L10" s="1008">
        <f t="shared" si="7"/>
        <v>0</v>
      </c>
      <c r="M10" s="1008">
        <f t="shared" si="7"/>
        <v>0</v>
      </c>
      <c r="N10" s="1008">
        <f t="shared" si="7"/>
        <v>0</v>
      </c>
    </row>
    <row r="11" spans="2:14">
      <c r="B11" s="1092" t="s">
        <v>272</v>
      </c>
      <c r="C11" s="1010">
        <f t="shared" ref="C11" si="8">+C7+C10</f>
        <v>390669231000</v>
      </c>
      <c r="D11" s="1010">
        <f t="shared" ref="D11:I11" si="9">+D7+D10</f>
        <v>444816003000</v>
      </c>
      <c r="E11" s="1010">
        <f t="shared" si="9"/>
        <v>509194961000</v>
      </c>
      <c r="F11" s="1010">
        <f t="shared" si="9"/>
        <v>559247607000</v>
      </c>
      <c r="G11" s="1010">
        <f t="shared" si="9"/>
        <v>623983236000</v>
      </c>
      <c r="H11" s="1010">
        <f t="shared" si="9"/>
        <v>696240552000</v>
      </c>
      <c r="I11" s="1010">
        <f t="shared" si="9"/>
        <v>735359547000</v>
      </c>
      <c r="J11" s="1010">
        <f t="shared" ref="J11:N11" si="10">+J7+J10</f>
        <v>784088322000</v>
      </c>
      <c r="K11" s="1010">
        <f t="shared" si="10"/>
        <v>0</v>
      </c>
      <c r="L11" s="1010">
        <f t="shared" si="10"/>
        <v>0</v>
      </c>
      <c r="M11" s="1010">
        <f t="shared" si="10"/>
        <v>0</v>
      </c>
      <c r="N11" s="1010">
        <f t="shared" si="10"/>
        <v>0</v>
      </c>
    </row>
    <row r="12" spans="2:14">
      <c r="B12" s="1093" t="s">
        <v>273</v>
      </c>
      <c r="C12" s="1011">
        <f>+C91</f>
        <v>56402525000</v>
      </c>
      <c r="D12" s="1011">
        <f t="shared" ref="D12:I12" si="11">+D91</f>
        <v>86316984000</v>
      </c>
      <c r="E12" s="1011">
        <f t="shared" si="11"/>
        <v>64277110000</v>
      </c>
      <c r="F12" s="1011">
        <f t="shared" si="11"/>
        <v>70737368000</v>
      </c>
      <c r="G12" s="1011">
        <f t="shared" si="11"/>
        <v>93632821000</v>
      </c>
      <c r="H12" s="1011">
        <f t="shared" si="11"/>
        <v>107652361000</v>
      </c>
      <c r="I12" s="1011">
        <f t="shared" si="11"/>
        <v>112945964000</v>
      </c>
      <c r="J12" s="1011">
        <f t="shared" ref="J12:N12" si="12">+J91</f>
        <v>126878962000</v>
      </c>
      <c r="K12" s="1011">
        <f t="shared" si="12"/>
        <v>0</v>
      </c>
      <c r="L12" s="1011">
        <f t="shared" si="12"/>
        <v>0</v>
      </c>
      <c r="M12" s="1011">
        <f t="shared" si="12"/>
        <v>0</v>
      </c>
      <c r="N12" s="1011">
        <f t="shared" si="12"/>
        <v>0</v>
      </c>
    </row>
    <row r="13" spans="2:14">
      <c r="B13" s="1093" t="s">
        <v>274</v>
      </c>
      <c r="C13" s="1011">
        <f>+C101</f>
        <v>190889448000</v>
      </c>
      <c r="D13" s="1011">
        <f t="shared" ref="D13:I13" si="13">+D101</f>
        <v>200776472000</v>
      </c>
      <c r="E13" s="1011">
        <f t="shared" si="13"/>
        <v>272575432000</v>
      </c>
      <c r="F13" s="1011">
        <f t="shared" si="13"/>
        <v>322660222000</v>
      </c>
      <c r="G13" s="1011">
        <f t="shared" si="13"/>
        <v>358668345000</v>
      </c>
      <c r="H13" s="1011">
        <f t="shared" si="13"/>
        <v>410215367000</v>
      </c>
      <c r="I13" s="1011">
        <f t="shared" si="13"/>
        <v>424830172000</v>
      </c>
      <c r="J13" s="1011">
        <f t="shared" ref="J13:N13" si="14">+J101</f>
        <v>433339534000</v>
      </c>
      <c r="K13" s="1011">
        <f t="shared" si="14"/>
        <v>0</v>
      </c>
      <c r="L13" s="1011">
        <f t="shared" si="14"/>
        <v>0</v>
      </c>
      <c r="M13" s="1011">
        <f t="shared" si="14"/>
        <v>0</v>
      </c>
      <c r="N13" s="1011">
        <f t="shared" si="14"/>
        <v>0</v>
      </c>
    </row>
    <row r="14" spans="2:14">
      <c r="B14" s="1094" t="s">
        <v>275</v>
      </c>
      <c r="C14" s="1012">
        <f t="shared" ref="C14" si="15">SUM(C12:C13)</f>
        <v>247291973000</v>
      </c>
      <c r="D14" s="1012">
        <f t="shared" ref="D14:I14" si="16">SUM(D12:D13)</f>
        <v>287093456000</v>
      </c>
      <c r="E14" s="1012">
        <f t="shared" si="16"/>
        <v>336852542000</v>
      </c>
      <c r="F14" s="1012">
        <f t="shared" si="16"/>
        <v>393397590000</v>
      </c>
      <c r="G14" s="1012">
        <f t="shared" si="16"/>
        <v>452301166000</v>
      </c>
      <c r="H14" s="1012">
        <f t="shared" si="16"/>
        <v>517867728000</v>
      </c>
      <c r="I14" s="1012">
        <f t="shared" si="16"/>
        <v>537776136000</v>
      </c>
      <c r="J14" s="1012">
        <f t="shared" ref="J14:N14" si="17">SUM(J12:J13)</f>
        <v>560218496000</v>
      </c>
      <c r="K14" s="1012">
        <f t="shared" si="17"/>
        <v>0</v>
      </c>
      <c r="L14" s="1012">
        <f t="shared" si="17"/>
        <v>0</v>
      </c>
      <c r="M14" s="1012">
        <f t="shared" si="17"/>
        <v>0</v>
      </c>
      <c r="N14" s="1012">
        <f t="shared" si="17"/>
        <v>0</v>
      </c>
    </row>
    <row r="15" spans="2:14">
      <c r="B15" s="1014" t="s">
        <v>276</v>
      </c>
      <c r="C15" s="1013">
        <f>+C115</f>
        <v>142045561000</v>
      </c>
      <c r="D15" s="1013">
        <f t="shared" ref="D15:I15" si="18">+D115</f>
        <v>152938968000</v>
      </c>
      <c r="E15" s="1013">
        <f t="shared" si="18"/>
        <v>166034107000</v>
      </c>
      <c r="F15" s="1013">
        <f t="shared" si="18"/>
        <v>160035498000</v>
      </c>
      <c r="G15" s="1013">
        <f t="shared" si="18"/>
        <v>165671604000</v>
      </c>
      <c r="H15" s="1013">
        <f t="shared" si="18"/>
        <v>172602599000</v>
      </c>
      <c r="I15" s="1013">
        <f t="shared" si="18"/>
        <v>190986198000</v>
      </c>
      <c r="J15" s="1013">
        <f t="shared" ref="J15:N15" si="19">+J115</f>
        <v>213974597000</v>
      </c>
      <c r="K15" s="1013">
        <f t="shared" si="19"/>
        <v>0</v>
      </c>
      <c r="L15" s="1013">
        <f t="shared" si="19"/>
        <v>0</v>
      </c>
      <c r="M15" s="1013">
        <f t="shared" si="19"/>
        <v>0</v>
      </c>
      <c r="N15" s="1013">
        <f t="shared" si="19"/>
        <v>0</v>
      </c>
    </row>
    <row r="16" spans="2:14">
      <c r="B16" s="1015" t="s">
        <v>278</v>
      </c>
      <c r="C16" s="1016">
        <v>113574515</v>
      </c>
      <c r="D16" s="1016">
        <v>113574515</v>
      </c>
      <c r="E16" s="1016">
        <v>113574515</v>
      </c>
      <c r="F16" s="1016">
        <v>113574515</v>
      </c>
      <c r="G16" s="1016">
        <v>113574515</v>
      </c>
      <c r="H16" s="1016">
        <v>113574515</v>
      </c>
      <c r="I16" s="1016">
        <v>113574515</v>
      </c>
      <c r="J16" s="1016">
        <v>113574515</v>
      </c>
      <c r="K16" s="1016"/>
      <c r="L16" s="1016"/>
      <c r="M16" s="1016"/>
      <c r="N16" s="1016"/>
    </row>
    <row r="18" spans="2:14">
      <c r="B18" s="996" t="s">
        <v>279</v>
      </c>
      <c r="C18" s="1017">
        <f>(C15/C16)</f>
        <v>1250.6816427963615</v>
      </c>
      <c r="D18" s="1017">
        <f t="shared" ref="D18:I18" si="20">(D15/D16)</f>
        <v>1346.595827417797</v>
      </c>
      <c r="E18" s="1017">
        <f t="shared" si="20"/>
        <v>1461.8958047058356</v>
      </c>
      <c r="F18" s="1017">
        <f t="shared" si="20"/>
        <v>1409.0792991720018</v>
      </c>
      <c r="G18" s="1017">
        <f t="shared" si="20"/>
        <v>1458.7040411310584</v>
      </c>
      <c r="H18" s="1017">
        <f t="shared" si="20"/>
        <v>1519.7300116139611</v>
      </c>
      <c r="I18" s="1017">
        <f t="shared" si="20"/>
        <v>1681.5937800834986</v>
      </c>
      <c r="J18" s="1017">
        <f>(J15/J16)</f>
        <v>1884.0018555219012</v>
      </c>
      <c r="K18" s="1017" t="e">
        <f t="shared" ref="K18:N18" si="21">(K15/K16)</f>
        <v>#DIV/0!</v>
      </c>
      <c r="L18" s="1017" t="e">
        <f t="shared" si="21"/>
        <v>#DIV/0!</v>
      </c>
      <c r="M18" s="1017" t="e">
        <f t="shared" si="21"/>
        <v>#DIV/0!</v>
      </c>
      <c r="N18" s="1017" t="e">
        <f t="shared" si="21"/>
        <v>#DIV/0!</v>
      </c>
    </row>
    <row r="19" spans="2:14">
      <c r="B19" s="1018" t="s">
        <v>282</v>
      </c>
      <c r="C19" s="1019">
        <v>5603</v>
      </c>
      <c r="D19" s="1019">
        <v>5651</v>
      </c>
      <c r="E19" s="1019">
        <v>4648</v>
      </c>
      <c r="F19" s="1019">
        <v>4219</v>
      </c>
      <c r="G19" s="1019">
        <v>2203</v>
      </c>
      <c r="H19" s="1095">
        <v>2402</v>
      </c>
      <c r="I19" s="1095">
        <v>3126</v>
      </c>
      <c r="J19" s="1095">
        <v>4243</v>
      </c>
      <c r="K19" s="1095"/>
      <c r="L19" s="1095"/>
      <c r="M19" s="1095"/>
      <c r="N19" s="1095"/>
    </row>
    <row r="20" spans="2:14">
      <c r="B20" s="996" t="s">
        <v>283</v>
      </c>
      <c r="C20" s="1020">
        <f>+C19/C40</f>
        <v>14.953695054578452</v>
      </c>
      <c r="D20" s="1020">
        <f t="shared" ref="D20:I20" si="22">+D19/D40</f>
        <v>15.547790678479064</v>
      </c>
      <c r="E20" s="1020">
        <f t="shared" si="22"/>
        <v>13.384012900253399</v>
      </c>
      <c r="F20" s="1020">
        <f t="shared" si="22"/>
        <v>13.984090155783893</v>
      </c>
      <c r="G20" s="1020">
        <f t="shared" si="22"/>
        <v>5.4843287111952002</v>
      </c>
      <c r="H20" s="1020">
        <f t="shared" si="22"/>
        <v>6.9562699102229946</v>
      </c>
      <c r="I20" s="1020">
        <f t="shared" si="22"/>
        <v>9.3438947840382607</v>
      </c>
      <c r="J20" s="1020">
        <f t="shared" ref="J20:N20" si="23">+J19/J40</f>
        <v>7.6428619156062663</v>
      </c>
      <c r="K20" s="1020" t="e">
        <f t="shared" si="23"/>
        <v>#DIV/0!</v>
      </c>
      <c r="L20" s="1020" t="e">
        <f t="shared" si="23"/>
        <v>#DIV/0!</v>
      </c>
      <c r="M20" s="1020" t="e">
        <f t="shared" si="23"/>
        <v>#DIV/0!</v>
      </c>
      <c r="N20" s="1020" t="e">
        <f t="shared" si="23"/>
        <v>#DIV/0!</v>
      </c>
    </row>
    <row r="21" spans="2:14">
      <c r="B21" s="996" t="s">
        <v>284</v>
      </c>
      <c r="C21" s="1020">
        <f t="shared" ref="C21" si="24">+C19/C18</f>
        <v>4.4799570156578143</v>
      </c>
      <c r="D21" s="1020">
        <f t="shared" ref="D21:I21" si="25">+D19/D18</f>
        <v>4.1965078793064698</v>
      </c>
      <c r="E21" s="1020">
        <f t="shared" si="25"/>
        <v>3.1794331614046021</v>
      </c>
      <c r="F21" s="1020">
        <f t="shared" si="25"/>
        <v>2.9941537019805442</v>
      </c>
      <c r="G21" s="1020">
        <f t="shared" si="25"/>
        <v>1.5102446677886936</v>
      </c>
      <c r="H21" s="1020">
        <f t="shared" si="25"/>
        <v>1.5805439003267847</v>
      </c>
      <c r="I21" s="1020">
        <f t="shared" si="25"/>
        <v>1.8589507388905662</v>
      </c>
      <c r="J21" s="1020">
        <f t="shared" ref="J21:N21" si="26">+J19/J18</f>
        <v>2.2521209241721341</v>
      </c>
      <c r="K21" s="1020" t="e">
        <f t="shared" si="26"/>
        <v>#DIV/0!</v>
      </c>
      <c r="L21" s="1020" t="e">
        <f t="shared" si="26"/>
        <v>#DIV/0!</v>
      </c>
      <c r="M21" s="1020" t="e">
        <f t="shared" si="26"/>
        <v>#DIV/0!</v>
      </c>
      <c r="N21" s="1020" t="e">
        <f t="shared" si="26"/>
        <v>#DIV/0!</v>
      </c>
    </row>
    <row r="22" spans="2:14">
      <c r="B22" s="996" t="s">
        <v>285</v>
      </c>
      <c r="C22" s="1020">
        <f>+C20*C21</f>
        <v>66.991911069766303</v>
      </c>
      <c r="D22" s="1020">
        <f t="shared" ref="D22:I22" si="27">+D20*D21</f>
        <v>65.246426088045084</v>
      </c>
      <c r="E22" s="1020">
        <f t="shared" si="27"/>
        <v>42.553574447732643</v>
      </c>
      <c r="F22" s="1020">
        <f t="shared" si="27"/>
        <v>41.870515308770024</v>
      </c>
      <c r="G22" s="1020">
        <f t="shared" si="27"/>
        <v>8.2826781924829884</v>
      </c>
      <c r="H22" s="1020">
        <f t="shared" si="27"/>
        <v>10.994689975629704</v>
      </c>
      <c r="I22" s="1020">
        <f t="shared" si="27"/>
        <v>17.369840112903631</v>
      </c>
      <c r="J22" s="1020">
        <f t="shared" ref="J22:N22" si="28">+J20*J21</f>
        <v>17.212649240695193</v>
      </c>
      <c r="K22" s="1020" t="e">
        <f t="shared" si="28"/>
        <v>#DIV/0!</v>
      </c>
      <c r="L22" s="1020" t="e">
        <f t="shared" si="28"/>
        <v>#DIV/0!</v>
      </c>
      <c r="M22" s="1020" t="e">
        <f t="shared" si="28"/>
        <v>#DIV/0!</v>
      </c>
      <c r="N22" s="1020" t="e">
        <f t="shared" si="28"/>
        <v>#DIV/0!</v>
      </c>
    </row>
    <row r="23" spans="2:14">
      <c r="B23" s="1021" t="s">
        <v>286</v>
      </c>
      <c r="C23" s="1022">
        <v>2</v>
      </c>
      <c r="D23" s="1022">
        <v>2</v>
      </c>
      <c r="E23" s="1022">
        <v>2</v>
      </c>
      <c r="F23" s="1022">
        <v>2</v>
      </c>
      <c r="G23" s="1022">
        <v>2</v>
      </c>
      <c r="H23" s="1022">
        <v>2</v>
      </c>
      <c r="I23" s="1022">
        <v>2</v>
      </c>
      <c r="J23" s="1022">
        <v>2</v>
      </c>
      <c r="K23" s="1022">
        <v>2</v>
      </c>
      <c r="L23" s="1022">
        <v>2</v>
      </c>
      <c r="M23" s="1022">
        <v>2</v>
      </c>
      <c r="N23" s="1022">
        <v>2</v>
      </c>
    </row>
    <row r="24" spans="2:14">
      <c r="B24" s="1021" t="s">
        <v>287</v>
      </c>
      <c r="C24" s="1022">
        <v>2.5</v>
      </c>
      <c r="D24" s="1022">
        <v>2.5</v>
      </c>
      <c r="E24" s="1022">
        <v>2.5</v>
      </c>
      <c r="F24" s="1022">
        <v>2.5</v>
      </c>
      <c r="G24" s="1022">
        <v>2.5</v>
      </c>
      <c r="H24" s="1022">
        <v>2.5</v>
      </c>
      <c r="I24" s="1022">
        <v>2.5</v>
      </c>
      <c r="J24" s="1022">
        <v>2.5</v>
      </c>
      <c r="K24" s="1022">
        <v>2.5</v>
      </c>
      <c r="L24" s="1022">
        <v>2.5</v>
      </c>
      <c r="M24" s="1022">
        <v>2.5</v>
      </c>
      <c r="N24" s="1022">
        <v>2.5</v>
      </c>
    </row>
    <row r="25" spans="2:14">
      <c r="B25" s="1023" t="s">
        <v>288</v>
      </c>
      <c r="C25" s="1024">
        <f t="shared" ref="C25:H25" si="29">+C23*C18</f>
        <v>2501.3632855927231</v>
      </c>
      <c r="D25" s="1024">
        <f t="shared" si="29"/>
        <v>2693.1916548355939</v>
      </c>
      <c r="E25" s="1024">
        <f t="shared" si="29"/>
        <v>2923.7916094116713</v>
      </c>
      <c r="F25" s="1024">
        <f t="shared" si="29"/>
        <v>2818.1585983440036</v>
      </c>
      <c r="G25" s="1024">
        <f t="shared" si="29"/>
        <v>2917.4080822621167</v>
      </c>
      <c r="H25" s="1024">
        <f t="shared" si="29"/>
        <v>3039.4600232279222</v>
      </c>
      <c r="I25" s="1024">
        <f>+I23*I18</f>
        <v>3363.1875601669972</v>
      </c>
      <c r="J25" s="1024">
        <f>+J23*J18</f>
        <v>3768.0037110438025</v>
      </c>
      <c r="K25" s="1024" t="e">
        <f t="shared" ref="K25:N25" si="30">+K23*K18</f>
        <v>#DIV/0!</v>
      </c>
      <c r="L25" s="1024" t="e">
        <f t="shared" si="30"/>
        <v>#DIV/0!</v>
      </c>
      <c r="M25" s="1024" t="e">
        <f t="shared" si="30"/>
        <v>#DIV/0!</v>
      </c>
      <c r="N25" s="1024" t="e">
        <f t="shared" si="30"/>
        <v>#DIV/0!</v>
      </c>
    </row>
    <row r="26" spans="2:14">
      <c r="B26" s="1023" t="s">
        <v>289</v>
      </c>
      <c r="C26" s="1024">
        <f>AVERAGE(C25,C27)</f>
        <v>2814.0336962918136</v>
      </c>
      <c r="D26" s="1024">
        <f t="shared" ref="D26:H26" si="31">AVERAGE(D25,D27)</f>
        <v>3029.8406116900433</v>
      </c>
      <c r="E26" s="1024">
        <f t="shared" si="31"/>
        <v>3289.26556058813</v>
      </c>
      <c r="F26" s="1024">
        <f t="shared" si="31"/>
        <v>3170.4284231370038</v>
      </c>
      <c r="G26" s="1024">
        <f t="shared" si="31"/>
        <v>3282.0840925448811</v>
      </c>
      <c r="H26" s="1024">
        <f t="shared" si="31"/>
        <v>3419.3925261314125</v>
      </c>
      <c r="I26" s="1024">
        <f t="shared" ref="I26" si="32">AVERAGE(I25,I27)</f>
        <v>3783.5860051878717</v>
      </c>
      <c r="J26" s="1024">
        <f>AVERAGE(J25,J27)</f>
        <v>4239.0041749242773</v>
      </c>
      <c r="K26" s="1024" t="e">
        <f t="shared" ref="K26:N26" si="33">AVERAGE(K25,K27)</f>
        <v>#DIV/0!</v>
      </c>
      <c r="L26" s="1024" t="e">
        <f t="shared" si="33"/>
        <v>#DIV/0!</v>
      </c>
      <c r="M26" s="1024" t="e">
        <f t="shared" si="33"/>
        <v>#DIV/0!</v>
      </c>
      <c r="N26" s="1024" t="e">
        <f t="shared" si="33"/>
        <v>#DIV/0!</v>
      </c>
    </row>
    <row r="27" spans="2:14">
      <c r="B27" s="1023" t="s">
        <v>290</v>
      </c>
      <c r="C27" s="1024">
        <f t="shared" ref="C27:H27" si="34">+C18*C24</f>
        <v>3126.7041069909037</v>
      </c>
      <c r="D27" s="1024">
        <f t="shared" si="34"/>
        <v>3366.4895685444926</v>
      </c>
      <c r="E27" s="1024">
        <f t="shared" si="34"/>
        <v>3654.7395117645892</v>
      </c>
      <c r="F27" s="1024">
        <f t="shared" si="34"/>
        <v>3522.6982479300045</v>
      </c>
      <c r="G27" s="1024">
        <f t="shared" si="34"/>
        <v>3646.7601028276458</v>
      </c>
      <c r="H27" s="1024">
        <f t="shared" si="34"/>
        <v>3799.3250290349029</v>
      </c>
      <c r="I27" s="1024">
        <f t="shared" ref="I27:J27" si="35">+I18*I24</f>
        <v>4203.9844502087462</v>
      </c>
      <c r="J27" s="1024">
        <f t="shared" si="35"/>
        <v>4710.0046388047531</v>
      </c>
      <c r="K27" s="1024"/>
      <c r="L27" s="1024" t="e">
        <f t="shared" ref="L27:N27" si="36">+L18*L24</f>
        <v>#DIV/0!</v>
      </c>
      <c r="M27" s="1024" t="e">
        <f t="shared" si="36"/>
        <v>#DIV/0!</v>
      </c>
      <c r="N27" s="1024" t="e">
        <f t="shared" si="36"/>
        <v>#DIV/0!</v>
      </c>
    </row>
    <row r="29" spans="2:14">
      <c r="B29" s="1025" t="s">
        <v>291</v>
      </c>
      <c r="C29" s="1026">
        <f>C7-C12</f>
        <v>11402470000</v>
      </c>
      <c r="D29" s="1026">
        <f t="shared" ref="D29:I29" si="37">D7-D12</f>
        <v>-1701779000</v>
      </c>
      <c r="E29" s="1026">
        <f t="shared" si="37"/>
        <v>19058197000</v>
      </c>
      <c r="F29" s="1026">
        <f t="shared" si="37"/>
        <v>61880555000</v>
      </c>
      <c r="G29" s="1026">
        <f t="shared" si="37"/>
        <v>57648446000</v>
      </c>
      <c r="H29" s="1026">
        <f t="shared" si="37"/>
        <v>52090636000</v>
      </c>
      <c r="I29" s="1026">
        <f t="shared" si="37"/>
        <v>101440696000</v>
      </c>
      <c r="J29" s="1026">
        <f t="shared" ref="J29:N29" si="38">J7-J12</f>
        <v>100393368000</v>
      </c>
      <c r="K29" s="1026">
        <f t="shared" si="38"/>
        <v>0</v>
      </c>
      <c r="L29" s="1026">
        <f t="shared" si="38"/>
        <v>0</v>
      </c>
      <c r="M29" s="1026">
        <f t="shared" si="38"/>
        <v>0</v>
      </c>
      <c r="N29" s="1026">
        <f t="shared" si="38"/>
        <v>0</v>
      </c>
    </row>
    <row r="30" spans="2:14">
      <c r="B30" s="1027" t="s">
        <v>149</v>
      </c>
      <c r="C30" s="1028">
        <f>C7/C12</f>
        <v>1.2021624031902827</v>
      </c>
      <c r="D30" s="1028">
        <f t="shared" ref="D30:I30" si="39">D7/D12</f>
        <v>0.98028454052565139</v>
      </c>
      <c r="E30" s="1028">
        <f t="shared" si="39"/>
        <v>1.2965005271705587</v>
      </c>
      <c r="F30" s="1028">
        <f t="shared" si="39"/>
        <v>1.8747930089793559</v>
      </c>
      <c r="G30" s="1028">
        <f t="shared" si="39"/>
        <v>1.6156863093978553</v>
      </c>
      <c r="H30" s="1028">
        <f t="shared" si="39"/>
        <v>1.483878249544383</v>
      </c>
      <c r="I30" s="1028">
        <f t="shared" si="39"/>
        <v>1.8981347576085144</v>
      </c>
      <c r="J30" s="1028">
        <f t="shared" ref="J30:N30" si="40">J7/J12</f>
        <v>1.791253068416496</v>
      </c>
      <c r="K30" s="1028" t="e">
        <f t="shared" si="40"/>
        <v>#DIV/0!</v>
      </c>
      <c r="L30" s="1028" t="e">
        <f t="shared" si="40"/>
        <v>#DIV/0!</v>
      </c>
      <c r="M30" s="1028" t="e">
        <f t="shared" si="40"/>
        <v>#DIV/0!</v>
      </c>
      <c r="N30" s="1028" t="e">
        <f t="shared" si="40"/>
        <v>#DIV/0!</v>
      </c>
    </row>
    <row r="31" spans="2:14">
      <c r="B31" s="1027" t="s">
        <v>292</v>
      </c>
      <c r="C31" s="1028">
        <f>+(C7-C9)/C12</f>
        <v>0.81256103339345176</v>
      </c>
      <c r="D31" s="1028">
        <f t="shared" ref="D31:I31" si="41">+(D7-D9)/D12</f>
        <v>0.72187299778685499</v>
      </c>
      <c r="E31" s="1028">
        <f t="shared" si="41"/>
        <v>0.96064347012490137</v>
      </c>
      <c r="F31" s="1028">
        <f t="shared" si="41"/>
        <v>1.5477867511270704</v>
      </c>
      <c r="G31" s="1028">
        <f t="shared" si="41"/>
        <v>1.2096959355737023</v>
      </c>
      <c r="H31" s="1028">
        <f t="shared" si="41"/>
        <v>1.1552451227706932</v>
      </c>
      <c r="I31" s="1028">
        <f t="shared" si="41"/>
        <v>1.6806196722531848</v>
      </c>
      <c r="J31" s="1028">
        <f t="shared" ref="J31:N31" si="42">+(J7-J9)/J12</f>
        <v>1.5002379117824121</v>
      </c>
      <c r="K31" s="1028" t="e">
        <f t="shared" si="42"/>
        <v>#DIV/0!</v>
      </c>
      <c r="L31" s="1028" t="e">
        <f t="shared" si="42"/>
        <v>#DIV/0!</v>
      </c>
      <c r="M31" s="1028" t="e">
        <f t="shared" si="42"/>
        <v>#DIV/0!</v>
      </c>
      <c r="N31" s="1028" t="e">
        <f t="shared" si="42"/>
        <v>#DIV/0!</v>
      </c>
    </row>
    <row r="32" spans="2:14">
      <c r="B32" s="1029" t="s">
        <v>153</v>
      </c>
      <c r="C32" s="1030">
        <f>C14/C11</f>
        <v>0.63299577590741973</v>
      </c>
      <c r="D32" s="1030">
        <f t="shared" ref="D32:I32" si="43">D14/D11</f>
        <v>0.6454206999382619</v>
      </c>
      <c r="E32" s="1030">
        <f t="shared" si="43"/>
        <v>0.66153942556395406</v>
      </c>
      <c r="F32" s="1030">
        <f t="shared" si="43"/>
        <v>0.70344081061038854</v>
      </c>
      <c r="G32" s="1030">
        <f t="shared" si="43"/>
        <v>0.72486108585135134</v>
      </c>
      <c r="H32" s="1030">
        <f t="shared" si="43"/>
        <v>0.74380575292891016</v>
      </c>
      <c r="I32" s="1030">
        <f t="shared" si="43"/>
        <v>0.73131047008763461</v>
      </c>
      <c r="J32" s="1030">
        <f t="shared" ref="J32:N32" si="44">J14/J11</f>
        <v>0.71448391754009566</v>
      </c>
      <c r="K32" s="1030" t="e">
        <f t="shared" si="44"/>
        <v>#DIV/0!</v>
      </c>
      <c r="L32" s="1030" t="e">
        <f t="shared" si="44"/>
        <v>#DIV/0!</v>
      </c>
      <c r="M32" s="1030" t="e">
        <f t="shared" si="44"/>
        <v>#DIV/0!</v>
      </c>
      <c r="N32" s="1030" t="e">
        <f t="shared" si="44"/>
        <v>#DIV/0!</v>
      </c>
    </row>
    <row r="35" spans="2:14">
      <c r="B35" s="1031" t="s">
        <v>293</v>
      </c>
      <c r="C35" s="1032">
        <f>+C119</f>
        <v>468355277000</v>
      </c>
      <c r="D35" s="1032">
        <f t="shared" ref="D35:I35" si="45">+D119</f>
        <v>515875856000</v>
      </c>
      <c r="E35" s="1032">
        <f t="shared" si="45"/>
        <v>492869463000</v>
      </c>
      <c r="F35" s="1032">
        <f t="shared" si="45"/>
        <v>508164262000</v>
      </c>
      <c r="G35" s="1032">
        <f t="shared" si="45"/>
        <v>695411103000</v>
      </c>
      <c r="H35" s="1032">
        <f t="shared" si="45"/>
        <v>854711153000</v>
      </c>
      <c r="I35" s="1032">
        <f t="shared" si="45"/>
        <v>739486999000</v>
      </c>
      <c r="J35" s="1032">
        <f t="shared" ref="J35:N35" si="46">+J119</f>
        <v>889617048000</v>
      </c>
      <c r="K35" s="1032">
        <f t="shared" si="46"/>
        <v>0</v>
      </c>
      <c r="L35" s="1032">
        <f t="shared" si="46"/>
        <v>0</v>
      </c>
      <c r="M35" s="1032">
        <f t="shared" si="46"/>
        <v>0</v>
      </c>
      <c r="N35" s="1032">
        <f t="shared" si="46"/>
        <v>0</v>
      </c>
    </row>
    <row r="36" spans="2:14">
      <c r="B36" s="1033" t="s">
        <v>156</v>
      </c>
      <c r="C36" s="1034">
        <f>+C126</f>
        <v>65873753000</v>
      </c>
      <c r="D36" s="1034">
        <f t="shared" ref="D36:I36" si="47">+D126</f>
        <v>63355734000</v>
      </c>
      <c r="E36" s="1034">
        <f t="shared" si="47"/>
        <v>72996130000</v>
      </c>
      <c r="F36" s="1034">
        <f t="shared" si="47"/>
        <v>61902573000</v>
      </c>
      <c r="G36" s="1034">
        <f t="shared" si="47"/>
        <v>66971125000</v>
      </c>
      <c r="H36" s="1034">
        <f t="shared" si="47"/>
        <v>63446374000</v>
      </c>
      <c r="I36" s="1034">
        <f t="shared" si="47"/>
        <v>75547764000</v>
      </c>
      <c r="J36" s="1034">
        <f t="shared" ref="J36:N36" si="48">+J126</f>
        <v>101740784000</v>
      </c>
      <c r="K36" s="1034">
        <f t="shared" si="48"/>
        <v>0</v>
      </c>
      <c r="L36" s="1034">
        <f t="shared" si="48"/>
        <v>0</v>
      </c>
      <c r="M36" s="1034">
        <f t="shared" si="48"/>
        <v>0</v>
      </c>
      <c r="N36" s="1034">
        <f t="shared" si="48"/>
        <v>0</v>
      </c>
    </row>
    <row r="37" spans="2:14">
      <c r="B37" s="1031" t="s">
        <v>294</v>
      </c>
      <c r="C37" s="1035">
        <f>C36/C35</f>
        <v>0.14064911026933941</v>
      </c>
      <c r="D37" s="1035">
        <f t="shared" ref="D37:I37" si="49">D36/D35</f>
        <v>0.12281197746149221</v>
      </c>
      <c r="E37" s="1035">
        <f t="shared" si="49"/>
        <v>0.14810438763174094</v>
      </c>
      <c r="F37" s="1035">
        <f t="shared" si="49"/>
        <v>0.12181606938742182</v>
      </c>
      <c r="G37" s="1035">
        <f t="shared" si="49"/>
        <v>9.6304365448131188E-2</v>
      </c>
      <c r="H37" s="1035">
        <f t="shared" si="49"/>
        <v>7.4231363165562905E-2</v>
      </c>
      <c r="I37" s="1035">
        <f t="shared" si="49"/>
        <v>0.10216239650211889</v>
      </c>
      <c r="J37" s="1035">
        <f t="shared" ref="J37:N37" si="50">J36/J35</f>
        <v>0.11436469684200566</v>
      </c>
      <c r="K37" s="1035" t="e">
        <f t="shared" si="50"/>
        <v>#DIV/0!</v>
      </c>
      <c r="L37" s="1035" t="e">
        <f t="shared" si="50"/>
        <v>#DIV/0!</v>
      </c>
      <c r="M37" s="1035" t="e">
        <f t="shared" si="50"/>
        <v>#DIV/0!</v>
      </c>
      <c r="N37" s="1035" t="e">
        <f t="shared" si="50"/>
        <v>#DIV/0!</v>
      </c>
    </row>
    <row r="38" spans="2:14">
      <c r="B38" s="1036" t="s">
        <v>295</v>
      </c>
      <c r="C38" s="1037">
        <f>+C137</f>
        <v>42555555000</v>
      </c>
      <c r="D38" s="1037">
        <f t="shared" ref="D38:H38" si="51">+D137</f>
        <v>41279690000</v>
      </c>
      <c r="E38" s="1037">
        <f t="shared" si="51"/>
        <v>39442599000</v>
      </c>
      <c r="F38" s="1037">
        <f t="shared" si="51"/>
        <v>34265673000</v>
      </c>
      <c r="G38" s="1037">
        <f t="shared" si="51"/>
        <v>45622001000</v>
      </c>
      <c r="H38" s="1037">
        <f t="shared" si="51"/>
        <v>39217276000</v>
      </c>
      <c r="I38" s="1037">
        <f>+I137</f>
        <v>38074832000</v>
      </c>
      <c r="J38" s="1037">
        <f t="shared" ref="J38:N38" si="52">+J137</f>
        <v>63051861000</v>
      </c>
      <c r="K38" s="1037">
        <f t="shared" si="52"/>
        <v>0</v>
      </c>
      <c r="L38" s="1037">
        <f t="shared" si="52"/>
        <v>0</v>
      </c>
      <c r="M38" s="1037">
        <f t="shared" si="52"/>
        <v>0</v>
      </c>
      <c r="N38" s="1037">
        <f t="shared" si="52"/>
        <v>0</v>
      </c>
    </row>
    <row r="39" spans="2:14">
      <c r="B39" s="1027" t="s">
        <v>296</v>
      </c>
      <c r="C39" s="1038">
        <f>C38/C35</f>
        <v>9.0861696429652916E-2</v>
      </c>
      <c r="D39" s="1038">
        <f t="shared" ref="D39:I39" si="53">D38/D35</f>
        <v>8.0018650843779751E-2</v>
      </c>
      <c r="E39" s="1038">
        <f t="shared" si="53"/>
        <v>8.0026461286362954E-2</v>
      </c>
      <c r="F39" s="1038">
        <f t="shared" si="53"/>
        <v>6.7430308587895144E-2</v>
      </c>
      <c r="G39" s="1038">
        <f t="shared" si="53"/>
        <v>6.5604360935836256E-2</v>
      </c>
      <c r="H39" s="1038">
        <f t="shared" si="53"/>
        <v>4.588366006732101E-2</v>
      </c>
      <c r="I39" s="1038">
        <f t="shared" si="53"/>
        <v>5.148816957091628E-2</v>
      </c>
      <c r="J39" s="1038">
        <f t="shared" ref="J39:N39" si="54">J38/J35</f>
        <v>7.0875284080662085E-2</v>
      </c>
      <c r="K39" s="1038" t="e">
        <f t="shared" si="54"/>
        <v>#DIV/0!</v>
      </c>
      <c r="L39" s="1038" t="e">
        <f t="shared" si="54"/>
        <v>#DIV/0!</v>
      </c>
      <c r="M39" s="1038" t="e">
        <f t="shared" si="54"/>
        <v>#DIV/0!</v>
      </c>
      <c r="N39" s="1038" t="e">
        <f t="shared" si="54"/>
        <v>#DIV/0!</v>
      </c>
    </row>
    <row r="40" spans="2:14">
      <c r="B40" s="1039" t="s">
        <v>159</v>
      </c>
      <c r="C40" s="1040">
        <f>+C138</f>
        <v>374.69</v>
      </c>
      <c r="D40" s="1040">
        <f t="shared" ref="D40:I40" si="55">+D138</f>
        <v>363.46</v>
      </c>
      <c r="E40" s="1040">
        <f t="shared" si="55"/>
        <v>347.28</v>
      </c>
      <c r="F40" s="1040">
        <f t="shared" si="55"/>
        <v>301.7</v>
      </c>
      <c r="G40" s="1040">
        <f t="shared" si="55"/>
        <v>401.69</v>
      </c>
      <c r="H40" s="1040">
        <f t="shared" si="55"/>
        <v>345.3</v>
      </c>
      <c r="I40" s="1040">
        <f t="shared" si="55"/>
        <v>334.55</v>
      </c>
      <c r="J40" s="1040">
        <f t="shared" ref="J40:N40" si="56">+J138</f>
        <v>555.15853182379863</v>
      </c>
      <c r="K40" s="1040">
        <f t="shared" si="56"/>
        <v>0</v>
      </c>
      <c r="L40" s="1040">
        <f t="shared" si="56"/>
        <v>0</v>
      </c>
      <c r="M40" s="1040">
        <f t="shared" si="56"/>
        <v>0</v>
      </c>
      <c r="N40" s="1040">
        <f t="shared" si="56"/>
        <v>0</v>
      </c>
    </row>
    <row r="41" spans="2:14">
      <c r="B41" s="1041" t="s">
        <v>160</v>
      </c>
      <c r="C41" s="1042">
        <f>C38/C15</f>
        <v>0.29959088267460887</v>
      </c>
      <c r="D41" s="1042">
        <f t="shared" ref="D41:I41" si="57">D38/D15</f>
        <v>0.26990956287870338</v>
      </c>
      <c r="E41" s="1042">
        <f t="shared" si="57"/>
        <v>0.23755720865231625</v>
      </c>
      <c r="F41" s="1042">
        <f t="shared" si="57"/>
        <v>0.21411295261505045</v>
      </c>
      <c r="G41" s="1042">
        <f t="shared" si="57"/>
        <v>0.2753761048875944</v>
      </c>
      <c r="H41" s="1042">
        <f t="shared" si="57"/>
        <v>0.22721138747163361</v>
      </c>
      <c r="I41" s="1042">
        <f t="shared" si="57"/>
        <v>0.19935907619879423</v>
      </c>
      <c r="J41" s="1042">
        <f t="shared" ref="J41:N41" si="58">J38/J15</f>
        <v>0.29466984344875291</v>
      </c>
      <c r="K41" s="1042" t="e">
        <f t="shared" si="58"/>
        <v>#DIV/0!</v>
      </c>
      <c r="L41" s="1042" t="e">
        <f t="shared" si="58"/>
        <v>#DIV/0!</v>
      </c>
      <c r="M41" s="1042" t="e">
        <f t="shared" si="58"/>
        <v>#DIV/0!</v>
      </c>
      <c r="N41" s="1042" t="e">
        <f t="shared" si="58"/>
        <v>#DIV/0!</v>
      </c>
    </row>
    <row r="42" spans="2:14">
      <c r="B42" s="1041" t="s">
        <v>382</v>
      </c>
      <c r="C42" s="1042">
        <f>AVERAGE(G41:I41)</f>
        <v>0.23398218951934072</v>
      </c>
      <c r="D42" s="1042"/>
      <c r="E42" s="1042"/>
      <c r="F42" s="1042"/>
      <c r="G42" s="1042"/>
      <c r="H42" s="1042"/>
      <c r="I42" s="1042"/>
      <c r="J42" s="1042"/>
      <c r="K42" s="1042"/>
      <c r="L42" s="1042"/>
      <c r="M42" s="1042"/>
      <c r="N42" s="1042"/>
    </row>
    <row r="43" spans="2:14">
      <c r="B43" s="1041" t="s">
        <v>298</v>
      </c>
      <c r="C43" s="1043">
        <f>+C150</f>
        <v>26509633000</v>
      </c>
      <c r="D43" s="1043">
        <f t="shared" ref="D43:I43" si="59">+D150</f>
        <v>16216551000</v>
      </c>
      <c r="E43" s="1043">
        <f t="shared" si="59"/>
        <v>53322287000</v>
      </c>
      <c r="F43" s="1043">
        <f t="shared" si="59"/>
        <v>52356856000</v>
      </c>
      <c r="G43" s="1043">
        <f t="shared" si="59"/>
        <v>41835304000</v>
      </c>
      <c r="H43" s="1043">
        <f t="shared" si="59"/>
        <v>48979902000</v>
      </c>
      <c r="I43" s="1043">
        <f t="shared" si="59"/>
        <v>92169506000</v>
      </c>
      <c r="J43" s="1043">
        <f t="shared" ref="J43:N43" si="60">+J150</f>
        <v>53533087000</v>
      </c>
      <c r="K43" s="1043">
        <f t="shared" si="60"/>
        <v>0</v>
      </c>
      <c r="L43" s="1043">
        <f t="shared" si="60"/>
        <v>0</v>
      </c>
      <c r="M43" s="1043">
        <f t="shared" si="60"/>
        <v>0</v>
      </c>
      <c r="N43" s="1043">
        <f t="shared" si="60"/>
        <v>0</v>
      </c>
    </row>
    <row r="44" spans="2:14">
      <c r="B44" s="1044" t="s">
        <v>111</v>
      </c>
      <c r="C44" s="1044">
        <f>SUM(C46:C49)</f>
        <v>284</v>
      </c>
      <c r="D44" s="1044">
        <f t="shared" ref="D44:F44" si="61">SUM(D46:D49)</f>
        <v>298</v>
      </c>
      <c r="E44" s="1044">
        <f t="shared" si="61"/>
        <v>302</v>
      </c>
      <c r="F44" s="1044">
        <f t="shared" si="61"/>
        <v>236</v>
      </c>
      <c r="G44" s="1044">
        <f>SUM(G46:G49)</f>
        <v>469</v>
      </c>
      <c r="H44" s="1044">
        <f>SUM(H46:H49)</f>
        <v>238</v>
      </c>
      <c r="I44" s="1044">
        <f t="shared" ref="I44:N44" si="62">SUM(I46:I48)</f>
        <v>281</v>
      </c>
      <c r="J44" s="1044">
        <f t="shared" si="62"/>
        <v>413</v>
      </c>
      <c r="K44" s="1044">
        <f t="shared" si="62"/>
        <v>0</v>
      </c>
      <c r="L44" s="1044">
        <f t="shared" si="62"/>
        <v>0</v>
      </c>
      <c r="M44" s="1044">
        <f t="shared" si="62"/>
        <v>0</v>
      </c>
      <c r="N44" s="1044">
        <f t="shared" si="62"/>
        <v>0</v>
      </c>
    </row>
    <row r="45" spans="2:14">
      <c r="B45" s="1044" t="s">
        <v>112</v>
      </c>
      <c r="C45" s="1044">
        <f>+C46+C47</f>
        <v>284</v>
      </c>
      <c r="D45" s="1044">
        <f t="shared" ref="D45:I45" si="63">+D46+D47</f>
        <v>248</v>
      </c>
      <c r="E45" s="1044">
        <f t="shared" si="63"/>
        <v>302</v>
      </c>
      <c r="F45" s="1044">
        <f t="shared" si="63"/>
        <v>236</v>
      </c>
      <c r="G45" s="1044">
        <f t="shared" si="63"/>
        <v>294</v>
      </c>
      <c r="H45" s="1044">
        <f t="shared" si="63"/>
        <v>221</v>
      </c>
      <c r="I45" s="1044">
        <f t="shared" si="63"/>
        <v>281</v>
      </c>
      <c r="J45" s="1044">
        <f t="shared" ref="J45:N45" si="64">+J46+J47</f>
        <v>413</v>
      </c>
      <c r="K45" s="1044">
        <f t="shared" si="64"/>
        <v>0</v>
      </c>
      <c r="L45" s="1044">
        <f t="shared" si="64"/>
        <v>0</v>
      </c>
      <c r="M45" s="1044">
        <f t="shared" si="64"/>
        <v>0</v>
      </c>
      <c r="N45" s="1044">
        <f t="shared" si="64"/>
        <v>0</v>
      </c>
    </row>
    <row r="46" spans="2:14">
      <c r="B46" s="1045" t="s">
        <v>114</v>
      </c>
      <c r="C46" s="1015">
        <v>36</v>
      </c>
      <c r="D46" s="1015"/>
      <c r="E46" s="1015">
        <f>65+42</f>
        <v>107</v>
      </c>
      <c r="F46" s="1015">
        <v>18</v>
      </c>
      <c r="G46" s="1015">
        <v>24</v>
      </c>
      <c r="H46" s="1015"/>
      <c r="I46" s="1015">
        <v>55</v>
      </c>
      <c r="J46" s="1015">
        <v>42</v>
      </c>
      <c r="K46" s="1015"/>
      <c r="L46" s="1015"/>
      <c r="M46" s="1015"/>
      <c r="N46" s="1015"/>
    </row>
    <row r="47" spans="2:14">
      <c r="B47" s="1045" t="s">
        <v>115</v>
      </c>
      <c r="C47" s="1015">
        <f>62+62+62+62</f>
        <v>248</v>
      </c>
      <c r="D47" s="1015">
        <f>62+62+62+62</f>
        <v>248</v>
      </c>
      <c r="E47" s="1015">
        <f>65+65+65</f>
        <v>195</v>
      </c>
      <c r="F47" s="1015">
        <f>50+50+50+68</f>
        <v>218</v>
      </c>
      <c r="G47" s="1015">
        <f>80+80+60+50</f>
        <v>270</v>
      </c>
      <c r="H47" s="1015">
        <f>74+52+50+45</f>
        <v>221</v>
      </c>
      <c r="I47" s="1015">
        <f>45+45+68+68</f>
        <v>226</v>
      </c>
      <c r="J47" s="1015">
        <f>50+60+97+164</f>
        <v>371</v>
      </c>
      <c r="K47" s="1015"/>
      <c r="L47" s="1015"/>
      <c r="M47" s="1015"/>
      <c r="N47" s="1015"/>
    </row>
    <row r="48" spans="2:14">
      <c r="B48" s="1045" t="s">
        <v>116</v>
      </c>
      <c r="C48" s="1015"/>
      <c r="D48" s="1015">
        <v>50</v>
      </c>
      <c r="E48" s="1015"/>
      <c r="F48" s="1015"/>
      <c r="G48" s="1015"/>
      <c r="H48" s="1015">
        <v>17</v>
      </c>
      <c r="I48" s="1015"/>
      <c r="J48" s="1015"/>
      <c r="K48" s="1015"/>
      <c r="L48" s="1015"/>
      <c r="M48" s="1015"/>
      <c r="N48" s="1015"/>
    </row>
    <row r="49" spans="2:16">
      <c r="B49" s="1045" t="s">
        <v>117</v>
      </c>
      <c r="C49" s="1015"/>
      <c r="D49" s="1015"/>
      <c r="E49" s="1015"/>
      <c r="F49" s="1015"/>
      <c r="G49" s="1015">
        <v>175</v>
      </c>
      <c r="H49" s="1015"/>
      <c r="I49" s="1015"/>
      <c r="J49" s="1015"/>
      <c r="K49" s="1015"/>
      <c r="L49" s="1015"/>
      <c r="M49" s="1015"/>
      <c r="N49" s="1015"/>
    </row>
    <row r="50" spans="2:16">
      <c r="B50" s="1044" t="s">
        <v>119</v>
      </c>
      <c r="C50" s="1015"/>
      <c r="D50" s="1015"/>
      <c r="E50" s="1015"/>
      <c r="F50" s="1015"/>
      <c r="G50" s="1015"/>
      <c r="H50" s="1015"/>
      <c r="I50" s="1015"/>
      <c r="J50" s="1015"/>
      <c r="K50" s="1015"/>
      <c r="L50" s="1015"/>
      <c r="M50" s="1015"/>
      <c r="N50" s="1015"/>
    </row>
    <row r="51" spans="2:16">
      <c r="B51" s="1044" t="s">
        <v>120</v>
      </c>
      <c r="C51" s="1015"/>
      <c r="D51" s="1015"/>
      <c r="E51" s="1015"/>
      <c r="F51" s="1015"/>
      <c r="G51" s="1015"/>
      <c r="H51" s="1015"/>
      <c r="I51" s="1015"/>
      <c r="J51" s="1015"/>
      <c r="K51" s="1015"/>
      <c r="L51" s="1015"/>
      <c r="M51" s="1015"/>
      <c r="N51" s="1015"/>
    </row>
    <row r="52" spans="2:16">
      <c r="B52" s="1045" t="s">
        <v>121</v>
      </c>
      <c r="C52" s="1015"/>
      <c r="D52" s="1015"/>
      <c r="E52" s="1015"/>
      <c r="F52" s="1015">
        <v>24</v>
      </c>
      <c r="G52" s="1015"/>
      <c r="H52" s="1015">
        <v>55</v>
      </c>
      <c r="I52" s="1015">
        <v>42</v>
      </c>
      <c r="J52" s="1015"/>
      <c r="K52" s="1015"/>
      <c r="L52" s="1015"/>
      <c r="M52" s="1015"/>
      <c r="N52" s="1015"/>
    </row>
    <row r="53" spans="2:16">
      <c r="B53" s="1045" t="s">
        <v>122</v>
      </c>
      <c r="C53" s="1015"/>
      <c r="D53" s="1015"/>
      <c r="E53" s="1015"/>
      <c r="F53" s="1015">
        <v>200</v>
      </c>
      <c r="G53" s="1015">
        <v>265</v>
      </c>
      <c r="H53" s="1015">
        <v>221</v>
      </c>
      <c r="I53" s="1015">
        <v>231</v>
      </c>
      <c r="J53" s="1015">
        <v>321</v>
      </c>
      <c r="K53" s="1015"/>
      <c r="L53" s="1015"/>
      <c r="M53" s="1015"/>
      <c r="N53" s="1015"/>
    </row>
    <row r="54" spans="2:16">
      <c r="B54" s="1045" t="s">
        <v>123</v>
      </c>
      <c r="C54" s="1015"/>
      <c r="D54" s="1015"/>
      <c r="E54" s="1015"/>
      <c r="F54" s="1015"/>
      <c r="G54" s="1015">
        <v>17</v>
      </c>
      <c r="H54" s="1015"/>
      <c r="I54" s="1015"/>
      <c r="J54" s="1015"/>
      <c r="K54" s="1015"/>
      <c r="L54" s="1015"/>
      <c r="M54" s="1015"/>
      <c r="N54" s="1015"/>
    </row>
    <row r="55" spans="2:16">
      <c r="B55" s="1045" t="s">
        <v>124</v>
      </c>
      <c r="C55" s="1015"/>
      <c r="D55" s="1015"/>
      <c r="E55" s="1015"/>
      <c r="F55" s="1015"/>
      <c r="G55" s="1015">
        <v>175</v>
      </c>
      <c r="H55" s="1015"/>
      <c r="I55" s="1015"/>
      <c r="J55" s="1015"/>
      <c r="K55" s="1015"/>
      <c r="L55" s="1015"/>
      <c r="M55" s="1015"/>
      <c r="N55" s="1015"/>
    </row>
    <row r="56" spans="2:16">
      <c r="B56" s="1046" t="s">
        <v>167</v>
      </c>
      <c r="C56" s="1047">
        <f>(C47+C48+D46)/C40</f>
        <v>0.66188048786997256</v>
      </c>
      <c r="D56" s="1047">
        <f t="shared" ref="D56:N56" si="65">(D47+D48+E46)/D40</f>
        <v>1.1142904308589667</v>
      </c>
      <c r="E56" s="1047">
        <f t="shared" si="65"/>
        <v>0.61333794056668978</v>
      </c>
      <c r="F56" s="1048">
        <f t="shared" si="65"/>
        <v>0.80212131256214791</v>
      </c>
      <c r="G56" s="1047">
        <f t="shared" si="65"/>
        <v>0.67216012347830412</v>
      </c>
      <c r="H56" s="1047">
        <f t="shared" si="65"/>
        <v>0.84853750362004055</v>
      </c>
      <c r="I56" s="1047">
        <f t="shared" si="65"/>
        <v>0.80107607233597367</v>
      </c>
      <c r="J56" s="1047">
        <f>(J47+J48+K46)/J40</f>
        <v>0.66827757970537938</v>
      </c>
      <c r="K56" s="1047" t="e">
        <f t="shared" si="65"/>
        <v>#DIV/0!</v>
      </c>
      <c r="L56" s="1047" t="e">
        <f t="shared" si="65"/>
        <v>#DIV/0!</v>
      </c>
      <c r="M56" s="1047" t="e">
        <f t="shared" si="65"/>
        <v>#DIV/0!</v>
      </c>
      <c r="N56" s="1047" t="e">
        <f t="shared" si="65"/>
        <v>#DIV/0!</v>
      </c>
    </row>
    <row r="57" spans="2:16">
      <c r="B57" s="1049" t="s">
        <v>303</v>
      </c>
      <c r="C57" s="1050">
        <f>AVERAGE(G56:I56)</f>
        <v>0.77392456647810615</v>
      </c>
      <c r="D57" s="1050"/>
      <c r="E57" s="1050"/>
      <c r="F57" s="1050"/>
      <c r="G57" s="1050"/>
      <c r="H57" s="1050"/>
      <c r="I57" s="1050"/>
      <c r="J57" s="1050"/>
      <c r="K57" s="1050"/>
      <c r="L57" s="1050"/>
      <c r="M57" s="1050"/>
      <c r="N57" s="1050"/>
    </row>
    <row r="58" spans="2:16">
      <c r="B58" s="1046" t="s">
        <v>299</v>
      </c>
      <c r="C58" s="1047">
        <f t="shared" ref="C58:N58" si="66">+C44/C19</f>
        <v>5.0687131893628411E-2</v>
      </c>
      <c r="D58" s="1047">
        <f t="shared" si="66"/>
        <v>5.2734029375331802E-2</v>
      </c>
      <c r="E58" s="1047">
        <f t="shared" si="66"/>
        <v>6.4974182444061959E-2</v>
      </c>
      <c r="F58" s="1047">
        <f t="shared" si="66"/>
        <v>5.593742593031524E-2</v>
      </c>
      <c r="G58" s="1047">
        <f t="shared" si="66"/>
        <v>0.21289151157512484</v>
      </c>
      <c r="H58" s="1047">
        <f t="shared" si="66"/>
        <v>9.9084096586178186E-2</v>
      </c>
      <c r="I58" s="1047">
        <f t="shared" si="66"/>
        <v>8.9891234804862441E-2</v>
      </c>
      <c r="J58" s="1047">
        <f>+J44/J19</f>
        <v>9.7336790007070476E-2</v>
      </c>
      <c r="K58" s="1047" t="e">
        <f t="shared" si="66"/>
        <v>#DIV/0!</v>
      </c>
      <c r="L58" s="1047" t="e">
        <f t="shared" si="66"/>
        <v>#DIV/0!</v>
      </c>
      <c r="M58" s="1047" t="e">
        <f t="shared" si="66"/>
        <v>#DIV/0!</v>
      </c>
      <c r="N58" s="1047" t="e">
        <f t="shared" si="66"/>
        <v>#DIV/0!</v>
      </c>
    </row>
    <row r="59" spans="2:16">
      <c r="B59" s="1051" t="s">
        <v>384</v>
      </c>
      <c r="C59" s="1052">
        <f>AVERAGE(H58:J58)</f>
        <v>9.5437373799370354E-2</v>
      </c>
      <c r="D59" s="1052"/>
      <c r="E59" s="1052"/>
      <c r="F59" s="1052"/>
      <c r="G59" s="1052"/>
      <c r="H59" s="1052"/>
      <c r="I59" s="1052"/>
      <c r="J59" s="1052"/>
      <c r="K59" s="1052"/>
      <c r="L59" s="1052"/>
      <c r="M59" s="1052"/>
      <c r="N59" s="1052"/>
      <c r="O59" s="1052"/>
      <c r="P59" s="1052"/>
    </row>
    <row r="60" spans="2:16">
      <c r="B60" s="1053" t="s">
        <v>176</v>
      </c>
      <c r="C60" s="1054">
        <f>+C41*(100%-C56)</f>
        <v>0.10129752308854305</v>
      </c>
      <c r="D60" s="1054">
        <f t="shared" ref="D60:H60" si="67">+D41*(100%-D56)</f>
        <v>-3.084808023436238E-2</v>
      </c>
      <c r="E60" s="1054">
        <f t="shared" si="67"/>
        <v>9.1854359530733176E-2</v>
      </c>
      <c r="F60" s="1055">
        <f t="shared" si="67"/>
        <v>4.2368390026909203E-2</v>
      </c>
      <c r="G60" s="1054">
        <f t="shared" si="67"/>
        <v>9.0279268223374523E-2</v>
      </c>
      <c r="H60" s="1054">
        <f t="shared" si="67"/>
        <v>3.4414003952407873E-2</v>
      </c>
      <c r="I60" s="1054">
        <f>+I41*(100%-I56)</f>
        <v>3.9657290452936055E-2</v>
      </c>
      <c r="J60" s="1054">
        <f>+J41*(100%-J56)</f>
        <v>9.7748593656657279E-2</v>
      </c>
      <c r="K60" s="1054" t="e">
        <f t="shared" ref="K60:N60" si="68">+K41*(100%-K56)</f>
        <v>#DIV/0!</v>
      </c>
      <c r="L60" s="1054" t="e">
        <f t="shared" si="68"/>
        <v>#DIV/0!</v>
      </c>
      <c r="M60" s="1054" t="e">
        <f t="shared" si="68"/>
        <v>#DIV/0!</v>
      </c>
      <c r="N60" s="1054" t="e">
        <f t="shared" si="68"/>
        <v>#DIV/0!</v>
      </c>
    </row>
    <row r="61" spans="2:16">
      <c r="B61" s="1051" t="s">
        <v>306</v>
      </c>
      <c r="C61" s="1052">
        <f>AVERAGE(G60:I60)</f>
        <v>5.4783520876239479E-2</v>
      </c>
      <c r="D61" s="1052"/>
      <c r="E61" s="1052"/>
      <c r="F61" s="1052"/>
      <c r="G61" s="1052"/>
      <c r="H61" s="1052"/>
      <c r="I61" s="1052"/>
      <c r="J61" s="1052"/>
      <c r="K61" s="1052"/>
      <c r="L61" s="1052"/>
      <c r="M61" s="1052"/>
      <c r="N61" s="1052"/>
      <c r="O61" s="1052"/>
    </row>
    <row r="62" spans="2:16">
      <c r="B62" s="1053" t="s">
        <v>300</v>
      </c>
      <c r="C62" s="1096">
        <f ca="1">B3</f>
        <v>8145.9</v>
      </c>
    </row>
    <row r="63" spans="2:16">
      <c r="B63" s="1053"/>
    </row>
    <row r="64" spans="2:16">
      <c r="B64" s="1056" t="s">
        <v>307</v>
      </c>
    </row>
    <row r="66" spans="2:14">
      <c r="B66" s="1057" t="s">
        <v>696</v>
      </c>
      <c r="C66" s="1058">
        <v>2017</v>
      </c>
      <c r="D66" s="1058">
        <v>2018</v>
      </c>
      <c r="E66" s="1058">
        <v>2019</v>
      </c>
      <c r="F66" s="1058">
        <v>2020</v>
      </c>
      <c r="G66" s="1058">
        <v>2021</v>
      </c>
      <c r="H66" s="1058">
        <v>2022</v>
      </c>
      <c r="I66" s="1058">
        <v>2023</v>
      </c>
      <c r="J66" s="1058">
        <v>2024</v>
      </c>
      <c r="K66" s="1058">
        <v>2025</v>
      </c>
      <c r="L66" s="1058">
        <v>2026</v>
      </c>
      <c r="M66" s="1058">
        <v>2027</v>
      </c>
      <c r="N66" s="1058">
        <v>2028</v>
      </c>
    </row>
    <row r="67" spans="2:14">
      <c r="B67" s="1059" t="s">
        <v>309</v>
      </c>
      <c r="C67" s="1060"/>
      <c r="D67" s="1061"/>
      <c r="E67" s="1061"/>
      <c r="F67" s="1061"/>
      <c r="G67" s="1061"/>
      <c r="H67" s="1061"/>
      <c r="I67" s="1060"/>
      <c r="J67" s="1060"/>
      <c r="K67" s="1060"/>
      <c r="L67" s="1060"/>
      <c r="M67" s="1060"/>
      <c r="N67" s="1060"/>
    </row>
    <row r="68" spans="2:14">
      <c r="B68" s="1062" t="s">
        <v>310</v>
      </c>
      <c r="C68" s="1061">
        <v>67804995000</v>
      </c>
      <c r="D68" s="1061">
        <v>84615205000</v>
      </c>
      <c r="E68" s="1061">
        <v>83335307000</v>
      </c>
      <c r="F68" s="1063">
        <v>132617923000</v>
      </c>
      <c r="G68" s="1061">
        <v>151281267000</v>
      </c>
      <c r="H68" s="1067">
        <v>159742997000</v>
      </c>
      <c r="I68" s="1061">
        <v>214386660000</v>
      </c>
      <c r="J68" s="1060">
        <v>227272330000</v>
      </c>
      <c r="K68" s="1060"/>
      <c r="L68" s="1060"/>
      <c r="M68" s="1060"/>
      <c r="N68" s="1060"/>
    </row>
    <row r="69" spans="2:14">
      <c r="B69" s="1064" t="s">
        <v>386</v>
      </c>
      <c r="C69" s="1060">
        <v>6929613000</v>
      </c>
      <c r="D69" s="1060">
        <v>13883383000</v>
      </c>
      <c r="E69" s="1060">
        <v>17040145000</v>
      </c>
      <c r="F69" s="1060">
        <v>62317022000</v>
      </c>
      <c r="G69" s="1060">
        <v>45778257000</v>
      </c>
      <c r="H69" s="1065">
        <v>45297769000</v>
      </c>
      <c r="I69" s="1060">
        <v>115597511000</v>
      </c>
      <c r="J69" s="1060">
        <v>97949747000</v>
      </c>
      <c r="K69" s="1060"/>
      <c r="L69" s="1060"/>
      <c r="M69" s="1060"/>
      <c r="N69" s="1060"/>
    </row>
    <row r="70" spans="2:14">
      <c r="B70" s="1064" t="s">
        <v>387</v>
      </c>
      <c r="C70" s="1060">
        <v>0</v>
      </c>
      <c r="D70" s="1060">
        <v>174549000</v>
      </c>
      <c r="E70" s="1060">
        <v>0</v>
      </c>
      <c r="F70" s="1060">
        <v>1961963000</v>
      </c>
      <c r="G70" s="1060">
        <v>2945567000</v>
      </c>
      <c r="H70" s="1065">
        <v>0</v>
      </c>
      <c r="I70" s="1060">
        <v>96922000</v>
      </c>
      <c r="J70" s="1060">
        <v>0</v>
      </c>
      <c r="K70" s="1060"/>
      <c r="L70" s="1060"/>
      <c r="M70" s="1060"/>
      <c r="N70" s="1060"/>
    </row>
    <row r="71" spans="2:14">
      <c r="B71" s="1097" t="s">
        <v>388</v>
      </c>
      <c r="C71" s="1060"/>
      <c r="D71" s="1060"/>
      <c r="E71" s="1060"/>
      <c r="F71" s="1060"/>
      <c r="G71" s="1060"/>
      <c r="H71" s="1065"/>
      <c r="I71" s="1060"/>
      <c r="J71" s="1060"/>
      <c r="K71" s="1060"/>
      <c r="L71" s="1060"/>
      <c r="M71" s="1060"/>
      <c r="N71" s="1060"/>
    </row>
    <row r="72" spans="2:14">
      <c r="B72" s="1064" t="s">
        <v>389</v>
      </c>
      <c r="C72" s="1060">
        <v>34909135000</v>
      </c>
      <c r="D72" s="1060">
        <v>41524524000</v>
      </c>
      <c r="E72" s="1060">
        <v>40037977000</v>
      </c>
      <c r="F72" s="1060">
        <v>36609778000</v>
      </c>
      <c r="G72" s="1060">
        <v>53754590000</v>
      </c>
      <c r="H72" s="1065">
        <v>56346997000</v>
      </c>
      <c r="I72" s="1060">
        <v>65829088000</v>
      </c>
      <c r="J72" s="1060">
        <v>81750885000</v>
      </c>
      <c r="K72" s="1060"/>
      <c r="L72" s="1060"/>
      <c r="M72" s="1060"/>
      <c r="N72" s="1060"/>
    </row>
    <row r="73" spans="2:14">
      <c r="B73" s="1097" t="s">
        <v>390</v>
      </c>
      <c r="C73" s="1060"/>
      <c r="D73" s="1060"/>
      <c r="E73" s="1060"/>
      <c r="F73" s="1060"/>
      <c r="G73" s="1060"/>
      <c r="H73" s="1065"/>
      <c r="I73" s="1060"/>
      <c r="J73" s="1060"/>
      <c r="K73" s="1060"/>
      <c r="L73" s="1060"/>
      <c r="M73" s="1060"/>
      <c r="N73" s="1060"/>
    </row>
    <row r="74" spans="2:14">
      <c r="B74" s="1064" t="s">
        <v>391</v>
      </c>
      <c r="C74" s="1066">
        <v>21974501000</v>
      </c>
      <c r="D74" s="1060">
        <v>22305305000</v>
      </c>
      <c r="E74" s="1060">
        <v>21587921000</v>
      </c>
      <c r="F74" s="1060">
        <v>23131562000</v>
      </c>
      <c r="G74" s="1060">
        <v>38014024000</v>
      </c>
      <c r="H74" s="1065">
        <v>35378132000</v>
      </c>
      <c r="I74" s="1060">
        <v>24567451000</v>
      </c>
      <c r="J74" s="1060">
        <v>36923701000</v>
      </c>
      <c r="K74" s="1060"/>
      <c r="L74" s="1060"/>
      <c r="M74" s="1060"/>
      <c r="N74" s="1060"/>
    </row>
    <row r="75" spans="2:14">
      <c r="B75" s="1064" t="s">
        <v>392</v>
      </c>
      <c r="C75" s="1060">
        <v>3624644000</v>
      </c>
      <c r="D75" s="1060">
        <v>6014512000</v>
      </c>
      <c r="E75" s="1060">
        <v>3475204000</v>
      </c>
      <c r="F75" s="1060">
        <v>6044108000</v>
      </c>
      <c r="G75" s="1060">
        <v>9636585000</v>
      </c>
      <c r="H75" s="1065">
        <v>21088771000</v>
      </c>
      <c r="I75" s="1060">
        <v>5440165000</v>
      </c>
      <c r="J75" s="1060">
        <v>7029754000</v>
      </c>
      <c r="K75" s="1060"/>
      <c r="L75" s="1060"/>
      <c r="M75" s="1060"/>
      <c r="N75" s="1060"/>
    </row>
    <row r="76" spans="2:14">
      <c r="B76" s="1064" t="s">
        <v>318</v>
      </c>
      <c r="C76" s="1060">
        <f t="shared" ref="C76:H76" si="69">+C68-C69-C74-C75-C73-C72-C71-C70</f>
        <v>367102000</v>
      </c>
      <c r="D76" s="1060">
        <f t="shared" si="69"/>
        <v>712932000</v>
      </c>
      <c r="E76" s="1060">
        <f t="shared" si="69"/>
        <v>1194060000</v>
      </c>
      <c r="F76" s="1060">
        <f t="shared" si="69"/>
        <v>2553490000</v>
      </c>
      <c r="G76" s="1060">
        <f t="shared" si="69"/>
        <v>1152244000</v>
      </c>
      <c r="H76" s="1060">
        <f t="shared" si="69"/>
        <v>1631328000</v>
      </c>
      <c r="I76" s="1060">
        <f>+I68-I69-I74-I75-I73-I72-I71-I70</f>
        <v>2855523000</v>
      </c>
      <c r="J76" s="1060">
        <f>+J68-J69-J74-J75-J73-J72-J71-J70</f>
        <v>3618243000</v>
      </c>
      <c r="K76" s="1060">
        <f t="shared" ref="K76:N76" si="70">+K68-K69-K74-K75-K73-K72-K71-K70</f>
        <v>0</v>
      </c>
      <c r="L76" s="1060">
        <f t="shared" si="70"/>
        <v>0</v>
      </c>
      <c r="M76" s="1060">
        <f t="shared" si="70"/>
        <v>0</v>
      </c>
      <c r="N76" s="1060">
        <f t="shared" si="70"/>
        <v>0</v>
      </c>
    </row>
    <row r="77" spans="2:14">
      <c r="B77" s="1062" t="s">
        <v>319</v>
      </c>
      <c r="C77" s="1061">
        <v>322864236000</v>
      </c>
      <c r="D77" s="1061">
        <v>360200798000</v>
      </c>
      <c r="E77" s="1061">
        <v>425859654000</v>
      </c>
      <c r="F77" s="1063">
        <v>426629684000</v>
      </c>
      <c r="G77" s="1061">
        <v>472701969000</v>
      </c>
      <c r="H77" s="1067">
        <v>536497555000</v>
      </c>
      <c r="I77" s="1061">
        <v>520972887000</v>
      </c>
      <c r="J77" s="1060">
        <v>556815992000</v>
      </c>
      <c r="K77" s="1060"/>
      <c r="L77" s="1060"/>
      <c r="M77" s="1060"/>
      <c r="N77" s="1060"/>
    </row>
    <row r="78" spans="2:14">
      <c r="B78" s="1064" t="s">
        <v>393</v>
      </c>
      <c r="C78" s="1060">
        <v>1196237000</v>
      </c>
      <c r="D78" s="1060">
        <v>786533000</v>
      </c>
      <c r="E78" s="1060">
        <v>781180000</v>
      </c>
      <c r="F78" s="1060">
        <v>758321000</v>
      </c>
      <c r="G78" s="1060">
        <v>18116877000</v>
      </c>
      <c r="H78" s="1065">
        <v>44168291000</v>
      </c>
      <c r="I78" s="1060">
        <v>5390432000</v>
      </c>
      <c r="J78" s="1060">
        <v>18702715000</v>
      </c>
      <c r="K78" s="1060"/>
      <c r="L78" s="1060"/>
      <c r="M78" s="1060"/>
      <c r="N78" s="1060"/>
    </row>
    <row r="79" spans="2:14">
      <c r="B79" s="1064" t="s">
        <v>769</v>
      </c>
      <c r="C79" s="1060">
        <v>745438000</v>
      </c>
      <c r="D79" s="1060">
        <v>2182511000</v>
      </c>
      <c r="E79" s="1060">
        <v>4896996000</v>
      </c>
      <c r="F79" s="1060">
        <v>9492935000</v>
      </c>
      <c r="G79" s="1060">
        <v>2996032000</v>
      </c>
      <c r="H79" s="1065">
        <v>3618020000</v>
      </c>
      <c r="I79" s="1060">
        <v>4258954000</v>
      </c>
      <c r="J79" s="1060">
        <v>2893460000</v>
      </c>
      <c r="K79" s="1060"/>
      <c r="L79" s="1060"/>
      <c r="M79" s="1060"/>
      <c r="N79" s="1060"/>
    </row>
    <row r="80" spans="2:14">
      <c r="B80" s="1064" t="s">
        <v>487</v>
      </c>
      <c r="C80" s="1060">
        <v>1050000</v>
      </c>
      <c r="D80" s="1060">
        <v>1752000</v>
      </c>
      <c r="E80" s="1060">
        <v>1920000</v>
      </c>
      <c r="F80" s="1060">
        <v>1753000</v>
      </c>
      <c r="G80" s="1060">
        <v>1754000</v>
      </c>
      <c r="H80" s="1065">
        <v>1237374000</v>
      </c>
      <c r="I80" s="1060">
        <v>4854237000</v>
      </c>
      <c r="J80" s="1060">
        <v>6213791000</v>
      </c>
      <c r="K80" s="1060"/>
      <c r="L80" s="1060"/>
      <c r="M80" s="1060"/>
      <c r="N80" s="1060"/>
    </row>
    <row r="81" spans="2:14">
      <c r="B81" s="1064" t="s">
        <v>397</v>
      </c>
      <c r="C81" s="1060">
        <v>9413714000</v>
      </c>
      <c r="D81" s="1060">
        <v>11538696000</v>
      </c>
      <c r="E81" s="1060">
        <v>11599663000</v>
      </c>
      <c r="F81" s="1060">
        <v>10918432000</v>
      </c>
      <c r="G81" s="1060">
        <v>11929560000</v>
      </c>
      <c r="H81" s="1065">
        <v>13302193000</v>
      </c>
      <c r="I81" s="1060">
        <v>12257875000</v>
      </c>
      <c r="J81" s="1060">
        <v>15480078000</v>
      </c>
      <c r="K81" s="1060"/>
      <c r="L81" s="1060"/>
      <c r="M81" s="1060"/>
      <c r="N81" s="1060"/>
    </row>
    <row r="82" spans="2:14">
      <c r="B82" s="1064" t="s">
        <v>398</v>
      </c>
      <c r="C82" s="1060">
        <v>295593165000</v>
      </c>
      <c r="D82" s="1060">
        <v>315584674000</v>
      </c>
      <c r="E82" s="1060">
        <v>379699174000</v>
      </c>
      <c r="F82" s="1060">
        <v>377849963000</v>
      </c>
      <c r="G82" s="1060">
        <v>409799844000</v>
      </c>
      <c r="H82" s="1065">
        <v>436796911000</v>
      </c>
      <c r="I82" s="1060">
        <v>456674304000</v>
      </c>
      <c r="J82" s="1060">
        <v>475286029000</v>
      </c>
      <c r="K82" s="1060"/>
      <c r="L82" s="1060"/>
      <c r="M82" s="1060"/>
      <c r="N82" s="1060"/>
    </row>
    <row r="83" spans="2:14">
      <c r="B83" s="1064" t="s">
        <v>396</v>
      </c>
      <c r="C83" s="1060">
        <v>13832769000</v>
      </c>
      <c r="D83" s="1060">
        <v>14523497000</v>
      </c>
      <c r="E83" s="1060">
        <v>11722598000</v>
      </c>
      <c r="F83" s="1060">
        <v>7658969000</v>
      </c>
      <c r="G83" s="1060">
        <v>8005278000</v>
      </c>
      <c r="H83" s="1065">
        <v>11491282000</v>
      </c>
      <c r="I83" s="1060">
        <v>12023612000</v>
      </c>
      <c r="J83" s="1060">
        <v>12536466000</v>
      </c>
      <c r="K83" s="1060"/>
      <c r="L83" s="1060"/>
      <c r="M83" s="1060"/>
      <c r="N83" s="1060"/>
    </row>
    <row r="84" spans="2:14">
      <c r="B84" s="1064" t="s">
        <v>399</v>
      </c>
      <c r="C84" s="1060"/>
      <c r="D84" s="1060"/>
      <c r="E84" s="1060"/>
      <c r="F84" s="1060"/>
      <c r="G84" s="1060"/>
      <c r="H84" s="1065"/>
      <c r="I84" s="1060"/>
      <c r="J84" s="1060"/>
      <c r="K84" s="1060"/>
      <c r="L84" s="1060"/>
      <c r="M84" s="1060"/>
      <c r="N84" s="1060"/>
    </row>
    <row r="85" spans="2:14">
      <c r="B85" s="1064" t="s">
        <v>401</v>
      </c>
      <c r="C85" s="1060">
        <v>1170999000</v>
      </c>
      <c r="D85" s="1060">
        <v>1544243000</v>
      </c>
      <c r="E85" s="1060">
        <v>1634287000</v>
      </c>
      <c r="F85" s="1066">
        <v>2380508000</v>
      </c>
      <c r="G85" s="1060">
        <v>4005633000</v>
      </c>
      <c r="H85" s="1065">
        <v>8370376000</v>
      </c>
      <c r="I85" s="1060">
        <v>8738609000</v>
      </c>
      <c r="J85" s="1060">
        <v>9531064000</v>
      </c>
      <c r="K85" s="1060"/>
      <c r="L85" s="1060"/>
      <c r="M85" s="1060"/>
      <c r="N85" s="1060"/>
    </row>
    <row r="86" spans="2:14">
      <c r="B86" s="1064" t="s">
        <v>394</v>
      </c>
      <c r="C86" s="1060">
        <v>910864000</v>
      </c>
      <c r="D86" s="1060">
        <v>14038892000</v>
      </c>
      <c r="E86" s="1060">
        <v>15523836000</v>
      </c>
      <c r="F86" s="1060">
        <v>17568803000</v>
      </c>
      <c r="G86" s="1060">
        <v>17846991000</v>
      </c>
      <c r="H86" s="1065">
        <v>17513108000</v>
      </c>
      <c r="I86" s="1060">
        <v>16774864000</v>
      </c>
      <c r="J86" s="1060">
        <v>16172389000</v>
      </c>
      <c r="K86" s="1060"/>
      <c r="L86" s="1060"/>
      <c r="M86" s="1060"/>
      <c r="N86" s="1060"/>
    </row>
    <row r="87" spans="2:14">
      <c r="B87" s="1064" t="s">
        <v>328</v>
      </c>
      <c r="C87" s="1060">
        <f t="shared" ref="C87:I87" si="71">+C77-C84-C85-C83-C78-C86-C82-C81-C80-C79</f>
        <v>0</v>
      </c>
      <c r="D87" s="1060">
        <f t="shared" si="71"/>
        <v>0</v>
      </c>
      <c r="E87" s="1060">
        <f t="shared" si="71"/>
        <v>0</v>
      </c>
      <c r="F87" s="1060">
        <f t="shared" si="71"/>
        <v>0</v>
      </c>
      <c r="G87" s="1060">
        <f t="shared" si="71"/>
        <v>0</v>
      </c>
      <c r="H87" s="1060">
        <f t="shared" si="71"/>
        <v>0</v>
      </c>
      <c r="I87" s="1060">
        <f t="shared" si="71"/>
        <v>0</v>
      </c>
      <c r="J87" s="1060">
        <f t="shared" ref="J87:N87" si="72">+J77-J84-J85-J83-J78-J86-J82-J81-J80-J79</f>
        <v>0</v>
      </c>
      <c r="K87" s="1060">
        <f t="shared" si="72"/>
        <v>0</v>
      </c>
      <c r="L87" s="1060">
        <f t="shared" si="72"/>
        <v>0</v>
      </c>
      <c r="M87" s="1060">
        <f t="shared" si="72"/>
        <v>0</v>
      </c>
      <c r="N87" s="1060">
        <f t="shared" si="72"/>
        <v>0</v>
      </c>
    </row>
    <row r="88" spans="2:14">
      <c r="B88" s="1068" t="s">
        <v>329</v>
      </c>
      <c r="C88" s="1069">
        <f t="shared" ref="C88:I88" si="73">+C77+C68</f>
        <v>390669231000</v>
      </c>
      <c r="D88" s="1069">
        <f t="shared" si="73"/>
        <v>444816003000</v>
      </c>
      <c r="E88" s="1069">
        <f t="shared" si="73"/>
        <v>509194961000</v>
      </c>
      <c r="F88" s="1069">
        <f t="shared" si="73"/>
        <v>559247607000</v>
      </c>
      <c r="G88" s="1069">
        <f t="shared" si="73"/>
        <v>623983236000</v>
      </c>
      <c r="H88" s="1070">
        <f t="shared" si="73"/>
        <v>696240552000</v>
      </c>
      <c r="I88" s="1069">
        <f t="shared" si="73"/>
        <v>735359547000</v>
      </c>
      <c r="J88" s="1069">
        <f>+J77+J68</f>
        <v>784088322000</v>
      </c>
      <c r="K88" s="1069">
        <f t="shared" ref="K88:N88" si="74">+K77+K68</f>
        <v>0</v>
      </c>
      <c r="L88" s="1069">
        <f t="shared" si="74"/>
        <v>0</v>
      </c>
      <c r="M88" s="1069">
        <f t="shared" si="74"/>
        <v>0</v>
      </c>
      <c r="N88" s="1069">
        <f t="shared" si="74"/>
        <v>0</v>
      </c>
    </row>
    <row r="89" spans="2:14">
      <c r="B89" s="1071"/>
      <c r="C89" s="1072"/>
      <c r="D89" s="1072"/>
      <c r="E89" s="1072"/>
      <c r="F89" s="1072"/>
      <c r="G89" s="1072"/>
      <c r="H89" s="1073"/>
      <c r="I89" s="1072"/>
      <c r="J89" s="1072"/>
      <c r="K89" s="1072"/>
      <c r="L89" s="1072"/>
      <c r="M89" s="1072"/>
      <c r="N89" s="1072"/>
    </row>
    <row r="90" spans="2:14">
      <c r="B90" s="1057" t="s">
        <v>330</v>
      </c>
      <c r="C90" s="1074"/>
      <c r="D90" s="1074"/>
      <c r="E90" s="1074"/>
      <c r="F90" s="1074"/>
      <c r="G90" s="1074"/>
      <c r="H90" s="1075"/>
      <c r="I90" s="1074"/>
      <c r="J90" s="1074"/>
      <c r="K90" s="1074"/>
      <c r="L90" s="1074"/>
      <c r="M90" s="1074"/>
      <c r="N90" s="1074"/>
    </row>
    <row r="91" spans="2:14">
      <c r="B91" s="1062" t="s">
        <v>310</v>
      </c>
      <c r="C91" s="1061">
        <v>56402525000</v>
      </c>
      <c r="D91" s="1061">
        <v>86316984000</v>
      </c>
      <c r="E91" s="1061">
        <v>64277110000</v>
      </c>
      <c r="F91" s="1061">
        <v>70737368000</v>
      </c>
      <c r="G91" s="1061">
        <v>93632821000</v>
      </c>
      <c r="H91" s="1067">
        <v>107652361000</v>
      </c>
      <c r="I91" s="1061">
        <v>112945964000</v>
      </c>
      <c r="J91" s="1060">
        <v>126878962000</v>
      </c>
      <c r="K91" s="1060"/>
      <c r="L91" s="1060"/>
      <c r="M91" s="1060"/>
      <c r="N91" s="1060"/>
    </row>
    <row r="92" spans="2:14">
      <c r="B92" s="1064" t="s">
        <v>402</v>
      </c>
      <c r="C92" s="1060">
        <v>9950749000</v>
      </c>
      <c r="D92" s="1060">
        <v>38437079000</v>
      </c>
      <c r="E92" s="1060">
        <v>9436733000</v>
      </c>
      <c r="F92" s="1060">
        <v>7187557000</v>
      </c>
      <c r="G92" s="1060">
        <v>8874153000</v>
      </c>
      <c r="H92" s="1065">
        <v>9818481000</v>
      </c>
      <c r="I92" s="1060">
        <v>9882641000</v>
      </c>
      <c r="J92" s="1060">
        <v>8850284000</v>
      </c>
      <c r="K92" s="1060"/>
      <c r="L92" s="1060"/>
      <c r="M92" s="1060"/>
      <c r="N92" s="1060"/>
    </row>
    <row r="93" spans="2:14">
      <c r="B93" s="1064" t="s">
        <v>403</v>
      </c>
      <c r="C93" s="1060">
        <v>39553611000</v>
      </c>
      <c r="D93" s="1060">
        <v>40711293000</v>
      </c>
      <c r="E93" s="1060">
        <v>4664076000</v>
      </c>
      <c r="F93" s="1060">
        <v>5737749000</v>
      </c>
      <c r="G93" s="1060">
        <v>8636927000</v>
      </c>
      <c r="H93" s="1065">
        <v>16950614000</v>
      </c>
      <c r="I93" s="1060">
        <v>18638260000</v>
      </c>
      <c r="J93" s="1060">
        <v>19891427000</v>
      </c>
      <c r="K93" s="1060"/>
      <c r="L93" s="1060"/>
      <c r="M93" s="1060"/>
      <c r="N93" s="1060"/>
    </row>
    <row r="94" spans="2:14">
      <c r="B94" s="1064" t="s">
        <v>700</v>
      </c>
      <c r="C94" s="1060"/>
      <c r="D94" s="1060"/>
      <c r="E94" s="1060">
        <v>36498823000</v>
      </c>
      <c r="F94" s="1060">
        <v>41128853000</v>
      </c>
      <c r="G94" s="1060">
        <v>55163443000</v>
      </c>
      <c r="H94" s="1065">
        <v>53738175000</v>
      </c>
      <c r="I94" s="1060">
        <v>51292810000</v>
      </c>
      <c r="J94" s="1060">
        <v>61691427000</v>
      </c>
      <c r="K94" s="1060"/>
      <c r="L94" s="1060"/>
      <c r="M94" s="1060"/>
      <c r="N94" s="1060"/>
    </row>
    <row r="95" spans="2:14">
      <c r="B95" s="1064" t="s">
        <v>770</v>
      </c>
      <c r="C95" s="1060">
        <v>1072108000</v>
      </c>
      <c r="D95" s="1060">
        <v>1188218000</v>
      </c>
      <c r="E95" s="1060">
        <v>428446000</v>
      </c>
      <c r="F95" s="1060">
        <v>349946000</v>
      </c>
      <c r="G95" s="1060">
        <v>424068000</v>
      </c>
      <c r="H95" s="1065">
        <v>492208000</v>
      </c>
      <c r="I95" s="1060">
        <v>575834000</v>
      </c>
      <c r="J95" s="1060">
        <v>551984000</v>
      </c>
      <c r="K95" s="1060"/>
      <c r="L95" s="1060"/>
      <c r="M95" s="1060"/>
      <c r="N95" s="1060"/>
    </row>
    <row r="96" spans="2:14">
      <c r="B96" s="1064" t="s">
        <v>771</v>
      </c>
      <c r="C96" s="1060">
        <v>1832145000</v>
      </c>
      <c r="D96" s="1060">
        <v>1844800000</v>
      </c>
      <c r="E96" s="1060">
        <v>5224022000</v>
      </c>
      <c r="F96" s="1060">
        <v>4574997000</v>
      </c>
      <c r="G96" s="1060">
        <v>5397324000</v>
      </c>
      <c r="H96" s="1065">
        <v>6987829000</v>
      </c>
      <c r="I96" s="1060">
        <v>12664235000</v>
      </c>
      <c r="J96" s="1060">
        <v>15556696000</v>
      </c>
      <c r="K96" s="1060"/>
      <c r="L96" s="1060"/>
      <c r="M96" s="1060"/>
      <c r="N96" s="1060"/>
    </row>
    <row r="97" spans="2:14">
      <c r="B97" s="1064" t="s">
        <v>703</v>
      </c>
      <c r="C97" s="1060">
        <v>1888385000</v>
      </c>
      <c r="D97" s="1060">
        <v>2894383000</v>
      </c>
      <c r="E97" s="1060">
        <v>4395567000</v>
      </c>
      <c r="F97" s="1060">
        <v>8233329000</v>
      </c>
      <c r="G97" s="1060">
        <v>10676477000</v>
      </c>
      <c r="H97" s="1065">
        <v>13807013000</v>
      </c>
      <c r="I97" s="1060">
        <v>12134639000</v>
      </c>
      <c r="J97" s="1060">
        <v>11768025000</v>
      </c>
      <c r="K97" s="1060"/>
      <c r="L97" s="1060"/>
      <c r="M97" s="1060"/>
      <c r="N97" s="1060"/>
    </row>
    <row r="98" spans="2:14">
      <c r="B98" s="1064" t="s">
        <v>772</v>
      </c>
      <c r="C98" s="1060">
        <v>2105527000</v>
      </c>
      <c r="D98" s="1060">
        <v>1241211000</v>
      </c>
      <c r="E98" s="1060">
        <v>3629443000</v>
      </c>
      <c r="F98" s="1060">
        <v>3524937000</v>
      </c>
      <c r="G98" s="1060">
        <v>4460429000</v>
      </c>
      <c r="H98" s="1065">
        <v>5858041000</v>
      </c>
      <c r="I98" s="1060">
        <v>7757545000</v>
      </c>
      <c r="J98" s="1060">
        <v>8540042000</v>
      </c>
      <c r="K98" s="1060"/>
      <c r="L98" s="1060"/>
      <c r="M98" s="1060"/>
      <c r="N98" s="1060"/>
    </row>
    <row r="99" spans="2:14">
      <c r="B99" s="1064"/>
      <c r="C99" s="1060"/>
      <c r="D99" s="1060"/>
      <c r="E99" s="1060"/>
      <c r="F99" s="1060"/>
      <c r="G99" s="1060"/>
      <c r="H99" s="1065"/>
      <c r="I99" s="1060"/>
      <c r="J99" s="1060"/>
      <c r="K99" s="1060"/>
      <c r="L99" s="1060"/>
      <c r="M99" s="1060"/>
      <c r="N99" s="1060"/>
    </row>
    <row r="100" spans="2:14">
      <c r="B100" s="1064" t="s">
        <v>410</v>
      </c>
      <c r="C100" s="1060">
        <f t="shared" ref="C100:I100" si="75">+C91-C92-C98-C99-C97-C96-C95-C94-C93</f>
        <v>0</v>
      </c>
      <c r="D100" s="1060">
        <f t="shared" si="75"/>
        <v>0</v>
      </c>
      <c r="E100" s="1060">
        <f t="shared" si="75"/>
        <v>0</v>
      </c>
      <c r="F100" s="1060">
        <f t="shared" si="75"/>
        <v>0</v>
      </c>
      <c r="G100" s="1060">
        <f t="shared" si="75"/>
        <v>0</v>
      </c>
      <c r="H100" s="1060">
        <f t="shared" si="75"/>
        <v>0</v>
      </c>
      <c r="I100" s="1060">
        <f t="shared" si="75"/>
        <v>0</v>
      </c>
      <c r="J100" s="1060">
        <f t="shared" ref="J100:N100" si="76">+J91-J92-J98-J99-J97-J96-J95-J94-J93</f>
        <v>29077000</v>
      </c>
      <c r="K100" s="1060">
        <f t="shared" si="76"/>
        <v>0</v>
      </c>
      <c r="L100" s="1060">
        <f t="shared" si="76"/>
        <v>0</v>
      </c>
      <c r="M100" s="1060">
        <f t="shared" si="76"/>
        <v>0</v>
      </c>
      <c r="N100" s="1060">
        <f t="shared" si="76"/>
        <v>0</v>
      </c>
    </row>
    <row r="101" spans="2:14">
      <c r="B101" s="1062" t="s">
        <v>319</v>
      </c>
      <c r="C101" s="1061">
        <v>190889448000</v>
      </c>
      <c r="D101" s="1061">
        <v>200776472000</v>
      </c>
      <c r="E101" s="1061">
        <v>272575432000</v>
      </c>
      <c r="F101" s="1061">
        <v>322660222000</v>
      </c>
      <c r="G101" s="1061">
        <v>358668345000</v>
      </c>
      <c r="H101" s="1067">
        <v>410215367000</v>
      </c>
      <c r="I101" s="1061">
        <v>424830172000</v>
      </c>
      <c r="J101" s="1060">
        <v>433339534000</v>
      </c>
      <c r="K101" s="1060"/>
      <c r="L101" s="1060"/>
      <c r="M101" s="1060"/>
      <c r="N101" s="1060"/>
    </row>
    <row r="102" spans="2:14">
      <c r="B102" s="1064" t="s">
        <v>411</v>
      </c>
      <c r="C102" s="1060">
        <v>120582372000</v>
      </c>
      <c r="D102" s="1060">
        <v>125435112000</v>
      </c>
      <c r="E102" s="1060">
        <v>166766026000</v>
      </c>
      <c r="F102" s="1060">
        <v>207388080000</v>
      </c>
      <c r="G102" s="1060">
        <v>230438269000</v>
      </c>
      <c r="H102" s="1065">
        <v>256746513000</v>
      </c>
      <c r="I102" s="1060">
        <v>234031026000</v>
      </c>
      <c r="J102" s="1060">
        <v>245634162000</v>
      </c>
      <c r="K102" s="1060"/>
      <c r="L102" s="1060"/>
      <c r="M102" s="1060"/>
      <c r="N102" s="1060"/>
    </row>
    <row r="103" spans="2:14">
      <c r="B103" s="1064" t="s">
        <v>412</v>
      </c>
      <c r="C103" s="1060"/>
      <c r="D103" s="1060"/>
      <c r="E103" s="1060">
        <v>23236761000</v>
      </c>
      <c r="F103" s="1060">
        <v>24917074000</v>
      </c>
      <c r="G103" s="1060">
        <v>29444761000</v>
      </c>
      <c r="H103" s="1065">
        <v>40213163000</v>
      </c>
      <c r="I103" s="1060">
        <v>69388047000</v>
      </c>
      <c r="J103" s="1060">
        <v>63669293000</v>
      </c>
      <c r="K103" s="1060"/>
      <c r="L103" s="1060"/>
      <c r="M103" s="1060"/>
      <c r="N103" s="1060"/>
    </row>
    <row r="104" spans="2:14">
      <c r="B104" s="1064" t="s">
        <v>724</v>
      </c>
      <c r="C104" s="1060">
        <v>190289000</v>
      </c>
      <c r="D104" s="1060">
        <v>45940000</v>
      </c>
      <c r="E104" s="1060">
        <v>40089630000</v>
      </c>
      <c r="F104" s="1060">
        <v>43243478000</v>
      </c>
      <c r="G104" s="1060">
        <v>1266951000</v>
      </c>
      <c r="H104" s="1065">
        <v>3466018000</v>
      </c>
      <c r="I104" s="1060">
        <v>3391843000</v>
      </c>
      <c r="J104" s="1060">
        <v>3273241000</v>
      </c>
      <c r="K104" s="1060"/>
      <c r="L104" s="1060"/>
      <c r="M104" s="1060"/>
      <c r="N104" s="1060"/>
    </row>
    <row r="105" spans="2:14">
      <c r="B105" s="1064" t="s">
        <v>339</v>
      </c>
      <c r="C105" s="1060">
        <v>31988783000</v>
      </c>
      <c r="D105" s="1060">
        <v>35539707000</v>
      </c>
      <c r="E105" s="1060">
        <v>39312704000</v>
      </c>
      <c r="F105" s="1060">
        <v>42839095000</v>
      </c>
      <c r="G105" s="1060">
        <v>51992639000</v>
      </c>
      <c r="H105" s="1065">
        <v>62080981000</v>
      </c>
      <c r="I105" s="1060">
        <v>63191025000</v>
      </c>
      <c r="J105" s="1060">
        <v>63279925000</v>
      </c>
      <c r="K105" s="1060"/>
      <c r="L105" s="1060"/>
      <c r="M105" s="1060"/>
      <c r="N105" s="1060"/>
    </row>
    <row r="106" spans="2:14">
      <c r="B106" s="1064" t="s">
        <v>414</v>
      </c>
      <c r="C106" s="1060">
        <v>2439890000</v>
      </c>
      <c r="D106" s="1060">
        <v>2790249000</v>
      </c>
      <c r="E106" s="1060">
        <v>3170311000</v>
      </c>
      <c r="F106" s="1060">
        <v>4272495000</v>
      </c>
      <c r="G106" s="1060">
        <v>4764902000</v>
      </c>
      <c r="H106" s="1065">
        <v>5395460000</v>
      </c>
      <c r="I106" s="1060">
        <v>3812915000</v>
      </c>
      <c r="J106" s="1060">
        <v>5198931000</v>
      </c>
      <c r="K106" s="1060"/>
      <c r="L106" s="1060"/>
      <c r="M106" s="1060"/>
      <c r="N106" s="1060"/>
    </row>
    <row r="107" spans="2:14">
      <c r="B107" s="1064" t="s">
        <v>341</v>
      </c>
      <c r="C107" s="1060">
        <f t="shared" ref="C107:F107" si="77">+C101-C102-C104-C105-C103-C106</f>
        <v>35688114000</v>
      </c>
      <c r="D107" s="1060">
        <f t="shared" si="77"/>
        <v>36965464000</v>
      </c>
      <c r="E107" s="1060">
        <f t="shared" si="77"/>
        <v>0</v>
      </c>
      <c r="F107" s="1060">
        <f t="shared" si="77"/>
        <v>0</v>
      </c>
      <c r="G107" s="1060">
        <f>+G101-G102-G104-G105-G103-G106</f>
        <v>40760823000</v>
      </c>
      <c r="H107" s="1060">
        <f>+H101-H102-H104-H105-H103-H106</f>
        <v>42313232000</v>
      </c>
      <c r="I107" s="1060">
        <f>+I101-I102-I104-I105-I103-I106</f>
        <v>51015316000</v>
      </c>
      <c r="J107" s="1060">
        <f>+J101-J102-J104-J105-J103-J106</f>
        <v>52283982000</v>
      </c>
      <c r="K107" s="1060">
        <f t="shared" ref="K107:N107" si="78">+K101-K102-K104-K105-K103</f>
        <v>0</v>
      </c>
      <c r="L107" s="1060">
        <f t="shared" si="78"/>
        <v>0</v>
      </c>
      <c r="M107" s="1060">
        <f t="shared" si="78"/>
        <v>0</v>
      </c>
      <c r="N107" s="1060">
        <f t="shared" si="78"/>
        <v>0</v>
      </c>
    </row>
    <row r="108" spans="2:14">
      <c r="B108" s="1068" t="s">
        <v>342</v>
      </c>
      <c r="C108" s="1069">
        <f t="shared" ref="C108:H108" si="79">+C101+C91</f>
        <v>247291973000</v>
      </c>
      <c r="D108" s="1069">
        <f t="shared" si="79"/>
        <v>287093456000</v>
      </c>
      <c r="E108" s="1069">
        <f t="shared" si="79"/>
        <v>336852542000</v>
      </c>
      <c r="F108" s="1069">
        <f t="shared" si="79"/>
        <v>393397590000</v>
      </c>
      <c r="G108" s="1069">
        <f t="shared" si="79"/>
        <v>452301166000</v>
      </c>
      <c r="H108" s="1070">
        <f t="shared" si="79"/>
        <v>517867728000</v>
      </c>
      <c r="I108" s="1070">
        <f>+I101+I91</f>
        <v>537776136000</v>
      </c>
      <c r="J108" s="1070">
        <f>+J101+J91</f>
        <v>560218496000</v>
      </c>
      <c r="K108" s="1098"/>
      <c r="L108" s="1098"/>
      <c r="M108" s="1098"/>
      <c r="N108" s="1098"/>
    </row>
    <row r="109" spans="2:14">
      <c r="B109" s="1071"/>
      <c r="C109" s="1071"/>
      <c r="D109" s="1071"/>
      <c r="E109" s="1071"/>
      <c r="F109" s="1071"/>
      <c r="G109" s="1071"/>
      <c r="H109" s="1071"/>
      <c r="I109" s="1071"/>
      <c r="J109" s="1071"/>
      <c r="K109" s="1071"/>
      <c r="L109" s="1071"/>
      <c r="M109" s="1071"/>
      <c r="N109" s="1071"/>
    </row>
    <row r="110" spans="2:14">
      <c r="B110" s="1057" t="s">
        <v>343</v>
      </c>
      <c r="C110" s="1074"/>
      <c r="D110" s="1074"/>
      <c r="E110" s="1074"/>
      <c r="F110" s="1074"/>
      <c r="G110" s="1074"/>
      <c r="H110" s="1075"/>
      <c r="I110" s="1074"/>
      <c r="J110" s="1074"/>
      <c r="K110" s="1074"/>
      <c r="L110" s="1074"/>
      <c r="M110" s="1074"/>
      <c r="N110" s="1074"/>
    </row>
    <row r="111" spans="2:14">
      <c r="B111" s="1064" t="s">
        <v>415</v>
      </c>
      <c r="C111" s="1065">
        <v>129242454000</v>
      </c>
      <c r="D111" s="1065">
        <v>129242454000</v>
      </c>
      <c r="E111" s="1065">
        <v>129242454000</v>
      </c>
      <c r="F111" s="1065">
        <v>129242454000</v>
      </c>
      <c r="G111" s="1065">
        <v>129242454000</v>
      </c>
      <c r="H111" s="1065">
        <v>129242454000</v>
      </c>
      <c r="I111" s="1065">
        <v>129242454000</v>
      </c>
      <c r="J111" s="1060">
        <v>129242454000</v>
      </c>
      <c r="K111" s="1060"/>
      <c r="L111" s="1060"/>
      <c r="M111" s="1060"/>
      <c r="N111" s="1060"/>
    </row>
    <row r="112" spans="2:14">
      <c r="B112" s="1064" t="s">
        <v>503</v>
      </c>
      <c r="C112" s="1060">
        <v>-8404483000</v>
      </c>
      <c r="D112" s="1060">
        <v>-4848045000</v>
      </c>
      <c r="E112" s="1060">
        <v>3103998000</v>
      </c>
      <c r="F112" s="1060">
        <v>-9555967000</v>
      </c>
      <c r="G112" s="1060">
        <v>991925000</v>
      </c>
      <c r="H112" s="1065">
        <v>-4263621000</v>
      </c>
      <c r="I112" s="1060">
        <v>8038257000</v>
      </c>
      <c r="J112" s="1060">
        <v>15932819000</v>
      </c>
      <c r="K112" s="1060"/>
      <c r="L112" s="1060"/>
      <c r="M112" s="1060"/>
      <c r="N112" s="1060"/>
    </row>
    <row r="113" spans="2:14">
      <c r="B113" s="1064" t="s">
        <v>727</v>
      </c>
      <c r="C113" s="1060">
        <v>21207590000</v>
      </c>
      <c r="D113" s="1060">
        <v>28544559000</v>
      </c>
      <c r="E113" s="1060">
        <v>33687655000</v>
      </c>
      <c r="F113" s="1060">
        <v>40349011000</v>
      </c>
      <c r="G113" s="1060">
        <v>35437225000</v>
      </c>
      <c r="H113" s="1065">
        <v>47623766000</v>
      </c>
      <c r="I113" s="1060">
        <v>53705487000</v>
      </c>
      <c r="J113" s="1060">
        <v>68799324000</v>
      </c>
      <c r="K113" s="1060"/>
      <c r="L113" s="1060"/>
      <c r="M113" s="1060"/>
      <c r="N113" s="1060"/>
    </row>
    <row r="114" spans="2:14">
      <c r="B114" s="1064" t="s">
        <v>419</v>
      </c>
      <c r="C114" s="1060">
        <v>1331697000</v>
      </c>
      <c r="D114" s="1060">
        <v>4783579000</v>
      </c>
      <c r="E114" s="1060">
        <v>6308312000</v>
      </c>
      <c r="F114" s="1060">
        <v>5814519000</v>
      </c>
      <c r="G114" s="1060">
        <v>6010466000</v>
      </c>
      <c r="H114" s="1065">
        <v>5770225000</v>
      </c>
      <c r="I114" s="1060">
        <v>6597213000</v>
      </c>
      <c r="J114" s="1060">
        <v>9895229000</v>
      </c>
      <c r="K114" s="1060"/>
      <c r="L114" s="1060"/>
      <c r="M114" s="1060"/>
      <c r="N114" s="1060"/>
    </row>
    <row r="115" spans="2:14">
      <c r="B115" s="1068" t="s">
        <v>728</v>
      </c>
      <c r="C115" s="1069">
        <f t="shared" ref="C115:F115" si="80">+C111+C113+C112</f>
        <v>142045561000</v>
      </c>
      <c r="D115" s="1069">
        <f t="shared" si="80"/>
        <v>152938968000</v>
      </c>
      <c r="E115" s="1069">
        <f t="shared" si="80"/>
        <v>166034107000</v>
      </c>
      <c r="F115" s="1069">
        <f t="shared" si="80"/>
        <v>160035498000</v>
      </c>
      <c r="G115" s="1069">
        <f>+G111+G113+G112</f>
        <v>165671604000</v>
      </c>
      <c r="H115" s="1069">
        <f>+H111+H113+H112</f>
        <v>172602599000</v>
      </c>
      <c r="I115" s="1069">
        <f>+I111+I113+I112</f>
        <v>190986198000</v>
      </c>
      <c r="J115" s="1069">
        <f>+J111+J113+J112</f>
        <v>213974597000</v>
      </c>
      <c r="K115" s="1069">
        <f t="shared" ref="K115:N115" si="81">+K111+K113+K112</f>
        <v>0</v>
      </c>
      <c r="L115" s="1069">
        <f t="shared" si="81"/>
        <v>0</v>
      </c>
      <c r="M115" s="1069">
        <f t="shared" si="81"/>
        <v>0</v>
      </c>
      <c r="N115" s="1069">
        <f t="shared" si="81"/>
        <v>0</v>
      </c>
    </row>
    <row r="117" spans="2:14">
      <c r="B117" s="1056" t="s">
        <v>348</v>
      </c>
    </row>
    <row r="118" spans="2:14">
      <c r="B118" s="1076" t="s">
        <v>308</v>
      </c>
      <c r="C118" s="1077">
        <v>2017</v>
      </c>
      <c r="D118" s="1077">
        <v>2018</v>
      </c>
      <c r="E118" s="1077">
        <v>2019</v>
      </c>
      <c r="F118" s="1077">
        <v>2020</v>
      </c>
      <c r="G118" s="1077">
        <v>2021</v>
      </c>
      <c r="H118" s="1077">
        <v>2022</v>
      </c>
      <c r="I118" s="1077">
        <v>2023</v>
      </c>
      <c r="J118" s="1077">
        <v>2024</v>
      </c>
      <c r="K118" s="1077">
        <v>2025</v>
      </c>
      <c r="L118" s="1077">
        <v>2026</v>
      </c>
      <c r="M118" s="1077">
        <v>2027</v>
      </c>
      <c r="N118" s="1077">
        <v>2028</v>
      </c>
    </row>
    <row r="119" spans="2:14">
      <c r="B119" s="1078" t="s">
        <v>349</v>
      </c>
      <c r="C119" s="1079">
        <v>468355277000</v>
      </c>
      <c r="D119" s="1079">
        <v>515875856000</v>
      </c>
      <c r="E119" s="1079">
        <v>492869463000</v>
      </c>
      <c r="F119" s="1079">
        <v>508164262000</v>
      </c>
      <c r="G119" s="1079">
        <v>695411103000</v>
      </c>
      <c r="H119" s="1079">
        <v>854711153000</v>
      </c>
      <c r="I119" s="1079">
        <v>739486999000</v>
      </c>
      <c r="J119" s="1079">
        <v>889617048000</v>
      </c>
      <c r="K119" s="1079"/>
      <c r="L119" s="1079"/>
      <c r="M119" s="1079"/>
      <c r="N119" s="1079"/>
    </row>
    <row r="120" spans="2:14">
      <c r="B120" s="1080" t="s">
        <v>534</v>
      </c>
      <c r="C120" s="1060">
        <v>-312934965000</v>
      </c>
      <c r="D120" s="1060">
        <v>-357033148000</v>
      </c>
      <c r="E120" s="1060">
        <v>-313665183000</v>
      </c>
      <c r="F120" s="1060">
        <v>-320353826000</v>
      </c>
      <c r="G120" s="1060">
        <v>-492482021000</v>
      </c>
      <c r="H120" s="1060">
        <v>-635706217000</v>
      </c>
      <c r="I120" s="1060">
        <v>-498948182000</v>
      </c>
      <c r="J120" s="1060">
        <v>-604719135000</v>
      </c>
      <c r="K120" s="1060"/>
      <c r="L120" s="1060"/>
      <c r="M120" s="1060"/>
      <c r="N120" s="1060"/>
    </row>
    <row r="121" spans="2:14">
      <c r="B121" s="1082" t="s">
        <v>422</v>
      </c>
      <c r="C121" s="1061">
        <f t="shared" ref="C121:F121" si="82">+C119+C120</f>
        <v>155420312000</v>
      </c>
      <c r="D121" s="1061">
        <f>+D119+D120</f>
        <v>158842708000</v>
      </c>
      <c r="E121" s="1061">
        <f t="shared" si="82"/>
        <v>179204280000</v>
      </c>
      <c r="F121" s="1061">
        <f t="shared" si="82"/>
        <v>187810436000</v>
      </c>
      <c r="G121" s="1061">
        <f>+G119+G120</f>
        <v>202929082000</v>
      </c>
      <c r="H121" s="1061">
        <f t="shared" ref="H121" si="83">+H119+H120</f>
        <v>219004936000</v>
      </c>
      <c r="I121" s="1061">
        <f>+I119+I120</f>
        <v>240538817000</v>
      </c>
      <c r="J121" s="1061">
        <f>J119+J120</f>
        <v>284897913000</v>
      </c>
      <c r="K121" s="1061"/>
      <c r="L121" s="1061"/>
      <c r="M121" s="1061"/>
      <c r="N121" s="1061"/>
    </row>
    <row r="122" spans="2:14">
      <c r="B122" s="1080" t="s">
        <v>773</v>
      </c>
      <c r="C122" s="1060">
        <v>257403000</v>
      </c>
      <c r="D122" s="1060">
        <v>294004000</v>
      </c>
      <c r="E122" s="1060">
        <v>857052000</v>
      </c>
      <c r="F122" s="1060">
        <v>735240000</v>
      </c>
      <c r="G122" s="1060">
        <v>693642000</v>
      </c>
      <c r="H122" s="1060">
        <v>787646000</v>
      </c>
      <c r="I122" s="1060">
        <v>1383207000</v>
      </c>
      <c r="J122" s="1060">
        <v>1333468000</v>
      </c>
      <c r="K122" s="1060"/>
      <c r="L122" s="1060"/>
      <c r="M122" s="1060"/>
      <c r="N122" s="1060"/>
    </row>
    <row r="123" spans="2:14">
      <c r="B123" s="1080" t="s">
        <v>510</v>
      </c>
      <c r="C123" s="1060">
        <v>-23517285000</v>
      </c>
      <c r="D123" s="1060">
        <v>-24515973000</v>
      </c>
      <c r="E123" s="1060">
        <v>-26716159000</v>
      </c>
      <c r="F123" s="1060">
        <v>-27985593000</v>
      </c>
      <c r="G123" s="1060">
        <v>-35761581000</v>
      </c>
      <c r="H123" s="1060">
        <v>-40965379000</v>
      </c>
      <c r="I123" s="1060">
        <v>-46189200000</v>
      </c>
      <c r="J123" s="1060">
        <v>-50245927000</v>
      </c>
      <c r="K123" s="1060"/>
      <c r="L123" s="1060"/>
      <c r="M123" s="1060"/>
      <c r="N123" s="1060"/>
    </row>
    <row r="124" spans="2:14">
      <c r="B124" s="1080" t="s">
        <v>508</v>
      </c>
      <c r="C124" s="1060">
        <v>-38711952000</v>
      </c>
      <c r="D124" s="1060">
        <v>-42698371000</v>
      </c>
      <c r="E124" s="1060">
        <v>-46777942000</v>
      </c>
      <c r="F124" s="1060">
        <v>-53781732000</v>
      </c>
      <c r="G124" s="1060">
        <v>-57645826000</v>
      </c>
      <c r="H124" s="1060">
        <v>-69605516000</v>
      </c>
      <c r="I124" s="1060">
        <v>-73076266000</v>
      </c>
      <c r="J124" s="1060">
        <v>-80367571000</v>
      </c>
      <c r="K124" s="1060"/>
      <c r="L124" s="1060"/>
      <c r="M124" s="1060"/>
      <c r="N124" s="1060"/>
    </row>
    <row r="125" spans="2:14">
      <c r="B125" s="1080" t="s">
        <v>537</v>
      </c>
      <c r="C125" s="1060">
        <v>-27574725000</v>
      </c>
      <c r="D125" s="1060">
        <v>-28566634000</v>
      </c>
      <c r="E125" s="1060">
        <v>-33571101000</v>
      </c>
      <c r="F125" s="1060">
        <v>-44875778000</v>
      </c>
      <c r="G125" s="1060">
        <v>-43244192000</v>
      </c>
      <c r="H125" s="1060">
        <v>-45775313000</v>
      </c>
      <c r="I125" s="1060">
        <v>-47108794000</v>
      </c>
      <c r="J125" s="1060">
        <v>-53877099000</v>
      </c>
      <c r="K125" s="1060"/>
      <c r="L125" s="1060"/>
      <c r="M125" s="1060"/>
      <c r="N125" s="1060"/>
    </row>
    <row r="126" spans="2:14">
      <c r="B126" s="1082" t="s">
        <v>428</v>
      </c>
      <c r="C126" s="1061">
        <f t="shared" ref="C126:G126" si="84">+C121+C125+C122+C123+C124</f>
        <v>65873753000</v>
      </c>
      <c r="D126" s="1061">
        <f t="shared" si="84"/>
        <v>63355734000</v>
      </c>
      <c r="E126" s="1061">
        <f t="shared" si="84"/>
        <v>72996130000</v>
      </c>
      <c r="F126" s="1061">
        <f t="shared" si="84"/>
        <v>61902573000</v>
      </c>
      <c r="G126" s="1061">
        <f t="shared" si="84"/>
        <v>66971125000</v>
      </c>
      <c r="H126" s="1061">
        <f>+H121+H125+H122+H123+H124</f>
        <v>63446374000</v>
      </c>
      <c r="I126" s="1061">
        <f>+I121+I125+I122+I123+I124</f>
        <v>75547764000</v>
      </c>
      <c r="J126" s="1061">
        <f>J121+J122+J123+J124+J125</f>
        <v>101740784000</v>
      </c>
      <c r="K126" s="1061"/>
      <c r="L126" s="1061"/>
      <c r="M126" s="1061"/>
      <c r="N126" s="1061"/>
    </row>
    <row r="127" spans="2:14">
      <c r="B127" s="1080" t="s">
        <v>429</v>
      </c>
      <c r="C127" s="1060">
        <v>993991000</v>
      </c>
      <c r="D127" s="1060">
        <v>1429913000</v>
      </c>
      <c r="E127" s="1060">
        <v>786289000</v>
      </c>
      <c r="F127" s="1060">
        <v>1201113000</v>
      </c>
      <c r="G127" s="1081">
        <v>4571803000</v>
      </c>
      <c r="H127" s="1081">
        <v>2906083000</v>
      </c>
      <c r="I127" s="1081">
        <v>5775178000</v>
      </c>
      <c r="J127" s="1081">
        <v>9272950000</v>
      </c>
      <c r="K127" s="1081"/>
      <c r="L127" s="1081"/>
      <c r="M127" s="1081"/>
      <c r="N127" s="1081"/>
    </row>
    <row r="128" spans="2:14">
      <c r="B128" s="1080" t="s">
        <v>430</v>
      </c>
      <c r="C128" s="1060">
        <v>-5585434000</v>
      </c>
      <c r="D128" s="1060">
        <v>-6401890000</v>
      </c>
      <c r="E128" s="1060">
        <v>-8915114000</v>
      </c>
      <c r="F128" s="1060">
        <v>-9369643000</v>
      </c>
      <c r="G128" s="1081">
        <v>-11577905000</v>
      </c>
      <c r="H128" s="1081">
        <v>-15902229000</v>
      </c>
      <c r="I128" s="1081">
        <v>-23839692000</v>
      </c>
      <c r="J128" s="1081">
        <v>-19289053000</v>
      </c>
      <c r="K128" s="1081"/>
      <c r="L128" s="1081"/>
      <c r="M128" s="1081"/>
      <c r="N128" s="1081"/>
    </row>
    <row r="129" spans="2:14">
      <c r="B129" s="1080" t="s">
        <v>431</v>
      </c>
      <c r="C129" s="1060"/>
      <c r="D129" s="1060"/>
      <c r="E129" s="1060"/>
      <c r="F129" s="1060"/>
      <c r="G129" s="1081">
        <v>0</v>
      </c>
      <c r="H129" s="1081">
        <v>-73654000</v>
      </c>
      <c r="I129" s="1081">
        <v>-1076815000</v>
      </c>
      <c r="J129" s="1081">
        <v>-531151000</v>
      </c>
      <c r="K129" s="1081"/>
      <c r="L129" s="1081"/>
      <c r="M129" s="1081"/>
      <c r="N129" s="1081"/>
    </row>
    <row r="130" spans="2:14">
      <c r="B130" s="1080" t="s">
        <v>432</v>
      </c>
      <c r="C130" s="1060">
        <v>-2703000</v>
      </c>
      <c r="D130" s="1060">
        <v>67117000</v>
      </c>
      <c r="E130" s="1060">
        <v>-164952000</v>
      </c>
      <c r="F130" s="1060">
        <v>-939254000</v>
      </c>
      <c r="G130" s="1081">
        <v>1281511000</v>
      </c>
      <c r="H130" s="1081">
        <v>773001000</v>
      </c>
      <c r="I130" s="1081">
        <v>-106872000</v>
      </c>
      <c r="J130" s="1081">
        <v>-567306000</v>
      </c>
      <c r="K130" s="1081"/>
      <c r="L130" s="1081"/>
      <c r="M130" s="1081"/>
      <c r="N130" s="1081"/>
    </row>
    <row r="131" spans="2:14">
      <c r="B131" s="1080" t="s">
        <v>433</v>
      </c>
      <c r="C131" s="1060">
        <v>-1908257000</v>
      </c>
      <c r="D131" s="1060">
        <v>-3208587000</v>
      </c>
      <c r="E131" s="1060">
        <v>-2022971000</v>
      </c>
      <c r="F131" s="1060">
        <v>-4052380000</v>
      </c>
      <c r="G131" s="1081">
        <v>-1367598000</v>
      </c>
      <c r="H131" s="1081">
        <v>4212235000</v>
      </c>
      <c r="I131" s="1081">
        <v>1543738000</v>
      </c>
      <c r="J131" s="1081">
        <v>2622445000</v>
      </c>
      <c r="K131" s="1081"/>
      <c r="L131" s="1081"/>
      <c r="M131" s="1081"/>
      <c r="N131" s="1081"/>
    </row>
    <row r="132" spans="2:14">
      <c r="B132" s="1080" t="s">
        <v>357</v>
      </c>
      <c r="C132" s="1060">
        <v>-710921000</v>
      </c>
      <c r="D132" s="1060">
        <v>2202797000</v>
      </c>
      <c r="E132" s="1060">
        <v>-4542254000</v>
      </c>
      <c r="F132" s="1060">
        <v>-1215460000</v>
      </c>
      <c r="G132" s="1081">
        <v>4800411000</v>
      </c>
      <c r="H132" s="1081">
        <v>1271415000</v>
      </c>
      <c r="I132" s="1081">
        <v>-2899226000</v>
      </c>
      <c r="J132" s="1081">
        <v>-3986394000</v>
      </c>
      <c r="K132" s="1081"/>
      <c r="L132" s="1081"/>
      <c r="M132" s="1081"/>
      <c r="N132" s="1081"/>
    </row>
    <row r="133" spans="2:14">
      <c r="B133" s="1082" t="s">
        <v>362</v>
      </c>
      <c r="C133" s="1061">
        <f t="shared" ref="C133:G133" si="85">+C126+C127+C128+C129+C130+C131+C132</f>
        <v>58660429000</v>
      </c>
      <c r="D133" s="1061">
        <f t="shared" si="85"/>
        <v>57445084000</v>
      </c>
      <c r="E133" s="1061">
        <f t="shared" si="85"/>
        <v>58137128000</v>
      </c>
      <c r="F133" s="1061">
        <f t="shared" si="85"/>
        <v>47526949000</v>
      </c>
      <c r="G133" s="1061">
        <f t="shared" si="85"/>
        <v>64679347000</v>
      </c>
      <c r="H133" s="1061">
        <f>+H126+H127+H128+H129+H130+H131+H132</f>
        <v>56633225000</v>
      </c>
      <c r="I133" s="1061">
        <f>+I126+I127+I128+I129+I130+I131+I132</f>
        <v>54944075000</v>
      </c>
      <c r="J133" s="1061">
        <v>89262275000</v>
      </c>
      <c r="K133" s="1061"/>
      <c r="L133" s="1061"/>
      <c r="M133" s="1061"/>
      <c r="N133" s="1061"/>
    </row>
    <row r="134" spans="2:14">
      <c r="B134" s="1080" t="s">
        <v>363</v>
      </c>
      <c r="C134" s="1060">
        <v>-16001643000</v>
      </c>
      <c r="D134" s="1060">
        <v>-15802472000</v>
      </c>
      <c r="E134" s="1060">
        <v>-17663851000</v>
      </c>
      <c r="F134" s="1060">
        <v>-12529706000</v>
      </c>
      <c r="G134" s="1083">
        <v>-18545202000</v>
      </c>
      <c r="H134" s="1083">
        <v>-16724837000</v>
      </c>
      <c r="I134" s="1083">
        <v>-16844075000</v>
      </c>
      <c r="J134" s="1083">
        <v>-26210414000</v>
      </c>
      <c r="K134" s="1083"/>
      <c r="L134" s="1083"/>
      <c r="M134" s="1083"/>
      <c r="N134" s="1083"/>
    </row>
    <row r="135" spans="2:14">
      <c r="B135" s="1084" t="s">
        <v>365</v>
      </c>
      <c r="C135" s="1085">
        <f t="shared" ref="C135:G135" si="86">+C133+C134</f>
        <v>42658786000</v>
      </c>
      <c r="D135" s="1085">
        <f t="shared" si="86"/>
        <v>41642612000</v>
      </c>
      <c r="E135" s="1085">
        <f t="shared" si="86"/>
        <v>40473277000</v>
      </c>
      <c r="F135" s="1085">
        <f t="shared" si="86"/>
        <v>34997243000</v>
      </c>
      <c r="G135" s="1085">
        <f t="shared" si="86"/>
        <v>46134145000</v>
      </c>
      <c r="H135" s="1085">
        <f>+H133+H134</f>
        <v>39908388000</v>
      </c>
      <c r="I135" s="1085">
        <v>38074832000</v>
      </c>
      <c r="J135" s="1085">
        <v>63051861000</v>
      </c>
      <c r="K135" s="1085"/>
      <c r="L135" s="1085"/>
      <c r="M135" s="1085"/>
      <c r="N135" s="1085"/>
    </row>
    <row r="136" spans="2:14">
      <c r="B136" s="1086" t="s">
        <v>435</v>
      </c>
      <c r="C136" s="1060">
        <v>103231000</v>
      </c>
      <c r="D136" s="1060">
        <v>362922000</v>
      </c>
      <c r="E136" s="1060">
        <v>1030678000</v>
      </c>
      <c r="F136" s="1060">
        <v>731570000</v>
      </c>
      <c r="G136" s="1083">
        <v>512144000</v>
      </c>
      <c r="H136" s="1083">
        <v>691112000</v>
      </c>
      <c r="I136" s="1083">
        <v>78673000</v>
      </c>
      <c r="J136" s="1083">
        <v>1051751000</v>
      </c>
      <c r="K136" s="1083"/>
      <c r="L136" s="1083"/>
      <c r="M136" s="1083"/>
      <c r="N136" s="1083"/>
    </row>
    <row r="137" spans="2:14">
      <c r="B137" s="1084" t="s">
        <v>436</v>
      </c>
      <c r="C137" s="1061">
        <v>42555555000</v>
      </c>
      <c r="D137" s="1061">
        <v>41279690000</v>
      </c>
      <c r="E137" s="1061">
        <v>39442599000</v>
      </c>
      <c r="F137" s="1067">
        <v>34265673000</v>
      </c>
      <c r="G137" s="1067">
        <v>45622001000</v>
      </c>
      <c r="H137" s="1067">
        <v>39217276000</v>
      </c>
      <c r="I137" s="1067">
        <v>38074832000</v>
      </c>
      <c r="J137" s="1067">
        <v>63051861000</v>
      </c>
      <c r="K137" s="1067"/>
      <c r="L137" s="1067"/>
      <c r="M137" s="1067"/>
      <c r="N137" s="1067"/>
    </row>
    <row r="138" spans="2:14">
      <c r="B138" s="1087" t="s">
        <v>159</v>
      </c>
      <c r="C138" s="1060">
        <v>374.69</v>
      </c>
      <c r="D138" s="1060">
        <v>363.46</v>
      </c>
      <c r="E138" s="1060">
        <v>347.28</v>
      </c>
      <c r="F138" s="1060">
        <v>301.7</v>
      </c>
      <c r="G138" s="1061">
        <v>401.69</v>
      </c>
      <c r="H138" s="1061">
        <v>345.3</v>
      </c>
      <c r="I138" s="1061">
        <v>334.55</v>
      </c>
      <c r="J138" s="1067">
        <f>J137/113574515</f>
        <v>555.15853182379863</v>
      </c>
      <c r="K138" s="1061"/>
      <c r="L138" s="1061"/>
      <c r="M138" s="1061"/>
      <c r="N138" s="1061"/>
    </row>
    <row r="140" spans="2:14">
      <c r="B140" s="1056" t="s">
        <v>367</v>
      </c>
    </row>
    <row r="141" spans="2:14">
      <c r="B141" s="1076" t="s">
        <v>308</v>
      </c>
      <c r="C141" s="1077">
        <v>2017</v>
      </c>
      <c r="D141" s="1077">
        <v>2018</v>
      </c>
      <c r="E141" s="1077">
        <v>2019</v>
      </c>
      <c r="F141" s="1077">
        <v>2020</v>
      </c>
      <c r="G141" s="1077">
        <v>2021</v>
      </c>
      <c r="H141" s="1077">
        <v>2022</v>
      </c>
      <c r="I141" s="1077">
        <v>2023</v>
      </c>
      <c r="J141" s="1077">
        <v>2024</v>
      </c>
      <c r="K141" s="1077">
        <v>2025</v>
      </c>
      <c r="L141" s="1077">
        <v>2026</v>
      </c>
      <c r="M141" s="1077">
        <v>2027</v>
      </c>
      <c r="N141" s="1077">
        <v>2028</v>
      </c>
    </row>
    <row r="142" spans="2:14">
      <c r="B142" s="1078" t="s">
        <v>368</v>
      </c>
      <c r="C142" s="1079">
        <v>74211353000</v>
      </c>
      <c r="D142" s="1079">
        <v>68235773000</v>
      </c>
      <c r="E142" s="1079">
        <v>105914915000</v>
      </c>
      <c r="F142" s="1079">
        <v>96680118000</v>
      </c>
      <c r="G142" s="1079">
        <v>91095591000</v>
      </c>
      <c r="H142" s="1079">
        <v>99383088000</v>
      </c>
      <c r="I142" s="1079">
        <v>143029701000</v>
      </c>
      <c r="J142" s="1079">
        <v>119913708000</v>
      </c>
      <c r="K142" s="1079"/>
      <c r="L142" s="1079"/>
      <c r="M142" s="1079"/>
      <c r="N142" s="1079"/>
    </row>
    <row r="143" spans="2:14">
      <c r="B143" s="1082" t="s">
        <v>369</v>
      </c>
      <c r="C143" s="1083">
        <v>-46193898000</v>
      </c>
      <c r="D143" s="1088">
        <v>-52946449000</v>
      </c>
      <c r="E143" s="1088">
        <v>-52894600000</v>
      </c>
      <c r="F143" s="1060">
        <v>-46872273000</v>
      </c>
      <c r="G143" s="1088">
        <v>-33270241000</v>
      </c>
      <c r="H143" s="1088">
        <v>-41158930000</v>
      </c>
      <c r="I143" s="1088">
        <v>-43298294000</v>
      </c>
      <c r="J143" s="1088">
        <v>-54043667000</v>
      </c>
      <c r="K143" s="1088"/>
      <c r="L143" s="1088"/>
      <c r="M143" s="1088"/>
      <c r="N143" s="1088"/>
    </row>
    <row r="144" spans="2:14">
      <c r="B144" s="1080" t="s">
        <v>370</v>
      </c>
      <c r="C144" s="1088">
        <v>-42730062000</v>
      </c>
      <c r="D144" s="1088">
        <v>-47076242000</v>
      </c>
      <c r="E144" s="1088">
        <v>-46228824000</v>
      </c>
      <c r="F144" s="1088">
        <v>-37459198000</v>
      </c>
      <c r="G144" s="1088">
        <v>-39704485000</v>
      </c>
      <c r="H144" s="1088">
        <v>-37772493000</v>
      </c>
      <c r="I144" s="1088">
        <v>-38006113000</v>
      </c>
      <c r="J144" s="1088">
        <v>-51330530000</v>
      </c>
      <c r="K144" s="1088"/>
      <c r="L144" s="1088"/>
      <c r="M144" s="1088"/>
      <c r="N144" s="1088"/>
    </row>
    <row r="145" spans="2:14">
      <c r="B145" s="1082" t="s">
        <v>372</v>
      </c>
      <c r="C145" s="1089">
        <v>-39050815000</v>
      </c>
      <c r="D145" s="1089">
        <v>-8413254000</v>
      </c>
      <c r="E145" s="1061">
        <v>-49765892000</v>
      </c>
      <c r="F145" s="1089">
        <v>-5875510000</v>
      </c>
      <c r="G145" s="1089">
        <v>-73090144000</v>
      </c>
      <c r="H145" s="1089">
        <v>-58930749000</v>
      </c>
      <c r="I145" s="1089">
        <v>-31106660000</v>
      </c>
      <c r="J145" s="1089">
        <v>-84895802000</v>
      </c>
      <c r="K145" s="1089"/>
      <c r="L145" s="1089"/>
      <c r="M145" s="1089"/>
      <c r="N145" s="1089"/>
    </row>
    <row r="146" spans="2:14">
      <c r="B146" s="1080" t="s">
        <v>373</v>
      </c>
      <c r="C146" s="1088">
        <v>-32255163000</v>
      </c>
      <c r="D146" s="1088">
        <v>-3412338900</v>
      </c>
      <c r="E146" s="1060">
        <v>-34669388000</v>
      </c>
      <c r="F146" s="1088">
        <v>-27452605000</v>
      </c>
      <c r="G146" s="1088">
        <v>-53604382000</v>
      </c>
      <c r="H146" s="1088">
        <v>-27473193000</v>
      </c>
      <c r="I146" s="1088">
        <v>-32336132000</v>
      </c>
      <c r="J146" s="1088">
        <v>-46906273000</v>
      </c>
      <c r="K146" s="1088"/>
      <c r="L146" s="1088"/>
      <c r="M146" s="1088"/>
      <c r="N146" s="1088"/>
    </row>
    <row r="147" spans="2:14">
      <c r="B147" s="1080" t="s">
        <v>374</v>
      </c>
      <c r="C147" s="1088">
        <v>-4971658000</v>
      </c>
      <c r="D147" s="1088">
        <v>-4942980000</v>
      </c>
      <c r="E147" s="1060">
        <v>-6363804000</v>
      </c>
      <c r="F147" s="1088">
        <v>-6864064000</v>
      </c>
      <c r="G147" s="1088">
        <v>-9555802000</v>
      </c>
      <c r="H147" s="1088">
        <v>-12630693000</v>
      </c>
      <c r="I147" s="1088">
        <v>-12854082000</v>
      </c>
      <c r="J147" s="1088">
        <v>-15050091000</v>
      </c>
      <c r="K147" s="1088"/>
      <c r="L147" s="1088"/>
      <c r="M147" s="1088"/>
      <c r="N147" s="1088"/>
    </row>
    <row r="148" spans="2:14">
      <c r="B148" s="1082" t="s">
        <v>375</v>
      </c>
      <c r="C148" s="1061">
        <v>6929613000</v>
      </c>
      <c r="D148" s="1061">
        <v>13883383000</v>
      </c>
      <c r="E148" s="1061">
        <v>17040145000</v>
      </c>
      <c r="F148" s="1061">
        <v>62317022000</v>
      </c>
      <c r="G148" s="1061">
        <v>45778257000</v>
      </c>
      <c r="H148" s="1061">
        <v>45297769000</v>
      </c>
      <c r="I148" s="1061">
        <v>115597511000</v>
      </c>
      <c r="J148" s="1061">
        <v>97949747000</v>
      </c>
      <c r="K148" s="1061"/>
      <c r="L148" s="1061"/>
      <c r="M148" s="1061"/>
      <c r="N148" s="1061"/>
    </row>
    <row r="149" spans="2:14">
      <c r="B149" s="1080"/>
      <c r="C149" s="1060"/>
      <c r="D149" s="1060"/>
      <c r="E149" s="1060"/>
      <c r="F149" s="1060"/>
      <c r="G149" s="1060"/>
      <c r="H149" s="1060"/>
      <c r="I149" s="1060"/>
      <c r="J149" s="1060"/>
      <c r="K149" s="1060"/>
      <c r="L149" s="1060"/>
      <c r="M149" s="1060"/>
      <c r="N149" s="1060"/>
    </row>
    <row r="150" spans="2:14">
      <c r="B150" s="1084" t="s">
        <v>376</v>
      </c>
      <c r="C150" s="1081">
        <f t="shared" ref="C150:G150" si="87">+C142+C144+C147</f>
        <v>26509633000</v>
      </c>
      <c r="D150" s="1081">
        <f t="shared" si="87"/>
        <v>16216551000</v>
      </c>
      <c r="E150" s="1081">
        <f t="shared" si="87"/>
        <v>53322287000</v>
      </c>
      <c r="F150" s="1081">
        <f t="shared" si="87"/>
        <v>52356856000</v>
      </c>
      <c r="G150" s="1081">
        <f t="shared" si="87"/>
        <v>41835304000</v>
      </c>
      <c r="H150" s="1081">
        <f>+H142+H144+H147</f>
        <v>48979902000</v>
      </c>
      <c r="I150" s="1081">
        <f>+I142+I144+I147</f>
        <v>92169506000</v>
      </c>
      <c r="J150" s="1081">
        <f>+J142+J144+J147</f>
        <v>53533087000</v>
      </c>
      <c r="K150" s="1081">
        <f t="shared" ref="K150:N150" si="88">+K142+K144+K147</f>
        <v>0</v>
      </c>
      <c r="L150" s="1081">
        <f t="shared" si="88"/>
        <v>0</v>
      </c>
      <c r="M150" s="1081">
        <f t="shared" si="88"/>
        <v>0</v>
      </c>
      <c r="N150" s="1081">
        <f t="shared" si="88"/>
        <v>0</v>
      </c>
    </row>
  </sheetData>
  <conditionalFormatting sqref="C67:I73 D74:I74 C75:I108">
    <cfRule type="cellIs" dxfId="98" priority="20" operator="lessThan">
      <formula>0</formula>
    </cfRule>
  </conditionalFormatting>
  <conditionalFormatting sqref="C119:N138">
    <cfRule type="cellIs" dxfId="97" priority="2" operator="lessThan">
      <formula>0</formula>
    </cfRule>
  </conditionalFormatting>
  <conditionalFormatting sqref="C142:N150">
    <cfRule type="cellIs" dxfId="96" priority="1" operator="lessThan">
      <formula>0</formula>
    </cfRule>
  </conditionalFormatting>
  <conditionalFormatting sqref="J67:N108 C110:N115">
    <cfRule type="cellIs" dxfId="95" priority="3" operator="lessThan">
      <formula>0</formula>
    </cfRule>
  </conditionalFormatting>
  <pageMargins left="0.7" right="0.7" top="0.75" bottom="0.75" header="0.3" footer="0.3"/>
  <pageSetup paperSize="9" orientation="portrait" r:id="rId1"/>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BCAA-372A-4404-92A0-AA6D75352566}">
  <dimension ref="B2:P143"/>
  <sheetViews>
    <sheetView zoomScale="70" zoomScaleNormal="70" workbookViewId="0">
      <pane xSplit="2" ySplit="6" topLeftCell="F10" activePane="bottomRight" state="frozen"/>
      <selection pane="bottomRight" activeCell="N6" sqref="N6"/>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6" width="33.28515625" customWidth="1"/>
    <col min="7" max="7" width="36.28515625" customWidth="1"/>
    <col min="8" max="8" width="35.7109375" customWidth="1"/>
    <col min="9" max="9" width="35.7109375" bestFit="1" customWidth="1"/>
    <col min="10" max="14" width="25.42578125" bestFit="1" customWidth="1"/>
  </cols>
  <sheetData>
    <row r="2" spans="2:14" ht="21">
      <c r="B2" s="313">
        <f ca="1">TODAY()-1</f>
        <v>46105</v>
      </c>
      <c r="C2" s="314"/>
      <c r="D2" s="344" t="s">
        <v>265</v>
      </c>
      <c r="E2" s="345" t="s">
        <v>266</v>
      </c>
    </row>
    <row r="3" spans="2:14" ht="25.5">
      <c r="B3" s="315" cm="1">
        <f t="array" aca="1" ref="B3" ca="1">_FV(B6,"Precio")</f>
        <v>118.3</v>
      </c>
      <c r="C3" s="316"/>
      <c r="D3" s="346">
        <f>AVERAGE(G45:I45)</f>
        <v>3.1666666666666665</v>
      </c>
      <c r="E3" s="346">
        <f>AVERAGE(G44:I44)</f>
        <v>3.6633333333333336</v>
      </c>
    </row>
    <row r="4" spans="2:14" ht="28.5">
      <c r="B4" s="319"/>
      <c r="C4" s="320"/>
      <c r="D4" s="328"/>
      <c r="E4" s="328"/>
    </row>
    <row r="6" spans="2:14" ht="33.4">
      <c r="B6" s="3" t="e" vm="42">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110018172000</v>
      </c>
      <c r="D7" s="5">
        <f t="shared" ref="D7:I7" si="0">+D61</f>
        <v>128552465000</v>
      </c>
      <c r="E7" s="5">
        <f t="shared" si="0"/>
        <v>157463676000</v>
      </c>
      <c r="F7" s="5">
        <f t="shared" si="0"/>
        <v>139377093000</v>
      </c>
      <c r="G7" s="5">
        <f t="shared" si="0"/>
        <v>165908394000</v>
      </c>
      <c r="H7" s="5">
        <f t="shared" si="0"/>
        <v>166763246000</v>
      </c>
      <c r="I7" s="5">
        <f t="shared" si="0"/>
        <v>161553751000</v>
      </c>
      <c r="J7" s="5">
        <f t="shared" ref="J7:N7" si="1">+J61</f>
        <v>0</v>
      </c>
      <c r="K7" s="5">
        <f t="shared" si="1"/>
        <v>0</v>
      </c>
      <c r="L7" s="5">
        <f t="shared" si="1"/>
        <v>0</v>
      </c>
      <c r="M7" s="5">
        <f t="shared" si="1"/>
        <v>0</v>
      </c>
      <c r="N7" s="5">
        <f t="shared" si="1"/>
        <v>0</v>
      </c>
    </row>
    <row r="8" spans="2:14" ht="25.5">
      <c r="B8" s="146" t="s">
        <v>377</v>
      </c>
      <c r="C8" s="147">
        <f>+C65</f>
        <v>16997876000</v>
      </c>
      <c r="D8" s="147">
        <f t="shared" ref="D8:I8" si="2">+D65</f>
        <v>33584714000</v>
      </c>
      <c r="E8" s="147">
        <f t="shared" si="2"/>
        <v>25114634000</v>
      </c>
      <c r="F8" s="147">
        <f t="shared" si="2"/>
        <v>14823775000</v>
      </c>
      <c r="G8" s="147">
        <f t="shared" si="2"/>
        <v>44352665000</v>
      </c>
      <c r="H8" s="147">
        <f t="shared" si="2"/>
        <v>22112410000</v>
      </c>
      <c r="I8" s="147">
        <f t="shared" si="2"/>
        <v>25610044000</v>
      </c>
      <c r="J8" s="147">
        <f t="shared" ref="J8:N8" si="3">+J65</f>
        <v>0</v>
      </c>
      <c r="K8" s="147">
        <f t="shared" si="3"/>
        <v>0</v>
      </c>
      <c r="L8" s="147">
        <f t="shared" si="3"/>
        <v>0</v>
      </c>
      <c r="M8" s="147">
        <f t="shared" si="3"/>
        <v>0</v>
      </c>
      <c r="N8" s="147">
        <f t="shared" si="3"/>
        <v>0</v>
      </c>
    </row>
    <row r="9" spans="2:14" ht="25.5">
      <c r="B9" s="146" t="s">
        <v>378</v>
      </c>
      <c r="C9" s="147">
        <f>+C67</f>
        <v>76796138000</v>
      </c>
      <c r="D9" s="147">
        <f t="shared" ref="D9:I9" si="4">+D67</f>
        <v>77380685000</v>
      </c>
      <c r="E9" s="147">
        <f t="shared" si="4"/>
        <v>96545434000</v>
      </c>
      <c r="F9" s="147">
        <f t="shared" si="4"/>
        <v>88704383000</v>
      </c>
      <c r="G9" s="147">
        <f t="shared" si="4"/>
        <v>86304475000</v>
      </c>
      <c r="H9" s="147">
        <f t="shared" si="4"/>
        <v>91010118000</v>
      </c>
      <c r="I9" s="147">
        <f t="shared" si="4"/>
        <v>96504005000</v>
      </c>
      <c r="J9" s="147">
        <f t="shared" ref="J9:N9" si="5">+J67</f>
        <v>0</v>
      </c>
      <c r="K9" s="147">
        <f t="shared" si="5"/>
        <v>0</v>
      </c>
      <c r="L9" s="147">
        <f t="shared" si="5"/>
        <v>0</v>
      </c>
      <c r="M9" s="147">
        <f t="shared" si="5"/>
        <v>0</v>
      </c>
      <c r="N9" s="147">
        <f t="shared" si="5"/>
        <v>0</v>
      </c>
    </row>
    <row r="10" spans="2:14" ht="25.5">
      <c r="B10" s="4" t="s">
        <v>379</v>
      </c>
      <c r="C10" s="5">
        <f>+C70</f>
        <v>179352190000</v>
      </c>
      <c r="D10" s="5">
        <f t="shared" ref="D10:I10" si="6">+D70</f>
        <v>172450972000</v>
      </c>
      <c r="E10" s="5">
        <f t="shared" si="6"/>
        <v>177355917000</v>
      </c>
      <c r="F10" s="5">
        <f t="shared" si="6"/>
        <v>176523635000</v>
      </c>
      <c r="G10" s="5">
        <f t="shared" si="6"/>
        <v>169564875000</v>
      </c>
      <c r="H10" s="5">
        <f t="shared" si="6"/>
        <v>187584331000</v>
      </c>
      <c r="I10" s="5">
        <f t="shared" si="6"/>
        <v>1863667970000</v>
      </c>
      <c r="J10" s="5">
        <f t="shared" ref="J10:N10" si="7">+J70</f>
        <v>0</v>
      </c>
      <c r="K10" s="5">
        <f t="shared" si="7"/>
        <v>0</v>
      </c>
      <c r="L10" s="5">
        <f t="shared" si="7"/>
        <v>0</v>
      </c>
      <c r="M10" s="5">
        <f t="shared" si="7"/>
        <v>0</v>
      </c>
      <c r="N10" s="5">
        <f t="shared" si="7"/>
        <v>0</v>
      </c>
    </row>
    <row r="11" spans="2:14" ht="25.5">
      <c r="B11" s="8" t="s">
        <v>272</v>
      </c>
      <c r="C11" s="9">
        <f>+C10+C7</f>
        <v>289370362000</v>
      </c>
      <c r="D11" s="9">
        <f t="shared" ref="D11:I11" si="8">+D10+D7</f>
        <v>301003437000</v>
      </c>
      <c r="E11" s="9">
        <f t="shared" si="8"/>
        <v>334819593000</v>
      </c>
      <c r="F11" s="9">
        <f t="shared" si="8"/>
        <v>315900728000</v>
      </c>
      <c r="G11" s="9">
        <f t="shared" si="8"/>
        <v>335473269000</v>
      </c>
      <c r="H11" s="9">
        <f t="shared" si="8"/>
        <v>354347577000</v>
      </c>
      <c r="I11" s="9">
        <f t="shared" si="8"/>
        <v>2025221721000</v>
      </c>
      <c r="J11" s="9">
        <f t="shared" ref="J11:N11" si="9">+J10+J7</f>
        <v>0</v>
      </c>
      <c r="K11" s="9">
        <f t="shared" si="9"/>
        <v>0</v>
      </c>
      <c r="L11" s="9">
        <f t="shared" si="9"/>
        <v>0</v>
      </c>
      <c r="M11" s="9">
        <f t="shared" si="9"/>
        <v>0</v>
      </c>
      <c r="N11" s="9">
        <f t="shared" si="9"/>
        <v>0</v>
      </c>
    </row>
    <row r="12" spans="2:14" ht="25.5">
      <c r="B12" s="10" t="s">
        <v>273</v>
      </c>
      <c r="C12" s="11">
        <f>+C84</f>
        <v>73358827000</v>
      </c>
      <c r="D12" s="11">
        <f t="shared" ref="D12:I12" si="10">+D84</f>
        <v>92703436000</v>
      </c>
      <c r="E12" s="11">
        <f t="shared" si="10"/>
        <v>101738196000</v>
      </c>
      <c r="F12" s="11">
        <f t="shared" si="10"/>
        <v>94357131000</v>
      </c>
      <c r="G12" s="11">
        <f t="shared" si="10"/>
        <v>94403447000</v>
      </c>
      <c r="H12" s="11">
        <f t="shared" si="10"/>
        <v>114204498000</v>
      </c>
      <c r="I12" s="11">
        <f t="shared" si="10"/>
        <v>97759299000</v>
      </c>
      <c r="J12" s="11">
        <f t="shared" ref="J12:N12" si="11">+J84</f>
        <v>0</v>
      </c>
      <c r="K12" s="11">
        <f t="shared" si="11"/>
        <v>0</v>
      </c>
      <c r="L12" s="11">
        <f t="shared" si="11"/>
        <v>0</v>
      </c>
      <c r="M12" s="11">
        <f t="shared" si="11"/>
        <v>0</v>
      </c>
      <c r="N12" s="11">
        <f t="shared" si="11"/>
        <v>0</v>
      </c>
    </row>
    <row r="13" spans="2:14" ht="25.5">
      <c r="B13" s="10" t="s">
        <v>274</v>
      </c>
      <c r="C13" s="11">
        <f>+C94</f>
        <v>66266968000</v>
      </c>
      <c r="D13" s="11">
        <f t="shared" ref="D13:I13" si="12">+D94</f>
        <v>58631551000</v>
      </c>
      <c r="E13" s="11">
        <f t="shared" si="12"/>
        <v>64192791000</v>
      </c>
      <c r="F13" s="11">
        <f t="shared" si="12"/>
        <v>57132701000</v>
      </c>
      <c r="G13" s="11">
        <f t="shared" si="12"/>
        <v>71163363000</v>
      </c>
      <c r="H13" s="11">
        <f t="shared" si="12"/>
        <v>69684735000</v>
      </c>
      <c r="I13" s="11">
        <f t="shared" si="12"/>
        <v>77288132000</v>
      </c>
      <c r="J13" s="11">
        <f t="shared" ref="J13:N13" si="13">+J94</f>
        <v>0</v>
      </c>
      <c r="K13" s="11">
        <f t="shared" si="13"/>
        <v>0</v>
      </c>
      <c r="L13" s="11">
        <f t="shared" si="13"/>
        <v>0</v>
      </c>
      <c r="M13" s="11">
        <f t="shared" si="13"/>
        <v>0</v>
      </c>
      <c r="N13" s="11">
        <f t="shared" si="13"/>
        <v>0</v>
      </c>
    </row>
    <row r="14" spans="2:14" ht="25.5">
      <c r="B14" s="12" t="s">
        <v>275</v>
      </c>
      <c r="C14" s="13">
        <f>+C12+C13</f>
        <v>139625795000</v>
      </c>
      <c r="D14" s="13">
        <f t="shared" ref="D14:I14" si="14">+D12+D13</f>
        <v>151334987000</v>
      </c>
      <c r="E14" s="13">
        <f t="shared" si="14"/>
        <v>165930987000</v>
      </c>
      <c r="F14" s="13">
        <f t="shared" si="14"/>
        <v>151489832000</v>
      </c>
      <c r="G14" s="13">
        <f t="shared" si="14"/>
        <v>165566810000</v>
      </c>
      <c r="H14" s="13">
        <f t="shared" si="14"/>
        <v>183889233000</v>
      </c>
      <c r="I14" s="13">
        <f t="shared" si="14"/>
        <v>175047431000</v>
      </c>
      <c r="J14" s="13">
        <f t="shared" ref="J14:N14" si="15">+J12+J13</f>
        <v>0</v>
      </c>
      <c r="K14" s="13">
        <f t="shared" si="15"/>
        <v>0</v>
      </c>
      <c r="L14" s="13">
        <f t="shared" si="15"/>
        <v>0</v>
      </c>
      <c r="M14" s="13">
        <f t="shared" si="15"/>
        <v>0</v>
      </c>
      <c r="N14" s="13">
        <f t="shared" si="15"/>
        <v>0</v>
      </c>
    </row>
    <row r="15" spans="2:14" ht="25.5">
      <c r="B15" s="14" t="s">
        <v>276</v>
      </c>
      <c r="C15" s="15">
        <f>+C108</f>
        <v>141942732000</v>
      </c>
      <c r="D15" s="15">
        <f t="shared" ref="D15:I15" si="16">+D108</f>
        <v>113073518000</v>
      </c>
      <c r="E15" s="15">
        <f t="shared" si="16"/>
        <v>132460668000</v>
      </c>
      <c r="F15" s="15">
        <f t="shared" si="16"/>
        <v>128379120000</v>
      </c>
      <c r="G15" s="15">
        <f t="shared" si="16"/>
        <v>133822785000</v>
      </c>
      <c r="H15" s="15">
        <f t="shared" si="16"/>
        <v>139760626000</v>
      </c>
      <c r="I15" s="15">
        <f t="shared" si="16"/>
        <v>142265376000</v>
      </c>
      <c r="J15" s="15">
        <f t="shared" ref="J15:N15" si="17">+J108</f>
        <v>0</v>
      </c>
      <c r="K15" s="15">
        <f t="shared" si="17"/>
        <v>0</v>
      </c>
      <c r="L15" s="15">
        <f t="shared" si="17"/>
        <v>0</v>
      </c>
      <c r="M15" s="15">
        <f t="shared" si="17"/>
        <v>0</v>
      </c>
      <c r="N15" s="15">
        <f t="shared" si="17"/>
        <v>0</v>
      </c>
    </row>
    <row r="16" spans="2:14" ht="25.5">
      <c r="B16" s="79" t="s">
        <v>278</v>
      </c>
      <c r="C16" s="80">
        <v>591555986</v>
      </c>
      <c r="D16" s="80">
        <v>591555986</v>
      </c>
      <c r="E16" s="80">
        <v>591555986</v>
      </c>
      <c r="F16" s="80">
        <v>591555986</v>
      </c>
      <c r="G16" s="80">
        <v>591555986</v>
      </c>
      <c r="H16" s="80">
        <v>591555986</v>
      </c>
      <c r="I16" s="80">
        <v>591555986</v>
      </c>
      <c r="J16" s="80">
        <v>591555986</v>
      </c>
      <c r="K16" s="80"/>
      <c r="L16" s="80"/>
      <c r="M16" s="80"/>
      <c r="N16" s="80"/>
    </row>
    <row r="18" spans="2:14" ht="25.5">
      <c r="B18" s="18" t="s">
        <v>279</v>
      </c>
      <c r="C18" s="19">
        <f t="shared" ref="C18:I18" si="18">(C15/C16)</f>
        <v>239.9480951241697</v>
      </c>
      <c r="D18" s="19">
        <f t="shared" si="18"/>
        <v>191.14592815564882</v>
      </c>
      <c r="E18" s="19">
        <f t="shared" si="18"/>
        <v>223.91907297849573</v>
      </c>
      <c r="F18" s="19">
        <f t="shared" si="18"/>
        <v>217.01939129730994</v>
      </c>
      <c r="G18" s="19">
        <f t="shared" si="18"/>
        <v>226.22167329399656</v>
      </c>
      <c r="H18" s="19">
        <f t="shared" si="18"/>
        <v>236.25933860468112</v>
      </c>
      <c r="I18" s="19">
        <f t="shared" si="18"/>
        <v>240.49351095569844</v>
      </c>
      <c r="J18" s="19">
        <f t="shared" ref="J18:N18" si="19">(J15/J16)</f>
        <v>0</v>
      </c>
      <c r="K18" s="19" t="e">
        <f t="shared" si="19"/>
        <v>#DIV/0!</v>
      </c>
      <c r="L18" s="19" t="e">
        <f t="shared" si="19"/>
        <v>#DIV/0!</v>
      </c>
      <c r="M18" s="19" t="e">
        <f t="shared" si="19"/>
        <v>#DIV/0!</v>
      </c>
      <c r="N18" s="19" t="e">
        <f t="shared" si="19"/>
        <v>#DIV/0!</v>
      </c>
    </row>
    <row r="19" spans="2:14" ht="25.5">
      <c r="B19" s="76" t="s">
        <v>282</v>
      </c>
      <c r="C19" s="254">
        <v>250</v>
      </c>
      <c r="D19" s="77">
        <v>210</v>
      </c>
      <c r="E19" s="77">
        <v>156.04</v>
      </c>
      <c r="F19" s="77">
        <v>115.08</v>
      </c>
      <c r="G19" s="77">
        <v>57.55</v>
      </c>
      <c r="H19" s="101">
        <v>62.26</v>
      </c>
      <c r="I19" s="101">
        <v>82.3</v>
      </c>
      <c r="J19" s="101"/>
      <c r="K19" s="101"/>
      <c r="L19" s="101"/>
      <c r="M19" s="101"/>
      <c r="N19" s="101"/>
    </row>
    <row r="20" spans="2:14" ht="25.5">
      <c r="B20" s="18" t="s">
        <v>283</v>
      </c>
      <c r="C20" s="22">
        <f>+C19/C40</f>
        <v>86.805555555555557</v>
      </c>
      <c r="D20" s="22">
        <f t="shared" ref="D20:I20" si="20">+D19/D40</f>
        <v>32.915360501567399</v>
      </c>
      <c r="E20" s="22">
        <f t="shared" si="20"/>
        <v>30.77712031558185</v>
      </c>
      <c r="F20" s="22">
        <f t="shared" si="20"/>
        <v>-16.678260869565218</v>
      </c>
      <c r="G20" s="22">
        <f t="shared" si="20"/>
        <v>3.7688277668631303</v>
      </c>
      <c r="H20" s="22">
        <f t="shared" si="20"/>
        <v>4.167336010709505</v>
      </c>
      <c r="I20" s="22">
        <f t="shared" si="20"/>
        <v>13.536184210526315</v>
      </c>
      <c r="J20" s="22" t="e">
        <f t="shared" ref="J20:N20" si="21">+J19/J40</f>
        <v>#DIV/0!</v>
      </c>
      <c r="K20" s="22" t="e">
        <f t="shared" si="21"/>
        <v>#DIV/0!</v>
      </c>
      <c r="L20" s="22" t="e">
        <f t="shared" si="21"/>
        <v>#DIV/0!</v>
      </c>
      <c r="M20" s="22" t="e">
        <f t="shared" si="21"/>
        <v>#DIV/0!</v>
      </c>
      <c r="N20" s="22" t="e">
        <f t="shared" si="21"/>
        <v>#DIV/0!</v>
      </c>
    </row>
    <row r="21" spans="2:14" ht="25.5">
      <c r="B21" s="18" t="s">
        <v>380</v>
      </c>
      <c r="C21" s="22">
        <f t="shared" ref="C21:I21" si="22">+C19/C18</f>
        <v>1.0418919969780489</v>
      </c>
      <c r="D21" s="22">
        <f t="shared" si="22"/>
        <v>1.0986370571754918</v>
      </c>
      <c r="E21" s="22">
        <f t="shared" si="22"/>
        <v>0.696858904980307</v>
      </c>
      <c r="F21" s="22">
        <f t="shared" si="22"/>
        <v>0.53027519482046614</v>
      </c>
      <c r="G21" s="22">
        <f t="shared" si="22"/>
        <v>0.25439649155635191</v>
      </c>
      <c r="H21" s="22">
        <f t="shared" si="22"/>
        <v>0.26352397483079387</v>
      </c>
      <c r="I21" s="22">
        <f t="shared" si="22"/>
        <v>0.34221297561396807</v>
      </c>
      <c r="J21" s="22" t="e">
        <f t="shared" ref="J21:N21" si="23">+J19/J18</f>
        <v>#DIV/0!</v>
      </c>
      <c r="K21" s="22" t="e">
        <f t="shared" si="23"/>
        <v>#DIV/0!</v>
      </c>
      <c r="L21" s="22" t="e">
        <f t="shared" si="23"/>
        <v>#DIV/0!</v>
      </c>
      <c r="M21" s="22" t="e">
        <f t="shared" si="23"/>
        <v>#DIV/0!</v>
      </c>
      <c r="N21" s="22" t="e">
        <f t="shared" si="23"/>
        <v>#DIV/0!</v>
      </c>
    </row>
    <row r="22" spans="2:14" ht="25.5">
      <c r="B22" s="18" t="s">
        <v>285</v>
      </c>
      <c r="C22" s="22">
        <f>+C20*C21</f>
        <v>90.442013626566748</v>
      </c>
      <c r="D22" s="22">
        <f t="shared" ref="D22:I22" si="24">+D20*D21</f>
        <v>36.162034797312423</v>
      </c>
      <c r="E22" s="22">
        <f t="shared" si="24"/>
        <v>21.447310361563527</v>
      </c>
      <c r="F22" s="22">
        <f t="shared" si="24"/>
        <v>-8.8440680318752527</v>
      </c>
      <c r="G22" s="22">
        <f t="shared" si="24"/>
        <v>0.95877656117014098</v>
      </c>
      <c r="H22" s="22">
        <f t="shared" si="24"/>
        <v>1.0981929499976726</v>
      </c>
      <c r="I22" s="22">
        <f t="shared" si="24"/>
        <v>4.6322578771430214</v>
      </c>
      <c r="J22" s="22" t="e">
        <f t="shared" ref="J22:N22" si="25">+J20*J21</f>
        <v>#DIV/0!</v>
      </c>
      <c r="K22" s="22" t="e">
        <f t="shared" si="25"/>
        <v>#DIV/0!</v>
      </c>
      <c r="L22" s="22" t="e">
        <f t="shared" si="25"/>
        <v>#DIV/0!</v>
      </c>
      <c r="M22" s="22" t="e">
        <f t="shared" si="25"/>
        <v>#DIV/0!</v>
      </c>
      <c r="N22" s="22" t="e">
        <f t="shared" si="25"/>
        <v>#DIV/0!</v>
      </c>
    </row>
    <row r="23" spans="2:14" ht="25.5">
      <c r="B23" s="23" t="s">
        <v>286</v>
      </c>
      <c r="C23" s="24">
        <f>IF(C41&lt;10%,0,IF(15%&lt;C41,2,1))</f>
        <v>0</v>
      </c>
      <c r="D23" s="24">
        <f>IF(D41&lt;10%,0,IF(15%&lt;D41,2,1))</f>
        <v>0</v>
      </c>
      <c r="E23" s="24">
        <f t="shared" ref="E23:I23" si="26">IF(E41&lt;10%,0,IF(15%&lt;E41,2,1))</f>
        <v>0</v>
      </c>
      <c r="F23" s="24">
        <f t="shared" si="26"/>
        <v>0</v>
      </c>
      <c r="G23" s="24">
        <f t="shared" si="26"/>
        <v>0</v>
      </c>
      <c r="H23" s="24">
        <f t="shared" si="26"/>
        <v>0</v>
      </c>
      <c r="I23" s="24">
        <f t="shared" si="26"/>
        <v>0</v>
      </c>
      <c r="J23" s="24" t="e">
        <f t="shared" ref="J23:N23" si="27">IF(J41&lt;10%,0,IF(15%&lt;J41,2,1))</f>
        <v>#DIV/0!</v>
      </c>
      <c r="K23" s="24" t="e">
        <f t="shared" si="27"/>
        <v>#DIV/0!</v>
      </c>
      <c r="L23" s="24" t="e">
        <f t="shared" si="27"/>
        <v>#DIV/0!</v>
      </c>
      <c r="M23" s="24" t="e">
        <f t="shared" si="27"/>
        <v>#DIV/0!</v>
      </c>
      <c r="N23" s="24" t="e">
        <f t="shared" si="27"/>
        <v>#DIV/0!</v>
      </c>
    </row>
    <row r="24" spans="2:14" ht="25.5">
      <c r="B24" s="23" t="s">
        <v>287</v>
      </c>
      <c r="C24" s="24">
        <f>IF(C41&lt;10%,1,IF(15%&lt;C41,2.5,2))</f>
        <v>1</v>
      </c>
      <c r="D24" s="24">
        <f t="shared" ref="D24:I24" si="28">IF(D41&lt;10%,1,IF(15%&lt;D41,2.5,2))</f>
        <v>1</v>
      </c>
      <c r="E24" s="24">
        <f t="shared" si="28"/>
        <v>1</v>
      </c>
      <c r="F24" s="24">
        <f t="shared" si="28"/>
        <v>1</v>
      </c>
      <c r="G24" s="24">
        <f t="shared" si="28"/>
        <v>1</v>
      </c>
      <c r="H24" s="24">
        <f t="shared" si="28"/>
        <v>1</v>
      </c>
      <c r="I24" s="24">
        <f t="shared" si="28"/>
        <v>1</v>
      </c>
      <c r="J24" s="24" t="e">
        <f t="shared" ref="J24:N24" si="29">IF(J41&lt;10%,1,IF(15%&lt;J41,2.5,2))</f>
        <v>#DIV/0!</v>
      </c>
      <c r="K24" s="24" t="e">
        <f t="shared" si="29"/>
        <v>#DIV/0!</v>
      </c>
      <c r="L24" s="24" t="e">
        <f t="shared" si="29"/>
        <v>#DIV/0!</v>
      </c>
      <c r="M24" s="24" t="e">
        <f t="shared" si="29"/>
        <v>#DIV/0!</v>
      </c>
      <c r="N24" s="24" t="e">
        <f t="shared" si="29"/>
        <v>#DIV/0!</v>
      </c>
    </row>
    <row r="25" spans="2:14" ht="25.5">
      <c r="B25" s="25" t="s">
        <v>288</v>
      </c>
      <c r="C25" s="26">
        <f t="shared" ref="C25:I25" si="30">+C23*C18</f>
        <v>0</v>
      </c>
      <c r="D25" s="26">
        <f t="shared" si="30"/>
        <v>0</v>
      </c>
      <c r="E25" s="26">
        <f t="shared" si="30"/>
        <v>0</v>
      </c>
      <c r="F25" s="26">
        <f t="shared" si="30"/>
        <v>0</v>
      </c>
      <c r="G25" s="26">
        <f t="shared" si="30"/>
        <v>0</v>
      </c>
      <c r="H25" s="26">
        <f t="shared" si="30"/>
        <v>0</v>
      </c>
      <c r="I25" s="26">
        <f t="shared" si="30"/>
        <v>0</v>
      </c>
      <c r="J25" s="26" t="e">
        <f t="shared" ref="J25:N25" si="31">+J23*J18</f>
        <v>#DIV/0!</v>
      </c>
      <c r="K25" s="26" t="e">
        <f t="shared" si="31"/>
        <v>#DIV/0!</v>
      </c>
      <c r="L25" s="26" t="e">
        <f t="shared" si="31"/>
        <v>#DIV/0!</v>
      </c>
      <c r="M25" s="26" t="e">
        <f t="shared" si="31"/>
        <v>#DIV/0!</v>
      </c>
      <c r="N25" s="26" t="e">
        <f t="shared" si="31"/>
        <v>#DIV/0!</v>
      </c>
    </row>
    <row r="26" spans="2:14" ht="25.5">
      <c r="B26" s="25" t="s">
        <v>289</v>
      </c>
      <c r="C26" s="26">
        <f>AVERAGE(C25,C27)</f>
        <v>119.97404756208485</v>
      </c>
      <c r="D26" s="26">
        <f t="shared" ref="D26:I26" si="32">AVERAGE(D25,D27)</f>
        <v>95.572964077824409</v>
      </c>
      <c r="E26" s="26">
        <f t="shared" si="32"/>
        <v>111.95953648924787</v>
      </c>
      <c r="F26" s="26">
        <f t="shared" si="32"/>
        <v>108.50969564865497</v>
      </c>
      <c r="G26" s="26">
        <f t="shared" si="32"/>
        <v>113.11083664699828</v>
      </c>
      <c r="H26" s="26">
        <f t="shared" si="32"/>
        <v>118.12966930234056</v>
      </c>
      <c r="I26" s="26">
        <f t="shared" si="32"/>
        <v>120.24675547784922</v>
      </c>
      <c r="J26" s="26" t="e">
        <f t="shared" ref="J26:N26" si="33">AVERAGE(J25,J27)</f>
        <v>#DIV/0!</v>
      </c>
      <c r="K26" s="26" t="e">
        <f t="shared" si="33"/>
        <v>#DIV/0!</v>
      </c>
      <c r="L26" s="26" t="e">
        <f t="shared" si="33"/>
        <v>#DIV/0!</v>
      </c>
      <c r="M26" s="26" t="e">
        <f t="shared" si="33"/>
        <v>#DIV/0!</v>
      </c>
      <c r="N26" s="26" t="e">
        <f t="shared" si="33"/>
        <v>#DIV/0!</v>
      </c>
    </row>
    <row r="27" spans="2:14" ht="25.5">
      <c r="B27" s="25" t="s">
        <v>290</v>
      </c>
      <c r="C27" s="26">
        <f t="shared" ref="C27:I27" si="34">+C18*C24</f>
        <v>239.9480951241697</v>
      </c>
      <c r="D27" s="26">
        <f t="shared" si="34"/>
        <v>191.14592815564882</v>
      </c>
      <c r="E27" s="26">
        <f t="shared" si="34"/>
        <v>223.91907297849573</v>
      </c>
      <c r="F27" s="26">
        <f t="shared" si="34"/>
        <v>217.01939129730994</v>
      </c>
      <c r="G27" s="26">
        <f t="shared" si="34"/>
        <v>226.22167329399656</v>
      </c>
      <c r="H27" s="26">
        <f t="shared" si="34"/>
        <v>236.25933860468112</v>
      </c>
      <c r="I27" s="26">
        <f t="shared" si="34"/>
        <v>240.49351095569844</v>
      </c>
      <c r="J27" s="26" t="e">
        <f t="shared" ref="J27:N27" si="35">+J18*J24</f>
        <v>#DIV/0!</v>
      </c>
      <c r="K27" s="26" t="e">
        <f t="shared" si="35"/>
        <v>#DIV/0!</v>
      </c>
      <c r="L27" s="26" t="e">
        <f t="shared" si="35"/>
        <v>#DIV/0!</v>
      </c>
      <c r="M27" s="26" t="e">
        <f t="shared" si="35"/>
        <v>#DIV/0!</v>
      </c>
      <c r="N27" s="26" t="e">
        <f t="shared" si="35"/>
        <v>#DIV/0!</v>
      </c>
    </row>
    <row r="29" spans="2:14" ht="25.5">
      <c r="B29" s="243" t="s">
        <v>291</v>
      </c>
      <c r="C29" s="81">
        <f t="shared" ref="C29:I29" si="36">C7-C12</f>
        <v>36659345000</v>
      </c>
      <c r="D29" s="81">
        <f t="shared" si="36"/>
        <v>35849029000</v>
      </c>
      <c r="E29" s="81">
        <f t="shared" si="36"/>
        <v>55725480000</v>
      </c>
      <c r="F29" s="81">
        <f t="shared" si="36"/>
        <v>45019962000</v>
      </c>
      <c r="G29" s="81">
        <f t="shared" si="36"/>
        <v>71504947000</v>
      </c>
      <c r="H29" s="81">
        <f t="shared" si="36"/>
        <v>52558748000</v>
      </c>
      <c r="I29" s="81">
        <f t="shared" si="36"/>
        <v>63794452000</v>
      </c>
      <c r="J29" s="81">
        <f t="shared" ref="J29:N29" si="37">J7-J12</f>
        <v>0</v>
      </c>
      <c r="K29" s="81">
        <f t="shared" si="37"/>
        <v>0</v>
      </c>
      <c r="L29" s="81">
        <f t="shared" si="37"/>
        <v>0</v>
      </c>
      <c r="M29" s="81">
        <f t="shared" si="37"/>
        <v>0</v>
      </c>
      <c r="N29" s="81">
        <f t="shared" si="37"/>
        <v>0</v>
      </c>
    </row>
    <row r="30" spans="2:14" ht="25.5">
      <c r="B30" s="30" t="s">
        <v>149</v>
      </c>
      <c r="C30" s="241">
        <f t="shared" ref="C30:I30" si="38">C7/C12</f>
        <v>1.4997264337391873</v>
      </c>
      <c r="D30" s="241">
        <f t="shared" si="38"/>
        <v>1.3867065833460586</v>
      </c>
      <c r="E30" s="241">
        <f t="shared" si="38"/>
        <v>1.5477341076501887</v>
      </c>
      <c r="F30" s="241">
        <f t="shared" si="38"/>
        <v>1.4771230486013824</v>
      </c>
      <c r="G30" s="241">
        <f t="shared" si="38"/>
        <v>1.7574400011050444</v>
      </c>
      <c r="H30" s="242">
        <f t="shared" si="38"/>
        <v>1.4602160941156626</v>
      </c>
      <c r="I30" s="242">
        <f t="shared" si="38"/>
        <v>1.6525665860185843</v>
      </c>
      <c r="J30" s="242" t="e">
        <f t="shared" ref="J30:N30" si="39">J7/J12</f>
        <v>#DIV/0!</v>
      </c>
      <c r="K30" s="242" t="e">
        <f t="shared" si="39"/>
        <v>#DIV/0!</v>
      </c>
      <c r="L30" s="242" t="e">
        <f t="shared" si="39"/>
        <v>#DIV/0!</v>
      </c>
      <c r="M30" s="242" t="e">
        <f t="shared" si="39"/>
        <v>#DIV/0!</v>
      </c>
      <c r="N30" s="242" t="e">
        <f t="shared" si="39"/>
        <v>#DIV/0!</v>
      </c>
    </row>
    <row r="31" spans="2:14" ht="25.5">
      <c r="B31" s="30" t="s">
        <v>292</v>
      </c>
      <c r="C31" s="241">
        <f t="shared" ref="C31:I31" si="40">+(C7-C9)/C12</f>
        <v>0.45287030012080209</v>
      </c>
      <c r="D31" s="241">
        <f t="shared" si="40"/>
        <v>0.55199442661434905</v>
      </c>
      <c r="E31" s="241">
        <f t="shared" si="40"/>
        <v>0.59877454481304149</v>
      </c>
      <c r="F31" s="241">
        <f t="shared" si="40"/>
        <v>0.53703105915757443</v>
      </c>
      <c r="G31" s="241">
        <f t="shared" si="40"/>
        <v>0.84323106337420073</v>
      </c>
      <c r="H31" s="241">
        <f t="shared" si="40"/>
        <v>0.66331124716296197</v>
      </c>
      <c r="I31" s="241">
        <f t="shared" si="40"/>
        <v>0.6654072468338792</v>
      </c>
      <c r="J31" s="241" t="e">
        <f t="shared" ref="J31:N31" si="41">+(J7-J9)/J12</f>
        <v>#DIV/0!</v>
      </c>
      <c r="K31" s="241" t="e">
        <f t="shared" si="41"/>
        <v>#DIV/0!</v>
      </c>
      <c r="L31" s="241" t="e">
        <f t="shared" si="41"/>
        <v>#DIV/0!</v>
      </c>
      <c r="M31" s="241" t="e">
        <f t="shared" si="41"/>
        <v>#DIV/0!</v>
      </c>
      <c r="N31" s="241" t="e">
        <f t="shared" si="41"/>
        <v>#DIV/0!</v>
      </c>
    </row>
    <row r="32" spans="2:14" ht="25.5">
      <c r="B32" s="32" t="s">
        <v>153</v>
      </c>
      <c r="C32" s="33">
        <f t="shared" ref="C32:I32" si="42">C14/C11</f>
        <v>0.48251588046186983</v>
      </c>
      <c r="D32" s="33">
        <f t="shared" si="42"/>
        <v>0.50276830227689395</v>
      </c>
      <c r="E32" s="33">
        <f t="shared" si="42"/>
        <v>0.4955832647463973</v>
      </c>
      <c r="F32" s="33">
        <f t="shared" si="42"/>
        <v>0.47954885371457578</v>
      </c>
      <c r="G32" s="33">
        <f t="shared" si="42"/>
        <v>0.49353204949393448</v>
      </c>
      <c r="H32" s="33">
        <f t="shared" si="42"/>
        <v>0.51895157448755458</v>
      </c>
      <c r="I32" s="33">
        <f t="shared" si="42"/>
        <v>8.643371201527815E-2</v>
      </c>
      <c r="J32" s="33" t="e">
        <f t="shared" ref="J32:N32" si="43">J14/J11</f>
        <v>#DIV/0!</v>
      </c>
      <c r="K32" s="33" t="e">
        <f t="shared" si="43"/>
        <v>#DIV/0!</v>
      </c>
      <c r="L32" s="33" t="e">
        <f t="shared" si="43"/>
        <v>#DIV/0!</v>
      </c>
      <c r="M32" s="33" t="e">
        <f t="shared" si="43"/>
        <v>#DIV/0!</v>
      </c>
      <c r="N32" s="33" t="e">
        <f t="shared" si="43"/>
        <v>#DIV/0!</v>
      </c>
    </row>
    <row r="35" spans="2:14" ht="25.5">
      <c r="B35" s="35" t="s">
        <v>293</v>
      </c>
      <c r="C35" s="36">
        <f>+C113</f>
        <v>76169892000</v>
      </c>
      <c r="D35" s="36">
        <f t="shared" ref="D35:I35" si="44">+D113</f>
        <v>54191756000</v>
      </c>
      <c r="E35" s="36">
        <f t="shared" si="44"/>
        <v>48418172000</v>
      </c>
      <c r="F35" s="36">
        <f t="shared" si="44"/>
        <v>48452101000</v>
      </c>
      <c r="G35" s="36">
        <f t="shared" si="44"/>
        <v>70996990000</v>
      </c>
      <c r="H35" s="36">
        <f t="shared" si="44"/>
        <v>65294052000</v>
      </c>
      <c r="I35" s="36">
        <f t="shared" si="44"/>
        <v>56172653000</v>
      </c>
      <c r="J35" s="36">
        <f t="shared" ref="J35:N35" si="45">+J113</f>
        <v>0</v>
      </c>
      <c r="K35" s="36">
        <f t="shared" si="45"/>
        <v>0</v>
      </c>
      <c r="L35" s="36">
        <f t="shared" si="45"/>
        <v>0</v>
      </c>
      <c r="M35" s="36">
        <f t="shared" si="45"/>
        <v>0</v>
      </c>
      <c r="N35" s="36">
        <f t="shared" si="45"/>
        <v>0</v>
      </c>
    </row>
    <row r="36" spans="2:14" ht="25.5">
      <c r="B36" s="39" t="s">
        <v>156</v>
      </c>
      <c r="C36" s="40">
        <f>+C120</f>
        <v>5049045000</v>
      </c>
      <c r="D36" s="40">
        <f t="shared" ref="D36:I36" si="46">+D120</f>
        <v>8299153000</v>
      </c>
      <c r="E36" s="40">
        <f t="shared" si="46"/>
        <v>1446867304</v>
      </c>
      <c r="F36" s="40">
        <f t="shared" si="46"/>
        <v>-4221536000</v>
      </c>
      <c r="G36" s="40">
        <f t="shared" si="46"/>
        <v>10441824000</v>
      </c>
      <c r="H36" s="40">
        <f t="shared" si="46"/>
        <v>12165182000</v>
      </c>
      <c r="I36" s="40">
        <f t="shared" si="46"/>
        <v>2879395000</v>
      </c>
      <c r="J36" s="40">
        <f t="shared" ref="J36:N36" si="47">+J120</f>
        <v>0</v>
      </c>
      <c r="K36" s="40">
        <f t="shared" si="47"/>
        <v>0</v>
      </c>
      <c r="L36" s="40">
        <f t="shared" si="47"/>
        <v>0</v>
      </c>
      <c r="M36" s="40">
        <f t="shared" si="47"/>
        <v>0</v>
      </c>
      <c r="N36" s="40">
        <f t="shared" si="47"/>
        <v>0</v>
      </c>
    </row>
    <row r="37" spans="2:14" ht="25.5">
      <c r="B37" s="35" t="s">
        <v>381</v>
      </c>
      <c r="C37" s="41">
        <f>C36/C35</f>
        <v>6.6286624116521004E-2</v>
      </c>
      <c r="D37" s="41">
        <f t="shared" ref="D37:I37" si="48">D36/D35</f>
        <v>0.15314419780012295</v>
      </c>
      <c r="E37" s="41">
        <f t="shared" si="48"/>
        <v>2.9882732954065263E-2</v>
      </c>
      <c r="F37" s="41">
        <f t="shared" si="48"/>
        <v>-8.7128027740221214E-2</v>
      </c>
      <c r="G37" s="41">
        <f t="shared" si="48"/>
        <v>0.14707417877856513</v>
      </c>
      <c r="H37" s="41">
        <f t="shared" si="48"/>
        <v>0.18631378551908526</v>
      </c>
      <c r="I37" s="41">
        <f t="shared" si="48"/>
        <v>5.125972953422727E-2</v>
      </c>
      <c r="J37" s="41" t="e">
        <f t="shared" ref="J37:N37" si="49">J36/J35</f>
        <v>#DIV/0!</v>
      </c>
      <c r="K37" s="41" t="e">
        <f t="shared" si="49"/>
        <v>#DIV/0!</v>
      </c>
      <c r="L37" s="41" t="e">
        <f t="shared" si="49"/>
        <v>#DIV/0!</v>
      </c>
      <c r="M37" s="41" t="e">
        <f t="shared" si="49"/>
        <v>#DIV/0!</v>
      </c>
      <c r="N37" s="41" t="e">
        <f t="shared" si="49"/>
        <v>#DIV/0!</v>
      </c>
    </row>
    <row r="38" spans="2:14" ht="25.5">
      <c r="B38" s="43" t="s">
        <v>295</v>
      </c>
      <c r="C38" s="44">
        <f>+C130</f>
        <v>1449526000</v>
      </c>
      <c r="D38" s="44">
        <f t="shared" ref="D38:I38" si="50">+D130</f>
        <v>3209399000</v>
      </c>
      <c r="E38" s="44">
        <f t="shared" si="50"/>
        <v>2204749304</v>
      </c>
      <c r="F38" s="44">
        <f t="shared" si="50"/>
        <v>-4081548000</v>
      </c>
      <c r="G38" s="44">
        <f t="shared" si="50"/>
        <v>9135953000</v>
      </c>
      <c r="H38" s="44">
        <f t="shared" si="50"/>
        <v>8835479000</v>
      </c>
      <c r="I38" s="44">
        <f t="shared" si="50"/>
        <v>3597058000</v>
      </c>
      <c r="J38" s="44">
        <f t="shared" ref="J38:N38" si="51">+J130</f>
        <v>0</v>
      </c>
      <c r="K38" s="44">
        <f t="shared" si="51"/>
        <v>0</v>
      </c>
      <c r="L38" s="44">
        <f t="shared" si="51"/>
        <v>0</v>
      </c>
      <c r="M38" s="44">
        <f t="shared" si="51"/>
        <v>0</v>
      </c>
      <c r="N38" s="44">
        <f t="shared" si="51"/>
        <v>0</v>
      </c>
    </row>
    <row r="39" spans="2:14" ht="25.5">
      <c r="B39" s="30" t="s">
        <v>296</v>
      </c>
      <c r="C39" s="45">
        <f>C38/C35</f>
        <v>1.9030170083476027E-2</v>
      </c>
      <c r="D39" s="45">
        <f t="shared" ref="D39:I39" si="52">D38/D35</f>
        <v>5.922301170679909E-2</v>
      </c>
      <c r="E39" s="45">
        <f t="shared" si="52"/>
        <v>4.5535575031622422E-2</v>
      </c>
      <c r="F39" s="45">
        <f t="shared" si="52"/>
        <v>-8.4238823823140296E-2</v>
      </c>
      <c r="G39" s="45">
        <f t="shared" si="52"/>
        <v>0.12868084970926233</v>
      </c>
      <c r="H39" s="45">
        <f t="shared" si="52"/>
        <v>0.13531828289657993</v>
      </c>
      <c r="I39" s="45">
        <f t="shared" si="52"/>
        <v>6.4035750634743926E-2</v>
      </c>
      <c r="J39" s="45" t="e">
        <f t="shared" ref="J39:N39" si="53">J38/J35</f>
        <v>#DIV/0!</v>
      </c>
      <c r="K39" s="45" t="e">
        <f t="shared" si="53"/>
        <v>#DIV/0!</v>
      </c>
      <c r="L39" s="45" t="e">
        <f t="shared" si="53"/>
        <v>#DIV/0!</v>
      </c>
      <c r="M39" s="45" t="e">
        <f t="shared" si="53"/>
        <v>#DIV/0!</v>
      </c>
      <c r="N39" s="45" t="e">
        <f t="shared" si="53"/>
        <v>#DIV/0!</v>
      </c>
    </row>
    <row r="40" spans="2:14" ht="25.5">
      <c r="B40" s="46" t="s">
        <v>159</v>
      </c>
      <c r="C40" s="121">
        <f>+C131</f>
        <v>2.88</v>
      </c>
      <c r="D40" s="121">
        <f t="shared" ref="D40:I40" si="54">+D131</f>
        <v>6.38</v>
      </c>
      <c r="E40" s="121">
        <f t="shared" si="54"/>
        <v>5.07</v>
      </c>
      <c r="F40" s="121">
        <f t="shared" si="54"/>
        <v>-6.9</v>
      </c>
      <c r="G40" s="121">
        <f t="shared" si="54"/>
        <v>15.27</v>
      </c>
      <c r="H40" s="121">
        <f t="shared" si="54"/>
        <v>14.94</v>
      </c>
      <c r="I40" s="121">
        <f t="shared" si="54"/>
        <v>6.08</v>
      </c>
      <c r="J40" s="121">
        <f t="shared" ref="J40:N40" si="55">+J131</f>
        <v>0</v>
      </c>
      <c r="K40" s="121">
        <f t="shared" si="55"/>
        <v>0</v>
      </c>
      <c r="L40" s="121">
        <f t="shared" si="55"/>
        <v>0</v>
      </c>
      <c r="M40" s="121">
        <f t="shared" si="55"/>
        <v>0</v>
      </c>
      <c r="N40" s="121">
        <f t="shared" si="55"/>
        <v>0</v>
      </c>
    </row>
    <row r="41" spans="2:14" ht="25.5">
      <c r="B41" s="48" t="s">
        <v>160</v>
      </c>
      <c r="C41" s="49">
        <f t="shared" ref="C41:I41" si="56">C38/C15</f>
        <v>1.0212048053295184E-2</v>
      </c>
      <c r="D41" s="49">
        <f t="shared" si="56"/>
        <v>2.838329484008802E-2</v>
      </c>
      <c r="E41" s="49">
        <f t="shared" si="56"/>
        <v>1.6644558247282885E-2</v>
      </c>
      <c r="F41" s="49">
        <f t="shared" si="56"/>
        <v>-3.1792927074122332E-2</v>
      </c>
      <c r="G41" s="49">
        <f t="shared" si="56"/>
        <v>6.8269039536129811E-2</v>
      </c>
      <c r="H41" s="49">
        <f t="shared" si="56"/>
        <v>6.321865644763211E-2</v>
      </c>
      <c r="I41" s="49">
        <f t="shared" si="56"/>
        <v>2.5284142221646398E-2</v>
      </c>
      <c r="J41" s="49" t="e">
        <f t="shared" ref="J41:N41" si="57">J38/J15</f>
        <v>#DIV/0!</v>
      </c>
      <c r="K41" s="49" t="e">
        <f t="shared" si="57"/>
        <v>#DIV/0!</v>
      </c>
      <c r="L41" s="49" t="e">
        <f t="shared" si="57"/>
        <v>#DIV/0!</v>
      </c>
      <c r="M41" s="49" t="e">
        <f t="shared" si="57"/>
        <v>#DIV/0!</v>
      </c>
      <c r="N41" s="49" t="e">
        <f t="shared" si="57"/>
        <v>#DIV/0!</v>
      </c>
    </row>
    <row r="42" spans="2:14" ht="25.5">
      <c r="B42" s="48" t="s">
        <v>382</v>
      </c>
      <c r="C42" s="49">
        <f>AVERAGE(G41:I41)</f>
        <v>5.2257279401802775E-2</v>
      </c>
      <c r="D42" s="49"/>
      <c r="E42" s="49"/>
      <c r="F42" s="49"/>
      <c r="G42" s="49"/>
      <c r="H42" s="49"/>
      <c r="I42" s="49"/>
      <c r="J42" s="49"/>
      <c r="K42" s="49"/>
      <c r="L42" s="49"/>
      <c r="M42" s="49"/>
      <c r="N42" s="49"/>
    </row>
    <row r="43" spans="2:14" ht="25.5">
      <c r="B43" s="48" t="s">
        <v>298</v>
      </c>
      <c r="C43" s="50">
        <f>+C143</f>
        <v>25284120000</v>
      </c>
      <c r="D43" s="50">
        <f t="shared" ref="D43:I43" si="58">+D143</f>
        <v>-11763172000</v>
      </c>
      <c r="E43" s="50">
        <f t="shared" si="58"/>
        <v>-9564029000</v>
      </c>
      <c r="F43" s="50">
        <f t="shared" si="58"/>
        <v>21173976000</v>
      </c>
      <c r="G43" s="50">
        <f t="shared" si="58"/>
        <v>-1748726000</v>
      </c>
      <c r="H43" s="50">
        <f t="shared" si="58"/>
        <v>16671882000</v>
      </c>
      <c r="I43" s="50">
        <f t="shared" si="58"/>
        <v>-5667861000</v>
      </c>
      <c r="J43" s="50">
        <f t="shared" ref="J43:N43" si="59">+J143</f>
        <v>0</v>
      </c>
      <c r="K43" s="50">
        <f t="shared" si="59"/>
        <v>0</v>
      </c>
      <c r="L43" s="50">
        <f t="shared" si="59"/>
        <v>0</v>
      </c>
      <c r="M43" s="50">
        <f t="shared" si="59"/>
        <v>0</v>
      </c>
      <c r="N43" s="50">
        <f t="shared" si="59"/>
        <v>0</v>
      </c>
    </row>
    <row r="44" spans="2:14" ht="25.5">
      <c r="B44" s="51" t="s">
        <v>119</v>
      </c>
      <c r="C44" s="51">
        <f>SUM(C46:C49)</f>
        <v>0</v>
      </c>
      <c r="D44" s="51">
        <f t="shared" ref="D44:F44" si="60">SUM(D46:D49)</f>
        <v>2.6869999999999998</v>
      </c>
      <c r="E44" s="51">
        <f t="shared" si="60"/>
        <v>2.7959999999999998</v>
      </c>
      <c r="F44" s="51">
        <f t="shared" si="60"/>
        <v>1.502</v>
      </c>
      <c r="G44" s="51">
        <f>SUM(G46:G49)</f>
        <v>1.49</v>
      </c>
      <c r="H44" s="51">
        <f>SUM(H46:H49)</f>
        <v>5</v>
      </c>
      <c r="I44" s="51">
        <f t="shared" ref="I44:N44" si="61">SUM(I46:I48)</f>
        <v>4.5</v>
      </c>
      <c r="J44" s="51">
        <f t="shared" si="61"/>
        <v>2</v>
      </c>
      <c r="K44" s="51">
        <f t="shared" si="61"/>
        <v>0</v>
      </c>
      <c r="L44" s="51">
        <f t="shared" si="61"/>
        <v>0</v>
      </c>
      <c r="M44" s="51">
        <f t="shared" si="61"/>
        <v>0</v>
      </c>
      <c r="N44" s="51">
        <f t="shared" si="61"/>
        <v>0</v>
      </c>
    </row>
    <row r="45" spans="2:14" ht="25.5">
      <c r="B45" s="51" t="s">
        <v>383</v>
      </c>
      <c r="C45" s="51">
        <f>+C46+C47</f>
        <v>0</v>
      </c>
      <c r="D45" s="51">
        <f t="shared" ref="D45:I45" si="62">+D46+D47</f>
        <v>0</v>
      </c>
      <c r="E45" s="51">
        <f t="shared" si="62"/>
        <v>2.7959999999999998</v>
      </c>
      <c r="F45" s="51">
        <f t="shared" si="62"/>
        <v>1.502</v>
      </c>
      <c r="G45" s="51">
        <f t="shared" si="62"/>
        <v>0</v>
      </c>
      <c r="H45" s="51">
        <f t="shared" si="62"/>
        <v>5</v>
      </c>
      <c r="I45" s="51">
        <f t="shared" si="62"/>
        <v>4.5</v>
      </c>
      <c r="J45" s="51">
        <f t="shared" ref="J45:N45" si="63">+J46+J47</f>
        <v>2</v>
      </c>
      <c r="K45" s="51">
        <f t="shared" si="63"/>
        <v>0</v>
      </c>
      <c r="L45" s="51">
        <f t="shared" si="63"/>
        <v>0</v>
      </c>
      <c r="M45" s="51">
        <f t="shared" si="63"/>
        <v>0</v>
      </c>
      <c r="N45" s="51">
        <f t="shared" si="63"/>
        <v>0</v>
      </c>
    </row>
    <row r="46" spans="2:14" ht="18">
      <c r="B46" s="135" t="s">
        <v>121</v>
      </c>
      <c r="C46" s="94"/>
      <c r="D46" s="94"/>
      <c r="E46" s="94">
        <v>2.7959999999999998</v>
      </c>
      <c r="F46" s="94">
        <v>1.502</v>
      </c>
      <c r="G46" s="94"/>
      <c r="H46" s="94">
        <v>5</v>
      </c>
      <c r="I46" s="155"/>
      <c r="J46" s="155">
        <v>2</v>
      </c>
      <c r="K46" s="155"/>
      <c r="L46" s="155"/>
      <c r="M46" s="155"/>
      <c r="N46" s="155"/>
    </row>
    <row r="47" spans="2:14" ht="18">
      <c r="B47" s="135" t="s">
        <v>122</v>
      </c>
      <c r="C47" s="94"/>
      <c r="D47" s="94"/>
      <c r="E47" s="94"/>
      <c r="F47" s="94"/>
      <c r="G47" s="94"/>
      <c r="H47" s="94"/>
      <c r="I47" s="155">
        <v>4.5</v>
      </c>
      <c r="J47" s="155"/>
      <c r="K47" s="155"/>
      <c r="L47" s="155"/>
      <c r="M47" s="155"/>
      <c r="N47" s="155"/>
    </row>
    <row r="48" spans="2:14" ht="18">
      <c r="B48" s="135" t="s">
        <v>123</v>
      </c>
      <c r="C48" s="94"/>
      <c r="D48" s="94">
        <v>2.6869999999999998</v>
      </c>
      <c r="E48" s="94"/>
      <c r="F48" s="94"/>
      <c r="G48" s="94"/>
      <c r="H48" s="94"/>
      <c r="I48" s="155"/>
      <c r="J48" s="155"/>
      <c r="K48" s="155"/>
      <c r="L48" s="155"/>
      <c r="M48" s="155"/>
      <c r="N48" s="155"/>
    </row>
    <row r="49" spans="2:16" ht="18">
      <c r="B49" s="135" t="s">
        <v>124</v>
      </c>
      <c r="C49" s="94"/>
      <c r="D49" s="94"/>
      <c r="E49" s="94"/>
      <c r="F49" s="94"/>
      <c r="G49" s="94">
        <v>1.49</v>
      </c>
      <c r="H49" s="94"/>
      <c r="I49" s="94"/>
      <c r="J49" s="94"/>
      <c r="K49" s="94"/>
      <c r="L49" s="94"/>
      <c r="M49" s="94"/>
      <c r="N49" s="94"/>
    </row>
    <row r="50" spans="2:16" ht="25.5">
      <c r="B50" s="541" t="s">
        <v>167</v>
      </c>
      <c r="C50" s="99">
        <f>(C47+C48+D46)/C40</f>
        <v>0</v>
      </c>
      <c r="D50" s="99">
        <f t="shared" ref="D50:N50" si="64">(D47+D48+E46)/D40</f>
        <v>0.85940438871473346</v>
      </c>
      <c r="E50" s="99">
        <f t="shared" si="64"/>
        <v>0.29625246548323469</v>
      </c>
      <c r="F50" s="99">
        <f t="shared" si="64"/>
        <v>0</v>
      </c>
      <c r="G50" s="99">
        <f t="shared" si="64"/>
        <v>0.32743942370661427</v>
      </c>
      <c r="H50" s="99">
        <f t="shared" si="64"/>
        <v>0</v>
      </c>
      <c r="I50" s="99">
        <f t="shared" si="64"/>
        <v>1.069078947368421</v>
      </c>
      <c r="J50" s="99" t="e">
        <f t="shared" si="64"/>
        <v>#DIV/0!</v>
      </c>
      <c r="K50" s="99" t="e">
        <f t="shared" si="64"/>
        <v>#DIV/0!</v>
      </c>
      <c r="L50" s="99" t="e">
        <f t="shared" si="64"/>
        <v>#DIV/0!</v>
      </c>
      <c r="M50" s="99" t="e">
        <f t="shared" si="64"/>
        <v>#DIV/0!</v>
      </c>
      <c r="N50" s="99" t="e">
        <f t="shared" si="64"/>
        <v>#DIV/0!</v>
      </c>
    </row>
    <row r="51" spans="2:16" ht="28.5">
      <c r="B51" s="540" t="s">
        <v>303</v>
      </c>
      <c r="C51" s="54">
        <f>AVERAGE(G50:I50)</f>
        <v>0.46550612369167843</v>
      </c>
      <c r="D51" s="54"/>
      <c r="E51" s="54"/>
      <c r="F51" s="54"/>
      <c r="G51" s="54"/>
      <c r="H51" s="54"/>
      <c r="I51" s="54"/>
      <c r="J51" s="54"/>
      <c r="K51" s="54"/>
      <c r="L51" s="54"/>
      <c r="M51" s="54"/>
      <c r="N51" s="54"/>
    </row>
    <row r="52" spans="2:16" ht="25.5">
      <c r="B52" s="541" t="s">
        <v>299</v>
      </c>
      <c r="C52" s="99">
        <f t="shared" ref="C52:I52" si="65">+C44/C19</f>
        <v>0</v>
      </c>
      <c r="D52" s="99">
        <f t="shared" si="65"/>
        <v>1.2795238095238094E-2</v>
      </c>
      <c r="E52" s="99">
        <f t="shared" si="65"/>
        <v>1.7918482440399897E-2</v>
      </c>
      <c r="F52" s="99">
        <f t="shared" si="65"/>
        <v>1.305179005908933E-2</v>
      </c>
      <c r="G52" s="99">
        <f t="shared" si="65"/>
        <v>2.5890529973935709E-2</v>
      </c>
      <c r="H52" s="99">
        <f t="shared" si="65"/>
        <v>8.0308384195309987E-2</v>
      </c>
      <c r="I52" s="99">
        <f t="shared" si="65"/>
        <v>5.4678007290400975E-2</v>
      </c>
      <c r="J52" s="99" t="e">
        <f t="shared" ref="J52:N52" si="66">+J44/J19</f>
        <v>#DIV/0!</v>
      </c>
      <c r="K52" s="99" t="e">
        <f t="shared" si="66"/>
        <v>#DIV/0!</v>
      </c>
      <c r="L52" s="99" t="e">
        <f t="shared" si="66"/>
        <v>#DIV/0!</v>
      </c>
      <c r="M52" s="99" t="e">
        <f t="shared" si="66"/>
        <v>#DIV/0!</v>
      </c>
      <c r="N52" s="99" t="e">
        <f t="shared" si="66"/>
        <v>#DIV/0!</v>
      </c>
    </row>
    <row r="53" spans="2:16" ht="25.5">
      <c r="B53" s="542" t="s">
        <v>384</v>
      </c>
      <c r="C53" s="534">
        <f>AVERAGE(G52:I52)</f>
        <v>5.3625640486548887E-2</v>
      </c>
      <c r="D53" s="534"/>
      <c r="E53" s="534"/>
      <c r="F53" s="534"/>
      <c r="G53" s="534"/>
      <c r="H53" s="534"/>
      <c r="I53" s="534"/>
      <c r="J53" s="534"/>
      <c r="K53" s="534"/>
      <c r="L53" s="534"/>
      <c r="M53" s="534"/>
      <c r="N53" s="534"/>
      <c r="O53" s="534"/>
      <c r="P53" s="534"/>
    </row>
    <row r="54" spans="2:16" ht="25.5">
      <c r="B54" s="543" t="s">
        <v>176</v>
      </c>
      <c r="C54" s="355">
        <f>+C41*(100%-C50)</f>
        <v>1.0212048053295184E-2</v>
      </c>
      <c r="D54" s="355">
        <f t="shared" ref="D54:I54" si="67">+D41*(100%-D50)</f>
        <v>3.9905666883321266E-3</v>
      </c>
      <c r="E54" s="355">
        <f t="shared" si="67"/>
        <v>1.1713566829646024E-2</v>
      </c>
      <c r="F54" s="549">
        <f t="shared" si="67"/>
        <v>-3.1792927074122332E-2</v>
      </c>
      <c r="G54" s="355">
        <f t="shared" si="67"/>
        <v>4.5915064573415397E-2</v>
      </c>
      <c r="H54" s="355">
        <f t="shared" si="67"/>
        <v>6.321865644763211E-2</v>
      </c>
      <c r="I54" s="355">
        <f t="shared" si="67"/>
        <v>-1.7466019297847832E-3</v>
      </c>
      <c r="J54" s="355" t="e">
        <f t="shared" ref="J54:N54" si="68">+J41*(100%-J50)</f>
        <v>#DIV/0!</v>
      </c>
      <c r="K54" s="355" t="e">
        <f t="shared" si="68"/>
        <v>#DIV/0!</v>
      </c>
      <c r="L54" s="355" t="e">
        <f t="shared" si="68"/>
        <v>#DIV/0!</v>
      </c>
      <c r="M54" s="355" t="e">
        <f t="shared" si="68"/>
        <v>#DIV/0!</v>
      </c>
      <c r="N54" s="355" t="e">
        <f t="shared" si="68"/>
        <v>#DIV/0!</v>
      </c>
    </row>
    <row r="55" spans="2:16" ht="25.5">
      <c r="B55" s="542" t="s">
        <v>306</v>
      </c>
      <c r="C55" s="534">
        <f>AVERAGE(G54:I54)</f>
        <v>3.5795706363754246E-2</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v>110018172000</v>
      </c>
      <c r="D61" s="64">
        <v>128552465000</v>
      </c>
      <c r="E61" s="64">
        <v>157463676000</v>
      </c>
      <c r="F61" s="159">
        <v>139377093000</v>
      </c>
      <c r="G61" s="64">
        <v>165908394000</v>
      </c>
      <c r="H61" s="141">
        <v>166763246000</v>
      </c>
      <c r="I61" s="64">
        <v>161553751000</v>
      </c>
      <c r="J61" s="64"/>
      <c r="K61" s="64"/>
      <c r="L61" s="64"/>
      <c r="M61" s="64"/>
      <c r="N61" s="64"/>
    </row>
    <row r="62" spans="2:16">
      <c r="B62" s="59" t="s">
        <v>386</v>
      </c>
      <c r="C62" s="66">
        <v>9719594000</v>
      </c>
      <c r="D62" s="66">
        <v>7512470000</v>
      </c>
      <c r="E62" s="66"/>
      <c r="F62" s="66"/>
      <c r="G62" s="66">
        <v>27221079000</v>
      </c>
      <c r="H62" s="160">
        <v>45243525000</v>
      </c>
      <c r="I62" s="66">
        <v>30711993000</v>
      </c>
      <c r="J62" s="66"/>
      <c r="K62" s="66"/>
      <c r="L62" s="66"/>
      <c r="M62" s="66"/>
      <c r="N62" s="66"/>
    </row>
    <row r="63" spans="2:16">
      <c r="B63" s="59" t="s">
        <v>387</v>
      </c>
      <c r="C63" s="66"/>
      <c r="D63" s="66"/>
      <c r="E63" s="66"/>
      <c r="F63" s="66"/>
      <c r="G63" s="66"/>
      <c r="H63" s="160"/>
      <c r="I63" s="66">
        <v>0</v>
      </c>
      <c r="J63" s="66"/>
      <c r="K63" s="66"/>
      <c r="L63" s="66"/>
      <c r="M63" s="66"/>
      <c r="N63" s="66"/>
    </row>
    <row r="64" spans="2:16">
      <c r="B64" s="59" t="s">
        <v>388</v>
      </c>
      <c r="C64" s="66"/>
      <c r="D64" s="66"/>
      <c r="E64" s="66"/>
      <c r="F64" s="66"/>
      <c r="G64" s="66">
        <v>48011000</v>
      </c>
      <c r="H64" s="160">
        <v>35564000</v>
      </c>
      <c r="I64" s="66">
        <v>17508000</v>
      </c>
      <c r="J64" s="66"/>
      <c r="K64" s="66"/>
      <c r="L64" s="66"/>
      <c r="M64" s="66"/>
      <c r="N64" s="66"/>
    </row>
    <row r="65" spans="2:14">
      <c r="B65" s="59" t="s">
        <v>389</v>
      </c>
      <c r="C65" s="66">
        <v>16997876000</v>
      </c>
      <c r="D65" s="66">
        <v>33584714000</v>
      </c>
      <c r="E65" s="66">
        <v>25114634000</v>
      </c>
      <c r="F65" s="66">
        <v>14823775000</v>
      </c>
      <c r="G65" s="66">
        <v>44352665000</v>
      </c>
      <c r="H65" s="160">
        <v>22112410000</v>
      </c>
      <c r="I65" s="66">
        <v>25610044000</v>
      </c>
      <c r="J65" s="66"/>
      <c r="K65" s="66"/>
      <c r="L65" s="66"/>
      <c r="M65" s="66"/>
      <c r="N65" s="66"/>
    </row>
    <row r="66" spans="2:14">
      <c r="B66" s="59" t="s">
        <v>390</v>
      </c>
      <c r="C66" s="66"/>
      <c r="D66" s="66"/>
      <c r="E66" s="66"/>
      <c r="F66" s="66"/>
      <c r="G66" s="66">
        <v>1369571000</v>
      </c>
      <c r="H66" s="160">
        <v>393425000</v>
      </c>
      <c r="I66" s="66">
        <v>774763000</v>
      </c>
      <c r="J66" s="66"/>
      <c r="K66" s="66"/>
      <c r="L66" s="66"/>
      <c r="M66" s="66"/>
      <c r="N66" s="66"/>
    </row>
    <row r="67" spans="2:14">
      <c r="B67" s="59" t="s">
        <v>391</v>
      </c>
      <c r="C67" s="161">
        <v>76796138000</v>
      </c>
      <c r="D67" s="66">
        <v>77380685000</v>
      </c>
      <c r="E67" s="66">
        <v>96545434000</v>
      </c>
      <c r="F67" s="66">
        <v>88704383000</v>
      </c>
      <c r="G67" s="66">
        <v>86304475000</v>
      </c>
      <c r="H67" s="160">
        <v>91010118000</v>
      </c>
      <c r="I67" s="66">
        <v>96504005000</v>
      </c>
      <c r="J67" s="66"/>
      <c r="K67" s="66"/>
      <c r="L67" s="66"/>
      <c r="M67" s="66"/>
      <c r="N67" s="66"/>
    </row>
    <row r="68" spans="2:14">
      <c r="B68" s="59" t="s">
        <v>392</v>
      </c>
      <c r="C68" s="66"/>
      <c r="D68" s="66"/>
      <c r="E68" s="66"/>
      <c r="F68" s="66"/>
      <c r="G68" s="66">
        <v>6612593000</v>
      </c>
      <c r="H68" s="160">
        <v>7968204000</v>
      </c>
      <c r="I68" s="66">
        <v>7935438000</v>
      </c>
      <c r="J68" s="66"/>
      <c r="K68" s="66"/>
      <c r="L68" s="66"/>
      <c r="M68" s="66"/>
      <c r="N68" s="66"/>
    </row>
    <row r="69" spans="2:14">
      <c r="B69" s="59" t="s">
        <v>318</v>
      </c>
      <c r="C69" s="66">
        <f t="shared" ref="C69:I69" si="69">+C61-C62-C67-C68-C66-C65-C64-C63</f>
        <v>6504564000</v>
      </c>
      <c r="D69" s="66">
        <f t="shared" si="69"/>
        <v>10074596000</v>
      </c>
      <c r="E69" s="66">
        <f t="shared" si="69"/>
        <v>35803608000</v>
      </c>
      <c r="F69" s="66">
        <f t="shared" si="69"/>
        <v>35848935000</v>
      </c>
      <c r="G69" s="66">
        <f t="shared" si="69"/>
        <v>0</v>
      </c>
      <c r="H69" s="66">
        <f t="shared" si="69"/>
        <v>0</v>
      </c>
      <c r="I69" s="66">
        <f t="shared" si="69"/>
        <v>0</v>
      </c>
      <c r="J69" s="66"/>
      <c r="K69" s="66"/>
      <c r="L69" s="66"/>
      <c r="M69" s="66"/>
      <c r="N69" s="66"/>
    </row>
    <row r="70" spans="2:14">
      <c r="B70" s="58" t="s">
        <v>319</v>
      </c>
      <c r="C70" s="64">
        <v>179352190000</v>
      </c>
      <c r="D70" s="64">
        <v>172450972000</v>
      </c>
      <c r="E70" s="64">
        <v>177355917000</v>
      </c>
      <c r="F70" s="159">
        <v>176523635000</v>
      </c>
      <c r="G70" s="64">
        <v>169564875000</v>
      </c>
      <c r="H70" s="141">
        <v>187584331000</v>
      </c>
      <c r="I70" s="64">
        <v>1863667970000</v>
      </c>
      <c r="J70" s="64"/>
      <c r="K70" s="64"/>
      <c r="L70" s="64"/>
      <c r="M70" s="64"/>
      <c r="N70" s="64"/>
    </row>
    <row r="71" spans="2:14">
      <c r="B71" s="59" t="s">
        <v>393</v>
      </c>
      <c r="C71" s="66"/>
      <c r="D71" s="66"/>
      <c r="E71" s="66"/>
      <c r="F71" s="66"/>
      <c r="G71" s="66"/>
      <c r="H71" s="160"/>
      <c r="I71" s="66"/>
      <c r="J71" s="66"/>
      <c r="K71" s="66"/>
      <c r="L71" s="66"/>
      <c r="M71" s="66"/>
      <c r="N71" s="66"/>
    </row>
    <row r="72" spans="2:14">
      <c r="B72" s="59" t="s">
        <v>394</v>
      </c>
      <c r="C72" s="66"/>
      <c r="D72" s="66"/>
      <c r="E72" s="66"/>
      <c r="F72" s="66"/>
      <c r="G72" s="66"/>
      <c r="H72" s="160"/>
      <c r="I72" s="66"/>
      <c r="J72" s="66"/>
      <c r="K72" s="66"/>
      <c r="L72" s="66"/>
      <c r="M72" s="66"/>
      <c r="N72" s="66"/>
    </row>
    <row r="73" spans="2:14">
      <c r="B73" s="59" t="s">
        <v>395</v>
      </c>
      <c r="C73" s="66"/>
      <c r="D73" s="66"/>
      <c r="E73" s="66"/>
      <c r="F73" s="66"/>
      <c r="G73" s="66"/>
      <c r="H73" s="160"/>
      <c r="I73" s="66"/>
      <c r="J73" s="66"/>
      <c r="K73" s="66"/>
      <c r="L73" s="66"/>
      <c r="M73" s="66"/>
      <c r="N73" s="66"/>
    </row>
    <row r="74" spans="2:14">
      <c r="B74" s="59" t="s">
        <v>396</v>
      </c>
      <c r="C74" s="66"/>
      <c r="D74" s="66"/>
      <c r="E74" s="66"/>
      <c r="F74" s="66"/>
      <c r="G74" s="66"/>
      <c r="H74" s="160"/>
      <c r="I74" s="66"/>
      <c r="J74" s="66"/>
      <c r="K74" s="66"/>
      <c r="L74" s="66"/>
      <c r="M74" s="66"/>
      <c r="N74" s="66"/>
    </row>
    <row r="75" spans="2:14">
      <c r="B75" s="59" t="s">
        <v>397</v>
      </c>
      <c r="C75" s="66"/>
      <c r="D75" s="66"/>
      <c r="E75" s="66"/>
      <c r="F75" s="66"/>
      <c r="G75" s="66"/>
      <c r="H75" s="160"/>
      <c r="I75" s="66"/>
      <c r="J75" s="66"/>
      <c r="K75" s="66"/>
      <c r="L75" s="66"/>
      <c r="M75" s="66"/>
      <c r="N75" s="66"/>
    </row>
    <row r="76" spans="2:14">
      <c r="B76" s="59" t="s">
        <v>398</v>
      </c>
      <c r="C76" s="66"/>
      <c r="D76" s="66"/>
      <c r="E76" s="66"/>
      <c r="F76" s="66"/>
      <c r="G76" s="66"/>
      <c r="H76" s="160">
        <v>1096801000</v>
      </c>
      <c r="I76" s="66">
        <v>625518000</v>
      </c>
      <c r="J76" s="66"/>
      <c r="K76" s="66"/>
      <c r="L76" s="66"/>
      <c r="M76" s="66"/>
      <c r="N76" s="66"/>
    </row>
    <row r="77" spans="2:14">
      <c r="B77" s="59" t="s">
        <v>399</v>
      </c>
      <c r="C77" s="66">
        <v>111827891000</v>
      </c>
      <c r="D77" s="66">
        <v>92176272000</v>
      </c>
      <c r="E77" s="66">
        <v>74134449000</v>
      </c>
      <c r="F77" s="66">
        <v>87318027000</v>
      </c>
      <c r="G77" s="66">
        <v>81447863000</v>
      </c>
      <c r="H77" s="160">
        <v>93200302000</v>
      </c>
      <c r="I77" s="66">
        <v>93471828000</v>
      </c>
      <c r="J77" s="66"/>
      <c r="K77" s="66"/>
      <c r="L77" s="66"/>
      <c r="M77" s="66"/>
      <c r="N77" s="66"/>
    </row>
    <row r="78" spans="2:14">
      <c r="B78" s="59" t="s">
        <v>400</v>
      </c>
      <c r="C78" s="66"/>
      <c r="D78" s="66"/>
      <c r="E78" s="66"/>
      <c r="F78" s="161"/>
      <c r="G78" s="66"/>
      <c r="H78" s="160"/>
      <c r="I78" s="66"/>
      <c r="J78" s="66"/>
      <c r="K78" s="66"/>
      <c r="L78" s="66"/>
      <c r="M78" s="66"/>
      <c r="N78" s="66"/>
    </row>
    <row r="79" spans="2:14">
      <c r="B79" s="59" t="s">
        <v>401</v>
      </c>
      <c r="C79" s="66"/>
      <c r="D79" s="66"/>
      <c r="E79" s="66"/>
      <c r="F79" s="66"/>
      <c r="G79" s="66"/>
      <c r="H79" s="160"/>
      <c r="I79" s="66"/>
      <c r="J79" s="66"/>
      <c r="K79" s="66"/>
      <c r="L79" s="66"/>
      <c r="M79" s="66"/>
      <c r="N79" s="66"/>
    </row>
    <row r="80" spans="2:14">
      <c r="B80" s="59" t="s">
        <v>328</v>
      </c>
      <c r="C80" s="66">
        <f t="shared" ref="C80:I80" si="70">+C70-C77-C78-C76-C71-C79-C75-C74-C73-C72</f>
        <v>67524299000</v>
      </c>
      <c r="D80" s="66">
        <f t="shared" si="70"/>
        <v>80274700000</v>
      </c>
      <c r="E80" s="66">
        <f t="shared" si="70"/>
        <v>103221468000</v>
      </c>
      <c r="F80" s="66">
        <f t="shared" si="70"/>
        <v>89205608000</v>
      </c>
      <c r="G80" s="66">
        <f t="shared" si="70"/>
        <v>88117012000</v>
      </c>
      <c r="H80" s="66">
        <f t="shared" si="70"/>
        <v>93287228000</v>
      </c>
      <c r="I80" s="66">
        <f t="shared" si="70"/>
        <v>1769570624000</v>
      </c>
      <c r="J80" s="66"/>
      <c r="K80" s="66"/>
      <c r="L80" s="66"/>
      <c r="M80" s="66"/>
      <c r="N80" s="66"/>
    </row>
    <row r="81" spans="2:14" ht="14.65" thickBot="1">
      <c r="B81" s="60" t="s">
        <v>329</v>
      </c>
      <c r="C81" s="70">
        <f t="shared" ref="C81:I81" si="71">+C70+C61</f>
        <v>289370362000</v>
      </c>
      <c r="D81" s="70">
        <f t="shared" si="71"/>
        <v>301003437000</v>
      </c>
      <c r="E81" s="70">
        <f t="shared" si="71"/>
        <v>334819593000</v>
      </c>
      <c r="F81" s="70">
        <f t="shared" si="71"/>
        <v>315900728000</v>
      </c>
      <c r="G81" s="70">
        <f t="shared" si="71"/>
        <v>335473269000</v>
      </c>
      <c r="H81" s="162">
        <f t="shared" si="71"/>
        <v>354347577000</v>
      </c>
      <c r="I81" s="162">
        <f t="shared" si="71"/>
        <v>2025221721000</v>
      </c>
      <c r="J81" s="70"/>
      <c r="K81" s="70"/>
      <c r="L81" s="70"/>
      <c r="M81" s="70"/>
      <c r="N81" s="70"/>
    </row>
    <row r="82" spans="2:14" ht="14.65" thickBot="1">
      <c r="B82" s="61"/>
      <c r="C82" s="72"/>
      <c r="D82" s="72"/>
      <c r="E82" s="72"/>
      <c r="F82" s="72"/>
      <c r="G82" s="72"/>
      <c r="H82" s="163"/>
      <c r="I82" s="72"/>
      <c r="J82" s="72"/>
      <c r="K82" s="72"/>
      <c r="L82" s="72"/>
      <c r="M82" s="72"/>
      <c r="N82" s="72"/>
    </row>
    <row r="83" spans="2:14">
      <c r="B83" s="57" t="s">
        <v>330</v>
      </c>
      <c r="C83" s="62"/>
      <c r="D83" s="62"/>
      <c r="E83" s="62"/>
      <c r="F83" s="62"/>
      <c r="G83" s="62"/>
      <c r="H83" s="164"/>
      <c r="I83" s="62"/>
      <c r="J83" s="62"/>
      <c r="K83" s="62"/>
      <c r="L83" s="62"/>
      <c r="M83" s="62"/>
      <c r="N83" s="62"/>
    </row>
    <row r="84" spans="2:14">
      <c r="B84" s="58" t="s">
        <v>310</v>
      </c>
      <c r="C84" s="64">
        <v>73358827000</v>
      </c>
      <c r="D84" s="64">
        <v>92703436000</v>
      </c>
      <c r="E84" s="64">
        <v>101738196000</v>
      </c>
      <c r="F84" s="64">
        <v>94357131000</v>
      </c>
      <c r="G84" s="64">
        <v>94403447000</v>
      </c>
      <c r="H84" s="141">
        <v>114204498000</v>
      </c>
      <c r="I84" s="64">
        <v>97759299000</v>
      </c>
      <c r="J84" s="64"/>
      <c r="K84" s="64"/>
      <c r="L84" s="64"/>
      <c r="M84" s="64"/>
      <c r="N84" s="64"/>
    </row>
    <row r="85" spans="2:14">
      <c r="B85" s="59" t="s">
        <v>402</v>
      </c>
      <c r="C85" s="66">
        <v>51121789000</v>
      </c>
      <c r="D85" s="66">
        <v>62146545000</v>
      </c>
      <c r="E85" s="66">
        <v>68917405000</v>
      </c>
      <c r="F85" s="66">
        <v>60636322000</v>
      </c>
      <c r="G85" s="66">
        <v>56856996000</v>
      </c>
      <c r="H85" s="160">
        <v>75399898000</v>
      </c>
      <c r="I85" s="66">
        <v>61581855000</v>
      </c>
      <c r="J85" s="66"/>
      <c r="K85" s="66"/>
      <c r="L85" s="66"/>
      <c r="M85" s="66"/>
      <c r="N85" s="66"/>
    </row>
    <row r="86" spans="2:14">
      <c r="B86" s="59" t="s">
        <v>403</v>
      </c>
      <c r="C86" s="66"/>
      <c r="D86" s="66"/>
      <c r="E86" s="66"/>
      <c r="F86" s="66"/>
      <c r="G86" s="66"/>
      <c r="H86" s="160"/>
      <c r="I86" s="66"/>
      <c r="J86" s="66"/>
      <c r="K86" s="66"/>
      <c r="L86" s="66"/>
      <c r="M86" s="66"/>
      <c r="N86" s="66"/>
    </row>
    <row r="87" spans="2:14">
      <c r="B87" s="59" t="s">
        <v>404</v>
      </c>
      <c r="C87" s="66"/>
      <c r="D87" s="66"/>
      <c r="E87" s="66"/>
      <c r="F87" s="66"/>
      <c r="G87" s="66"/>
      <c r="H87" s="160"/>
      <c r="I87" s="66"/>
      <c r="J87" s="66"/>
      <c r="K87" s="66"/>
      <c r="L87" s="66"/>
      <c r="M87" s="66"/>
      <c r="N87" s="66"/>
    </row>
    <row r="88" spans="2:14">
      <c r="B88" s="59" t="s">
        <v>405</v>
      </c>
      <c r="C88" s="66"/>
      <c r="D88" s="66"/>
      <c r="E88" s="66"/>
      <c r="F88" s="66"/>
      <c r="G88" s="66"/>
      <c r="H88" s="160"/>
      <c r="I88" s="66"/>
      <c r="J88" s="66"/>
      <c r="K88" s="66"/>
      <c r="L88" s="66"/>
      <c r="M88" s="66"/>
      <c r="N88" s="66"/>
    </row>
    <row r="89" spans="2:14">
      <c r="B89" s="59" t="s">
        <v>406</v>
      </c>
      <c r="C89" s="66"/>
      <c r="D89" s="66"/>
      <c r="E89" s="66"/>
      <c r="F89" s="66"/>
      <c r="G89" s="66"/>
      <c r="H89" s="160"/>
      <c r="I89" s="66"/>
      <c r="J89" s="66"/>
      <c r="K89" s="66"/>
      <c r="L89" s="66"/>
      <c r="M89" s="66"/>
      <c r="N89" s="66"/>
    </row>
    <row r="90" spans="2:14">
      <c r="B90" s="59" t="s">
        <v>407</v>
      </c>
      <c r="C90" s="66"/>
      <c r="D90" s="66"/>
      <c r="E90" s="66"/>
      <c r="F90" s="66"/>
      <c r="G90" s="66"/>
      <c r="H90" s="160"/>
      <c r="I90" s="66"/>
      <c r="J90" s="66"/>
      <c r="K90" s="66"/>
      <c r="L90" s="66"/>
      <c r="M90" s="66"/>
      <c r="N90" s="66"/>
    </row>
    <row r="91" spans="2:14">
      <c r="B91" s="59" t="s">
        <v>408</v>
      </c>
      <c r="C91" s="66"/>
      <c r="D91" s="66"/>
      <c r="E91" s="66"/>
      <c r="F91" s="66"/>
      <c r="G91" s="66"/>
      <c r="H91" s="160"/>
      <c r="I91" s="66"/>
      <c r="J91" s="66"/>
      <c r="K91" s="66"/>
      <c r="L91" s="66"/>
      <c r="M91" s="66"/>
      <c r="N91" s="66"/>
    </row>
    <row r="92" spans="2:14">
      <c r="B92" s="59" t="s">
        <v>409</v>
      </c>
      <c r="C92" s="66"/>
      <c r="D92" s="66"/>
      <c r="E92" s="66"/>
      <c r="F92" s="66"/>
      <c r="G92" s="66"/>
      <c r="H92" s="160"/>
      <c r="I92" s="66"/>
      <c r="J92" s="66"/>
      <c r="K92" s="66"/>
      <c r="L92" s="66"/>
      <c r="M92" s="66"/>
      <c r="N92" s="66"/>
    </row>
    <row r="93" spans="2:14">
      <c r="B93" s="59" t="s">
        <v>410</v>
      </c>
      <c r="C93" s="66">
        <f t="shared" ref="C93:I93" si="72">+C84-C85-C91-C92-C90-C89-C88-C87-C86</f>
        <v>22237038000</v>
      </c>
      <c r="D93" s="66">
        <f t="shared" si="72"/>
        <v>30556891000</v>
      </c>
      <c r="E93" s="66">
        <f t="shared" si="72"/>
        <v>32820791000</v>
      </c>
      <c r="F93" s="66">
        <f t="shared" si="72"/>
        <v>33720809000</v>
      </c>
      <c r="G93" s="66">
        <f t="shared" si="72"/>
        <v>37546451000</v>
      </c>
      <c r="H93" s="66">
        <f t="shared" si="72"/>
        <v>38804600000</v>
      </c>
      <c r="I93" s="66">
        <f t="shared" si="72"/>
        <v>36177444000</v>
      </c>
      <c r="J93" s="66"/>
      <c r="K93" s="66"/>
      <c r="L93" s="66"/>
      <c r="M93" s="66"/>
      <c r="N93" s="66"/>
    </row>
    <row r="94" spans="2:14">
      <c r="B94" s="58" t="s">
        <v>319</v>
      </c>
      <c r="C94" s="64">
        <v>66266968000</v>
      </c>
      <c r="D94" s="64">
        <v>58631551000</v>
      </c>
      <c r="E94" s="64">
        <v>64192791000</v>
      </c>
      <c r="F94" s="64">
        <v>57132701000</v>
      </c>
      <c r="G94" s="64">
        <v>71163363000</v>
      </c>
      <c r="H94" s="141">
        <v>69684735000</v>
      </c>
      <c r="I94" s="64">
        <v>77288132000</v>
      </c>
      <c r="J94" s="64"/>
      <c r="K94" s="64"/>
      <c r="L94" s="64"/>
      <c r="M94" s="64"/>
      <c r="N94" s="64"/>
    </row>
    <row r="95" spans="2:14">
      <c r="B95" s="59" t="s">
        <v>411</v>
      </c>
      <c r="C95" s="66"/>
      <c r="D95" s="66"/>
      <c r="E95" s="66"/>
      <c r="F95" s="66"/>
      <c r="G95" s="66">
        <v>28746249000</v>
      </c>
      <c r="H95" s="160">
        <v>25023150000</v>
      </c>
      <c r="I95" s="66">
        <v>31874769000</v>
      </c>
      <c r="J95" s="66"/>
      <c r="K95" s="66"/>
      <c r="L95" s="66"/>
      <c r="M95" s="66"/>
      <c r="N95" s="66"/>
    </row>
    <row r="96" spans="2:14">
      <c r="B96" s="59" t="s">
        <v>412</v>
      </c>
      <c r="C96" s="66"/>
      <c r="D96" s="66"/>
      <c r="E96" s="66"/>
      <c r="F96" s="66"/>
      <c r="G96" s="66"/>
      <c r="H96" s="160"/>
      <c r="I96" s="66"/>
      <c r="J96" s="66"/>
      <c r="K96" s="66"/>
      <c r="L96" s="66"/>
      <c r="M96" s="66"/>
      <c r="N96" s="66"/>
    </row>
    <row r="97" spans="2:14">
      <c r="B97" s="59" t="s">
        <v>413</v>
      </c>
      <c r="C97" s="66"/>
      <c r="D97" s="66"/>
      <c r="E97" s="66"/>
      <c r="F97" s="66"/>
      <c r="G97" s="66"/>
      <c r="H97" s="160"/>
      <c r="I97" s="66"/>
      <c r="J97" s="66"/>
      <c r="K97" s="66"/>
      <c r="L97" s="66"/>
      <c r="M97" s="66"/>
      <c r="N97" s="66"/>
    </row>
    <row r="98" spans="2:14">
      <c r="B98" s="59" t="s">
        <v>414</v>
      </c>
      <c r="C98" s="66"/>
      <c r="D98" s="66"/>
      <c r="E98" s="66"/>
      <c r="F98" s="66"/>
      <c r="G98" s="66"/>
      <c r="H98" s="160"/>
      <c r="I98" s="66"/>
      <c r="J98" s="66"/>
      <c r="K98" s="66"/>
      <c r="L98" s="66"/>
      <c r="M98" s="66"/>
      <c r="N98" s="66"/>
    </row>
    <row r="99" spans="2:14">
      <c r="B99" s="59" t="s">
        <v>341</v>
      </c>
      <c r="C99" s="66">
        <f t="shared" ref="C99:I99" si="73">+C94-C95-C97-C98-C96</f>
        <v>66266968000</v>
      </c>
      <c r="D99" s="66">
        <f t="shared" si="73"/>
        <v>58631551000</v>
      </c>
      <c r="E99" s="66">
        <f t="shared" si="73"/>
        <v>64192791000</v>
      </c>
      <c r="F99" s="66">
        <f t="shared" si="73"/>
        <v>57132701000</v>
      </c>
      <c r="G99" s="66">
        <f t="shared" si="73"/>
        <v>42417114000</v>
      </c>
      <c r="H99" s="66">
        <f t="shared" si="73"/>
        <v>44661585000</v>
      </c>
      <c r="I99" s="66">
        <f t="shared" si="73"/>
        <v>45413363000</v>
      </c>
      <c r="J99" s="66"/>
      <c r="K99" s="66"/>
      <c r="L99" s="66"/>
      <c r="M99" s="66"/>
      <c r="N99" s="66"/>
    </row>
    <row r="100" spans="2:14" ht="14.65" thickBot="1">
      <c r="B100" s="60" t="s">
        <v>342</v>
      </c>
      <c r="C100" s="70">
        <f t="shared" ref="C100:H100" si="74">+C94+C84</f>
        <v>139625795000</v>
      </c>
      <c r="D100" s="70">
        <f t="shared" si="74"/>
        <v>151334987000</v>
      </c>
      <c r="E100" s="70">
        <f t="shared" si="74"/>
        <v>165930987000</v>
      </c>
      <c r="F100" s="70">
        <f t="shared" si="74"/>
        <v>151489832000</v>
      </c>
      <c r="G100" s="70">
        <f t="shared" si="74"/>
        <v>165566810000</v>
      </c>
      <c r="H100" s="162">
        <f t="shared" si="74"/>
        <v>183889233000</v>
      </c>
      <c r="I100" s="70">
        <v>175047431000</v>
      </c>
      <c r="J100" s="70"/>
      <c r="K100" s="70"/>
      <c r="L100" s="70"/>
      <c r="M100" s="70"/>
      <c r="N100" s="70"/>
    </row>
    <row r="101" spans="2:14" ht="14.65" thickBot="1">
      <c r="B101" s="61"/>
      <c r="C101" s="61"/>
      <c r="D101" s="61"/>
      <c r="E101" s="61"/>
      <c r="F101" s="61"/>
      <c r="G101" s="61"/>
      <c r="H101" s="61"/>
      <c r="I101" s="61"/>
      <c r="J101" s="61"/>
      <c r="K101" s="61"/>
      <c r="L101" s="61"/>
      <c r="M101" s="61"/>
      <c r="N101" s="61"/>
    </row>
    <row r="102" spans="2:14">
      <c r="B102" s="57" t="s">
        <v>343</v>
      </c>
      <c r="C102" s="62"/>
      <c r="D102" s="62"/>
      <c r="E102" s="62"/>
      <c r="F102" s="62"/>
      <c r="G102" s="62"/>
      <c r="H102" s="164"/>
      <c r="I102" s="62"/>
      <c r="J102" s="62"/>
      <c r="K102" s="62"/>
      <c r="L102" s="62"/>
      <c r="M102" s="62"/>
      <c r="N102" s="62"/>
    </row>
    <row r="103" spans="2:14">
      <c r="B103" s="59" t="s">
        <v>415</v>
      </c>
      <c r="C103" s="160">
        <v>83784885000</v>
      </c>
      <c r="D103" s="160">
        <v>83784885000</v>
      </c>
      <c r="E103" s="160">
        <v>98570453000</v>
      </c>
      <c r="F103" s="160">
        <v>98570453000</v>
      </c>
      <c r="G103" s="160">
        <v>98570453000</v>
      </c>
      <c r="H103" s="160">
        <v>98570453000</v>
      </c>
      <c r="I103" s="160">
        <v>98570453000</v>
      </c>
      <c r="J103" s="160"/>
      <c r="K103" s="160"/>
      <c r="L103" s="160"/>
      <c r="M103" s="160"/>
      <c r="N103" s="160"/>
    </row>
    <row r="104" spans="2:14">
      <c r="B104" s="59" t="s">
        <v>774</v>
      </c>
      <c r="C104" s="160"/>
      <c r="D104" s="160"/>
      <c r="E104" s="160">
        <v>3448858000</v>
      </c>
      <c r="F104" s="160">
        <v>3448858000</v>
      </c>
      <c r="G104" s="160">
        <v>3448858000</v>
      </c>
      <c r="H104" s="160">
        <v>3448858000</v>
      </c>
      <c r="I104" s="160">
        <v>3448858000</v>
      </c>
      <c r="J104" s="160"/>
      <c r="K104" s="160"/>
      <c r="L104" s="160"/>
      <c r="M104" s="160"/>
      <c r="N104" s="160"/>
    </row>
    <row r="105" spans="2:14">
      <c r="B105" s="59" t="s">
        <v>416</v>
      </c>
      <c r="C105" s="66">
        <v>58164352000</v>
      </c>
      <c r="D105" s="66">
        <v>29060243000</v>
      </c>
      <c r="E105" s="66">
        <v>30447862000</v>
      </c>
      <c r="F105" s="66">
        <v>26366314000</v>
      </c>
      <c r="G105" s="66">
        <v>31809979000</v>
      </c>
      <c r="H105" s="160">
        <v>37747820000</v>
      </c>
      <c r="I105" s="66">
        <v>40254402000</v>
      </c>
      <c r="J105" s="66"/>
      <c r="K105" s="66"/>
      <c r="L105" s="66"/>
      <c r="M105" s="66"/>
      <c r="N105" s="66"/>
    </row>
    <row r="106" spans="2:14">
      <c r="B106" s="59" t="s">
        <v>345</v>
      </c>
      <c r="C106" s="66">
        <v>-6505000</v>
      </c>
      <c r="D106" s="66">
        <v>228390000</v>
      </c>
      <c r="E106" s="66">
        <v>-6505000</v>
      </c>
      <c r="F106" s="66">
        <v>-6505000</v>
      </c>
      <c r="G106" s="66">
        <v>-6505000</v>
      </c>
      <c r="H106" s="160">
        <v>-6505000</v>
      </c>
      <c r="I106" s="66">
        <v>-8337000</v>
      </c>
      <c r="J106" s="66"/>
      <c r="K106" s="66"/>
      <c r="L106" s="66"/>
      <c r="M106" s="66"/>
      <c r="N106" s="66"/>
    </row>
    <row r="107" spans="2:14">
      <c r="B107" s="59" t="s">
        <v>419</v>
      </c>
      <c r="C107" s="66">
        <v>37801835000</v>
      </c>
      <c r="D107" s="66">
        <v>36594932000</v>
      </c>
      <c r="E107" s="66">
        <v>36427938000</v>
      </c>
      <c r="F107" s="66">
        <v>36031776000</v>
      </c>
      <c r="G107" s="66">
        <v>36083674000</v>
      </c>
      <c r="H107" s="160">
        <v>30697718000</v>
      </c>
      <c r="I107" s="66">
        <v>30607741000</v>
      </c>
      <c r="J107" s="66"/>
      <c r="K107" s="66"/>
      <c r="L107" s="66"/>
      <c r="M107" s="66"/>
      <c r="N107" s="66"/>
    </row>
    <row r="108" spans="2:14" ht="14.65" thickBot="1">
      <c r="B108" s="60" t="s">
        <v>420</v>
      </c>
      <c r="C108" s="70">
        <f t="shared" ref="C108:G108" si="75">+C103+C106+C105+C104</f>
        <v>141942732000</v>
      </c>
      <c r="D108" s="70">
        <f t="shared" si="75"/>
        <v>113073518000</v>
      </c>
      <c r="E108" s="70">
        <f t="shared" si="75"/>
        <v>132460668000</v>
      </c>
      <c r="F108" s="70">
        <f t="shared" si="75"/>
        <v>128379120000</v>
      </c>
      <c r="G108" s="70">
        <f t="shared" si="75"/>
        <v>133822785000</v>
      </c>
      <c r="H108" s="70">
        <f t="shared" ref="H108:N108" si="76">+H103+H106+H105+H104</f>
        <v>139760626000</v>
      </c>
      <c r="I108" s="70">
        <f t="shared" si="76"/>
        <v>142265376000</v>
      </c>
      <c r="J108" s="70">
        <f t="shared" si="76"/>
        <v>0</v>
      </c>
      <c r="K108" s="70">
        <f t="shared" si="76"/>
        <v>0</v>
      </c>
      <c r="L108" s="70">
        <f t="shared" si="76"/>
        <v>0</v>
      </c>
      <c r="M108" s="70">
        <f t="shared" si="76"/>
        <v>0</v>
      </c>
      <c r="N108" s="70">
        <f t="shared" si="76"/>
        <v>0</v>
      </c>
    </row>
    <row r="109" spans="2:14" ht="14.65" thickBot="1">
      <c r="B109" s="60" t="s">
        <v>347</v>
      </c>
      <c r="C109" s="70">
        <f>+C108+C107</f>
        <v>179744567000</v>
      </c>
      <c r="D109" s="70">
        <f t="shared" ref="D109:I109" si="77">+D108+D107</f>
        <v>149668450000</v>
      </c>
      <c r="E109" s="70">
        <f t="shared" si="77"/>
        <v>168888606000</v>
      </c>
      <c r="F109" s="70">
        <f t="shared" si="77"/>
        <v>164410896000</v>
      </c>
      <c r="G109" s="70">
        <f t="shared" si="77"/>
        <v>169906459000</v>
      </c>
      <c r="H109" s="70">
        <f t="shared" si="77"/>
        <v>170458344000</v>
      </c>
      <c r="I109" s="70">
        <f t="shared" si="77"/>
        <v>172873117000</v>
      </c>
      <c r="J109" s="70">
        <f t="shared" ref="J109:N109" si="78">+J108+J107</f>
        <v>0</v>
      </c>
      <c r="K109" s="70">
        <f t="shared" si="78"/>
        <v>0</v>
      </c>
      <c r="L109" s="70">
        <f t="shared" si="78"/>
        <v>0</v>
      </c>
      <c r="M109" s="70">
        <f t="shared" si="78"/>
        <v>0</v>
      </c>
      <c r="N109" s="70">
        <f t="shared" si="78"/>
        <v>0</v>
      </c>
    </row>
    <row r="111" spans="2:14" ht="14.65" thickBot="1">
      <c r="B111" s="75" t="s">
        <v>348</v>
      </c>
    </row>
    <row r="112" spans="2:14" ht="14.65" thickBot="1">
      <c r="B112" s="82" t="s">
        <v>308</v>
      </c>
      <c r="C112" s="88">
        <v>2017</v>
      </c>
      <c r="D112" s="88">
        <v>2018</v>
      </c>
      <c r="E112" s="88">
        <v>2019</v>
      </c>
      <c r="F112" s="88">
        <v>2020</v>
      </c>
      <c r="G112" s="88">
        <v>2021</v>
      </c>
      <c r="H112" s="88">
        <v>2022</v>
      </c>
      <c r="I112" s="88">
        <v>2023</v>
      </c>
      <c r="J112" s="88">
        <v>2024</v>
      </c>
      <c r="K112" s="88">
        <v>2025</v>
      </c>
      <c r="L112" s="88">
        <v>2026</v>
      </c>
      <c r="M112" s="88">
        <v>2027</v>
      </c>
      <c r="N112" s="88">
        <v>2028</v>
      </c>
    </row>
    <row r="113" spans="2:14">
      <c r="B113" s="83" t="s">
        <v>349</v>
      </c>
      <c r="C113" s="90">
        <v>76169892000</v>
      </c>
      <c r="D113" s="90">
        <v>54191756000</v>
      </c>
      <c r="E113" s="90">
        <v>48418172000</v>
      </c>
      <c r="F113" s="90">
        <v>48452101000</v>
      </c>
      <c r="G113" s="90">
        <v>70996990000</v>
      </c>
      <c r="H113" s="90">
        <v>65294052000</v>
      </c>
      <c r="I113" s="90">
        <v>56172653000</v>
      </c>
      <c r="J113" s="90"/>
      <c r="K113" s="90"/>
      <c r="L113" s="90"/>
      <c r="M113" s="90"/>
      <c r="N113" s="90"/>
    </row>
    <row r="114" spans="2:14">
      <c r="B114" s="85" t="s">
        <v>534</v>
      </c>
      <c r="C114" s="66">
        <v>-60284604000</v>
      </c>
      <c r="D114" s="66">
        <v>-37178515000</v>
      </c>
      <c r="E114" s="66">
        <v>-31707990000</v>
      </c>
      <c r="F114" s="66">
        <v>-40637436000</v>
      </c>
      <c r="G114" s="66">
        <v>-48833412000</v>
      </c>
      <c r="H114" s="66">
        <v>-39824375000</v>
      </c>
      <c r="I114" s="66">
        <v>-37524115000</v>
      </c>
      <c r="J114" s="66"/>
      <c r="K114" s="66"/>
      <c r="L114" s="66"/>
      <c r="M114" s="66"/>
      <c r="N114" s="66"/>
    </row>
    <row r="115" spans="2:14">
      <c r="B115" s="86" t="s">
        <v>422</v>
      </c>
      <c r="C115" s="64">
        <f t="shared" ref="C115:F115" si="79">+C113+C114</f>
        <v>15885288000</v>
      </c>
      <c r="D115" s="64">
        <f>+D113+D114</f>
        <v>17013241000</v>
      </c>
      <c r="E115" s="64">
        <f t="shared" si="79"/>
        <v>16710182000</v>
      </c>
      <c r="F115" s="64">
        <f t="shared" si="79"/>
        <v>7814665000</v>
      </c>
      <c r="G115" s="64">
        <f>+G113+G114</f>
        <v>22163578000</v>
      </c>
      <c r="H115" s="64">
        <f t="shared" ref="H115:I115" si="80">+H113+H114</f>
        <v>25469677000</v>
      </c>
      <c r="I115" s="64">
        <f t="shared" si="80"/>
        <v>18648538000</v>
      </c>
      <c r="J115" s="64"/>
      <c r="K115" s="64"/>
      <c r="L115" s="64"/>
      <c r="M115" s="64"/>
      <c r="N115" s="64"/>
    </row>
    <row r="116" spans="2:14">
      <c r="B116" s="85" t="s">
        <v>592</v>
      </c>
      <c r="C116" s="117"/>
      <c r="D116" s="117"/>
      <c r="E116" s="117"/>
      <c r="F116" s="117"/>
      <c r="G116" s="117"/>
      <c r="H116" s="117"/>
      <c r="I116" s="117"/>
      <c r="J116" s="117"/>
      <c r="K116" s="117"/>
      <c r="L116" s="117"/>
      <c r="M116" s="117"/>
      <c r="N116" s="117"/>
    </row>
    <row r="117" spans="2:14">
      <c r="B117" s="85" t="s">
        <v>536</v>
      </c>
      <c r="C117" s="117"/>
      <c r="D117" s="117"/>
      <c r="E117" s="117"/>
      <c r="F117" s="117"/>
      <c r="G117" s="117"/>
      <c r="H117" s="117"/>
      <c r="I117" s="117"/>
      <c r="J117" s="117"/>
      <c r="K117" s="117"/>
      <c r="L117" s="117"/>
      <c r="M117" s="117"/>
      <c r="N117" s="117"/>
    </row>
    <row r="118" spans="2:14">
      <c r="B118" s="85" t="s">
        <v>537</v>
      </c>
      <c r="C118" s="117">
        <v>-12133307000</v>
      </c>
      <c r="D118" s="117">
        <v>-12677326000</v>
      </c>
      <c r="E118" s="117">
        <v>-13853992000</v>
      </c>
      <c r="F118" s="117">
        <v>-12119388000</v>
      </c>
      <c r="G118" s="117">
        <v>-11993850000</v>
      </c>
      <c r="H118" s="117">
        <v>-14738679000</v>
      </c>
      <c r="I118" s="117">
        <v>-16705803000</v>
      </c>
      <c r="J118" s="117"/>
      <c r="K118" s="117"/>
      <c r="L118" s="117"/>
      <c r="M118" s="117"/>
      <c r="N118" s="117"/>
    </row>
    <row r="119" spans="2:14">
      <c r="B119" s="85" t="s">
        <v>427</v>
      </c>
      <c r="C119" s="117">
        <v>1297064000</v>
      </c>
      <c r="D119" s="117">
        <v>3963238000</v>
      </c>
      <c r="E119" s="117">
        <f>758304-1410081000</f>
        <v>-1409322696</v>
      </c>
      <c r="F119" s="117">
        <f>282021000-198834000</f>
        <v>83187000</v>
      </c>
      <c r="G119" s="117">
        <f>657689000-385593000</f>
        <v>272096000</v>
      </c>
      <c r="H119" s="117">
        <f>1563589000-129405000</f>
        <v>1434184000</v>
      </c>
      <c r="I119" s="117">
        <f>1016525000-79865000</f>
        <v>936660000</v>
      </c>
      <c r="J119" s="117"/>
      <c r="K119" s="117"/>
      <c r="L119" s="117"/>
      <c r="M119" s="117"/>
      <c r="N119" s="117"/>
    </row>
    <row r="120" spans="2:14">
      <c r="B120" s="86" t="s">
        <v>428</v>
      </c>
      <c r="C120" s="64">
        <f t="shared" ref="C120:G120" si="81">+C115+C119+C116+C117+C118</f>
        <v>5049045000</v>
      </c>
      <c r="D120" s="64">
        <f t="shared" si="81"/>
        <v>8299153000</v>
      </c>
      <c r="E120" s="64">
        <f t="shared" si="81"/>
        <v>1446867304</v>
      </c>
      <c r="F120" s="64">
        <f t="shared" si="81"/>
        <v>-4221536000</v>
      </c>
      <c r="G120" s="64">
        <f t="shared" si="81"/>
        <v>10441824000</v>
      </c>
      <c r="H120" s="64">
        <f>+H115+H119+H116+H117+H118</f>
        <v>12165182000</v>
      </c>
      <c r="I120" s="64">
        <f>+I115+I119+I116+I117+I118</f>
        <v>2879395000</v>
      </c>
      <c r="J120" s="64"/>
      <c r="K120" s="64"/>
      <c r="L120" s="64"/>
      <c r="M120" s="64"/>
      <c r="N120" s="64"/>
    </row>
    <row r="121" spans="2:14">
      <c r="B121" s="85" t="s">
        <v>429</v>
      </c>
      <c r="C121" s="66">
        <v>184075000</v>
      </c>
      <c r="D121" s="66">
        <v>178216000</v>
      </c>
      <c r="E121" s="66">
        <v>582954000</v>
      </c>
      <c r="F121" s="66">
        <v>127015000</v>
      </c>
      <c r="G121" s="131">
        <v>112861000</v>
      </c>
      <c r="H121" s="131">
        <v>3442597000</v>
      </c>
      <c r="I121" s="131">
        <v>3503162000</v>
      </c>
      <c r="J121" s="131"/>
      <c r="K121" s="131"/>
      <c r="L121" s="131"/>
      <c r="M121" s="131"/>
      <c r="N121" s="131"/>
    </row>
    <row r="122" spans="2:14">
      <c r="B122" s="85" t="s">
        <v>430</v>
      </c>
      <c r="C122" s="66">
        <v>-2784197000</v>
      </c>
      <c r="D122" s="66">
        <v>-2291968000</v>
      </c>
      <c r="E122" s="66">
        <v>-1801424000</v>
      </c>
      <c r="F122" s="66">
        <v>-1532417000</v>
      </c>
      <c r="G122" s="131">
        <v>-1792609000</v>
      </c>
      <c r="H122" s="131">
        <v>-1934030000</v>
      </c>
      <c r="I122" s="131">
        <v>-2330573000</v>
      </c>
      <c r="J122" s="131"/>
      <c r="K122" s="131"/>
      <c r="L122" s="131"/>
      <c r="M122" s="131"/>
      <c r="N122" s="131"/>
    </row>
    <row r="123" spans="2:14">
      <c r="B123" s="85" t="s">
        <v>431</v>
      </c>
      <c r="C123" s="66">
        <v>644319000</v>
      </c>
      <c r="D123" s="66">
        <v>-970952000</v>
      </c>
      <c r="E123" s="66">
        <v>644358000</v>
      </c>
      <c r="F123" s="66">
        <v>-272905000</v>
      </c>
      <c r="G123" s="131">
        <v>1805545000</v>
      </c>
      <c r="H123" s="131">
        <v>615067000</v>
      </c>
      <c r="I123" s="131">
        <v>995166000</v>
      </c>
      <c r="J123" s="131"/>
      <c r="K123" s="131"/>
      <c r="L123" s="131"/>
      <c r="M123" s="131"/>
      <c r="N123" s="131"/>
    </row>
    <row r="124" spans="2:14">
      <c r="B124" s="85" t="s">
        <v>432</v>
      </c>
      <c r="C124" s="66"/>
      <c r="D124" s="66"/>
      <c r="E124" s="66"/>
      <c r="F124" s="66"/>
      <c r="G124" s="131"/>
      <c r="H124" s="131"/>
      <c r="I124" s="131"/>
      <c r="J124" s="131"/>
      <c r="K124" s="131"/>
      <c r="L124" s="131"/>
      <c r="M124" s="131"/>
      <c r="N124" s="131"/>
    </row>
    <row r="125" spans="2:14">
      <c r="B125" s="85" t="s">
        <v>433</v>
      </c>
      <c r="C125" s="66">
        <v>-889460000</v>
      </c>
      <c r="D125" s="66">
        <v>-1025699000</v>
      </c>
      <c r="E125" s="66">
        <v>-357339000</v>
      </c>
      <c r="F125" s="66">
        <v>-378732000</v>
      </c>
      <c r="G125" s="131">
        <v>-989230000</v>
      </c>
      <c r="H125" s="131">
        <v>-4868871000</v>
      </c>
      <c r="I125" s="131">
        <v>-1216360000</v>
      </c>
      <c r="J125" s="131"/>
      <c r="K125" s="131"/>
      <c r="L125" s="131"/>
      <c r="M125" s="131"/>
      <c r="N125" s="131"/>
    </row>
    <row r="126" spans="2:14">
      <c r="B126" s="86" t="s">
        <v>362</v>
      </c>
      <c r="C126" s="64">
        <f t="shared" ref="C126:E126" si="82">+C120+C121+C122+C123+C124+C125</f>
        <v>2203782000</v>
      </c>
      <c r="D126" s="64">
        <f t="shared" si="82"/>
        <v>4188750000</v>
      </c>
      <c r="E126" s="64">
        <f t="shared" si="82"/>
        <v>515416304</v>
      </c>
      <c r="F126" s="64">
        <f>+F120+F121+F122+F123+F124+F125</f>
        <v>-6278575000</v>
      </c>
      <c r="G126" s="64">
        <f t="shared" ref="G126:I126" si="83">+G120+G121+G122+G123+G124+G125</f>
        <v>9578391000</v>
      </c>
      <c r="H126" s="64">
        <f t="shared" si="83"/>
        <v>9419945000</v>
      </c>
      <c r="I126" s="64">
        <f t="shared" si="83"/>
        <v>3830790000</v>
      </c>
      <c r="J126" s="64"/>
      <c r="K126" s="64"/>
      <c r="L126" s="64"/>
      <c r="M126" s="64"/>
      <c r="N126" s="64"/>
    </row>
    <row r="127" spans="2:14">
      <c r="B127" s="85" t="s">
        <v>363</v>
      </c>
      <c r="C127" s="66">
        <v>-231644000</v>
      </c>
      <c r="D127" s="66">
        <v>-677467000</v>
      </c>
      <c r="E127" s="66">
        <v>2245170000</v>
      </c>
      <c r="F127" s="66">
        <v>3042778000</v>
      </c>
      <c r="G127" s="91">
        <v>2315700000</v>
      </c>
      <c r="H127" s="91">
        <v>5565914000</v>
      </c>
      <c r="I127" s="91">
        <v>571905000</v>
      </c>
      <c r="J127" s="91"/>
      <c r="K127" s="91"/>
      <c r="L127" s="91"/>
      <c r="M127" s="91"/>
      <c r="N127" s="91"/>
    </row>
    <row r="128" spans="2:14">
      <c r="B128" s="84" t="s">
        <v>365</v>
      </c>
      <c r="C128" s="130">
        <f t="shared" ref="C128:G128" si="84">+C126+C127</f>
        <v>1972138000</v>
      </c>
      <c r="D128" s="130">
        <f t="shared" si="84"/>
        <v>3511283000</v>
      </c>
      <c r="E128" s="130">
        <f t="shared" si="84"/>
        <v>2760586304</v>
      </c>
      <c r="F128" s="130">
        <f t="shared" si="84"/>
        <v>-3235797000</v>
      </c>
      <c r="G128" s="130">
        <f t="shared" si="84"/>
        <v>11894091000</v>
      </c>
      <c r="H128" s="130">
        <f>+H126+H127</f>
        <v>14985859000</v>
      </c>
      <c r="I128" s="130">
        <f>+I126+I127</f>
        <v>4402695000</v>
      </c>
      <c r="J128" s="130"/>
      <c r="K128" s="130"/>
      <c r="L128" s="130"/>
      <c r="M128" s="130"/>
      <c r="N128" s="130"/>
    </row>
    <row r="129" spans="2:14" ht="28.5">
      <c r="B129" s="87" t="s">
        <v>435</v>
      </c>
      <c r="C129" s="66">
        <v>522612000</v>
      </c>
      <c r="D129" s="66">
        <v>301884000</v>
      </c>
      <c r="E129" s="66">
        <v>555837000</v>
      </c>
      <c r="F129" s="66">
        <v>845751000</v>
      </c>
      <c r="G129" s="91">
        <v>2758138000</v>
      </c>
      <c r="H129" s="91">
        <v>6150380000</v>
      </c>
      <c r="I129" s="91">
        <v>805637000</v>
      </c>
      <c r="J129" s="91"/>
      <c r="K129" s="91"/>
      <c r="L129" s="91"/>
      <c r="M129" s="91"/>
      <c r="N129" s="91"/>
    </row>
    <row r="130" spans="2:14">
      <c r="B130" s="84" t="s">
        <v>436</v>
      </c>
      <c r="C130" s="66">
        <f>+C128-C129</f>
        <v>1449526000</v>
      </c>
      <c r="D130" s="66">
        <f t="shared" ref="D130:I130" si="85">+D128-D129</f>
        <v>3209399000</v>
      </c>
      <c r="E130" s="66">
        <f t="shared" si="85"/>
        <v>2204749304</v>
      </c>
      <c r="F130" s="66">
        <f t="shared" si="85"/>
        <v>-4081548000</v>
      </c>
      <c r="G130" s="66">
        <f t="shared" si="85"/>
        <v>9135953000</v>
      </c>
      <c r="H130" s="66">
        <f t="shared" si="85"/>
        <v>8835479000</v>
      </c>
      <c r="I130" s="66">
        <f t="shared" si="85"/>
        <v>3597058000</v>
      </c>
      <c r="J130" s="66">
        <f t="shared" ref="J130:N130" si="86">+J128-J129</f>
        <v>0</v>
      </c>
      <c r="K130" s="66">
        <f t="shared" si="86"/>
        <v>0</v>
      </c>
      <c r="L130" s="66">
        <f t="shared" si="86"/>
        <v>0</v>
      </c>
      <c r="M130" s="66">
        <f t="shared" si="86"/>
        <v>0</v>
      </c>
      <c r="N130" s="66">
        <f t="shared" si="86"/>
        <v>0</v>
      </c>
    </row>
    <row r="131" spans="2:14">
      <c r="B131" s="84" t="s">
        <v>366</v>
      </c>
      <c r="C131" s="111">
        <v>2.88</v>
      </c>
      <c r="D131" s="111">
        <v>6.38</v>
      </c>
      <c r="E131" s="111">
        <v>5.07</v>
      </c>
      <c r="F131" s="134">
        <v>-6.9</v>
      </c>
      <c r="G131" s="134">
        <v>15.27</v>
      </c>
      <c r="H131" s="134">
        <v>14.94</v>
      </c>
      <c r="I131" s="134">
        <v>6.08</v>
      </c>
      <c r="J131" s="134"/>
      <c r="K131" s="134"/>
      <c r="L131" s="134"/>
      <c r="M131" s="134"/>
      <c r="N131" s="134"/>
    </row>
    <row r="133" spans="2:14" ht="14.65" thickBot="1">
      <c r="B133" s="75" t="s">
        <v>367</v>
      </c>
    </row>
    <row r="134" spans="2:14" ht="14.65" thickBot="1">
      <c r="B134" s="82" t="s">
        <v>308</v>
      </c>
      <c r="C134" s="88">
        <v>2017</v>
      </c>
      <c r="D134" s="88">
        <v>2018</v>
      </c>
      <c r="E134" s="88">
        <v>2019</v>
      </c>
      <c r="F134" s="88">
        <v>2020</v>
      </c>
      <c r="G134" s="88">
        <v>2021</v>
      </c>
      <c r="H134" s="88">
        <v>2022</v>
      </c>
      <c r="I134" s="88">
        <v>2023</v>
      </c>
      <c r="J134" s="88">
        <v>2024</v>
      </c>
      <c r="K134" s="88">
        <v>2025</v>
      </c>
      <c r="L134" s="88">
        <v>2026</v>
      </c>
      <c r="M134" s="88">
        <v>2027</v>
      </c>
      <c r="N134" s="88">
        <v>2028</v>
      </c>
    </row>
    <row r="135" spans="2:14">
      <c r="B135" s="83" t="s">
        <v>368</v>
      </c>
      <c r="C135" s="90">
        <v>31068240000</v>
      </c>
      <c r="D135" s="90">
        <v>-7674678000</v>
      </c>
      <c r="E135" s="90">
        <v>-5168957000</v>
      </c>
      <c r="F135" s="90">
        <v>25701083000</v>
      </c>
      <c r="G135" s="90">
        <v>1448356000</v>
      </c>
      <c r="H135" s="90">
        <v>23078346000</v>
      </c>
      <c r="I135" s="90">
        <v>3471695000</v>
      </c>
      <c r="J135" s="90"/>
      <c r="K135" s="90"/>
      <c r="L135" s="90"/>
      <c r="M135" s="90"/>
      <c r="N135" s="90"/>
    </row>
    <row r="136" spans="2:14">
      <c r="B136" s="86" t="s">
        <v>369</v>
      </c>
      <c r="C136" s="91">
        <v>-2107620000</v>
      </c>
      <c r="D136" s="91">
        <v>5666463000</v>
      </c>
      <c r="E136" s="93">
        <v>3323434000</v>
      </c>
      <c r="F136" s="66">
        <v>-3316840000</v>
      </c>
      <c r="G136" s="66">
        <v>885985000</v>
      </c>
      <c r="H136" s="66">
        <v>3533787000</v>
      </c>
      <c r="I136" s="66">
        <v>2464299000</v>
      </c>
      <c r="J136" s="66"/>
      <c r="K136" s="66"/>
      <c r="L136" s="66"/>
      <c r="M136" s="66"/>
      <c r="N136" s="66"/>
    </row>
    <row r="137" spans="2:14">
      <c r="B137" s="85" t="s">
        <v>370</v>
      </c>
      <c r="C137" s="93">
        <v>-535698000</v>
      </c>
      <c r="D137" s="93">
        <v>-378797000</v>
      </c>
      <c r="E137" s="93">
        <v>-509217000</v>
      </c>
      <c r="F137" s="93">
        <v>-331018000</v>
      </c>
      <c r="G137" s="93">
        <v>-102109000</v>
      </c>
      <c r="H137" s="93">
        <v>-93245000</v>
      </c>
      <c r="I137" s="93">
        <v>-131940000</v>
      </c>
      <c r="J137" s="93"/>
      <c r="K137" s="93"/>
      <c r="L137" s="93"/>
      <c r="M137" s="93"/>
      <c r="N137" s="93"/>
    </row>
    <row r="138" spans="2:14">
      <c r="B138" s="86" t="s">
        <v>372</v>
      </c>
      <c r="C138" s="120">
        <v>-34251022000</v>
      </c>
      <c r="D138" s="120">
        <v>-198909000</v>
      </c>
      <c r="E138" s="64">
        <v>17466908000</v>
      </c>
      <c r="F138" s="120">
        <v>-20250599000</v>
      </c>
      <c r="G138" s="120">
        <v>-380761000</v>
      </c>
      <c r="H138" s="120">
        <v>-8589687000</v>
      </c>
      <c r="I138" s="120">
        <v>-20467526000</v>
      </c>
      <c r="J138" s="120"/>
      <c r="K138" s="120"/>
      <c r="L138" s="120"/>
      <c r="M138" s="120"/>
      <c r="N138" s="120"/>
    </row>
    <row r="139" spans="2:14">
      <c r="B139" s="85" t="s">
        <v>373</v>
      </c>
      <c r="C139" s="93">
        <v>-1329662000</v>
      </c>
      <c r="D139" s="93">
        <v>-1351041000</v>
      </c>
      <c r="E139" s="66">
        <v>-1653946000</v>
      </c>
      <c r="F139" s="93">
        <v>-888689000</v>
      </c>
      <c r="G139" s="93">
        <v>-881502000</v>
      </c>
      <c r="H139" s="93">
        <v>-2957780000</v>
      </c>
      <c r="I139" s="93">
        <v>-2662002000</v>
      </c>
      <c r="J139" s="93"/>
      <c r="K139" s="93"/>
      <c r="L139" s="93"/>
      <c r="M139" s="93"/>
      <c r="N139" s="93"/>
    </row>
    <row r="140" spans="2:14">
      <c r="B140" s="85" t="s">
        <v>437</v>
      </c>
      <c r="C140" s="93">
        <v>-5248422000</v>
      </c>
      <c r="D140" s="93">
        <v>-3709697000</v>
      </c>
      <c r="E140" s="66">
        <v>-3885855000</v>
      </c>
      <c r="F140" s="93">
        <v>-4196089000</v>
      </c>
      <c r="G140" s="93">
        <v>-3094973000</v>
      </c>
      <c r="H140" s="93">
        <v>-6313219000</v>
      </c>
      <c r="I140" s="93">
        <v>-9007616000</v>
      </c>
      <c r="J140" s="93"/>
      <c r="K140" s="93"/>
      <c r="L140" s="93"/>
      <c r="M140" s="93"/>
      <c r="N140" s="93"/>
    </row>
    <row r="141" spans="2:14">
      <c r="B141" s="86" t="s">
        <v>375</v>
      </c>
      <c r="C141" s="64">
        <v>9719594000</v>
      </c>
      <c r="D141" s="64">
        <v>7512470000</v>
      </c>
      <c r="E141" s="64">
        <v>23133855000</v>
      </c>
      <c r="F141" s="64">
        <v>25267499000</v>
      </c>
      <c r="G141" s="64">
        <v>27221079000</v>
      </c>
      <c r="H141" s="64">
        <v>45243525000</v>
      </c>
      <c r="I141" s="64">
        <v>30711993000</v>
      </c>
      <c r="J141" s="64"/>
      <c r="K141" s="64"/>
      <c r="L141" s="64"/>
      <c r="M141" s="64"/>
      <c r="N141" s="64"/>
    </row>
    <row r="142" spans="2:14">
      <c r="B142" s="85"/>
      <c r="C142" s="66"/>
      <c r="D142" s="66"/>
      <c r="E142" s="66"/>
      <c r="F142" s="66"/>
      <c r="G142" s="66"/>
      <c r="H142" s="66"/>
      <c r="I142" s="66"/>
      <c r="J142" s="66"/>
      <c r="K142" s="66"/>
      <c r="L142" s="66"/>
      <c r="M142" s="66"/>
      <c r="N142" s="66"/>
    </row>
    <row r="143" spans="2:14">
      <c r="B143" s="84" t="s">
        <v>376</v>
      </c>
      <c r="C143" s="131">
        <f t="shared" ref="C143:G143" si="87">+C135+C137+C140</f>
        <v>25284120000</v>
      </c>
      <c r="D143" s="131">
        <f t="shared" si="87"/>
        <v>-11763172000</v>
      </c>
      <c r="E143" s="131">
        <f t="shared" si="87"/>
        <v>-9564029000</v>
      </c>
      <c r="F143" s="131">
        <f t="shared" si="87"/>
        <v>21173976000</v>
      </c>
      <c r="G143" s="131">
        <f t="shared" si="87"/>
        <v>-1748726000</v>
      </c>
      <c r="H143" s="131">
        <f>+H135+H137+H140</f>
        <v>16671882000</v>
      </c>
      <c r="I143" s="131">
        <f>+I135+I137+I140</f>
        <v>-5667861000</v>
      </c>
      <c r="J143" s="131"/>
      <c r="K143" s="131"/>
      <c r="L143" s="131"/>
      <c r="M143" s="131"/>
      <c r="N143" s="131"/>
    </row>
  </sheetData>
  <conditionalFormatting sqref="C60:H66 D67:H67 C68:H100">
    <cfRule type="cellIs" dxfId="94" priority="18" operator="lessThan">
      <formula>0</formula>
    </cfRule>
  </conditionalFormatting>
  <conditionalFormatting sqref="C113:N131">
    <cfRule type="cellIs" dxfId="93" priority="2" operator="lessThan">
      <formula>0</formula>
    </cfRule>
  </conditionalFormatting>
  <conditionalFormatting sqref="C135:N143">
    <cfRule type="cellIs" dxfId="92" priority="1" operator="lessThan">
      <formula>0</formula>
    </cfRule>
  </conditionalFormatting>
  <conditionalFormatting sqref="I60:N100 C102:N109">
    <cfRule type="cellIs" dxfId="91" priority="3" operator="lessThan">
      <formula>0</formula>
    </cfRule>
  </conditionalFormatting>
  <pageMargins left="0.7" right="0.7" top="0.75" bottom="0.75" header="0.3" footer="0.3"/>
  <pageSetup paperSize="9" orientation="portrait" r:id="rId1"/>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24F5-857F-442E-8769-24CE3E5CC770}">
  <dimension ref="B2:P146"/>
  <sheetViews>
    <sheetView zoomScale="70" zoomScaleNormal="70" workbookViewId="0">
      <pane xSplit="2" ySplit="6" topLeftCell="F44" activePane="bottomRight" state="frozen"/>
      <selection pane="bottomRight" activeCell="J66" sqref="J66"/>
      <selection pane="bottomLeft" activeCell="A7" sqref="A7"/>
      <selection pane="topRight" activeCell="C1" sqref="C1"/>
    </sheetView>
  </sheetViews>
  <sheetFormatPr defaultColWidth="10.7109375" defaultRowHeight="14.25"/>
  <cols>
    <col min="1" max="1" width="4.42578125" customWidth="1"/>
    <col min="2" max="2" width="44.7109375" customWidth="1"/>
    <col min="3" max="6" width="33.28515625" customWidth="1"/>
    <col min="7" max="7" width="36.28515625" customWidth="1"/>
    <col min="8" max="8" width="35.7109375" customWidth="1"/>
    <col min="9" max="9" width="27.42578125" customWidth="1"/>
    <col min="10" max="14" width="25.42578125" bestFit="1" customWidth="1"/>
  </cols>
  <sheetData>
    <row r="2" spans="2:14" ht="21">
      <c r="B2" s="313">
        <f ca="1">TODAY()-1</f>
        <v>46105</v>
      </c>
      <c r="C2" s="314"/>
      <c r="D2" s="344" t="s">
        <v>265</v>
      </c>
      <c r="E2" s="345" t="s">
        <v>266</v>
      </c>
    </row>
    <row r="3" spans="2:14" ht="25.5">
      <c r="B3" s="376" cm="1">
        <f t="array" aca="1" ref="B3" ca="1">_FV(B6,"Precio")</f>
        <v>12565</v>
      </c>
      <c r="C3" s="316"/>
      <c r="D3" s="365">
        <f>AVERAGE(G49:I49)</f>
        <v>1550.6456666666666</v>
      </c>
      <c r="E3" s="365">
        <f>AVERAGE(G48:I48)</f>
        <v>3038.9790000000007</v>
      </c>
    </row>
    <row r="4" spans="2:14" ht="28.5">
      <c r="B4" s="319"/>
      <c r="C4" s="320"/>
      <c r="D4" s="328"/>
      <c r="E4" s="328"/>
    </row>
    <row r="5" spans="2:14" ht="18">
      <c r="B5" s="34" t="s">
        <v>684</v>
      </c>
    </row>
    <row r="6" spans="2:14" ht="33.4">
      <c r="B6" s="3" t="e" vm="43">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+C65</f>
        <v>1310546000</v>
      </c>
      <c r="D7" s="5">
        <f t="shared" ref="D7:I7" si="0">+D65</f>
        <v>1391349000</v>
      </c>
      <c r="E7" s="5">
        <f t="shared" si="0"/>
        <v>1610365000</v>
      </c>
      <c r="F7" s="5">
        <f t="shared" si="0"/>
        <v>1425772000</v>
      </c>
      <c r="G7" s="5">
        <f t="shared" si="0"/>
        <v>1796760000</v>
      </c>
      <c r="H7" s="5">
        <f t="shared" si="0"/>
        <v>1723415000</v>
      </c>
      <c r="I7" s="5">
        <f t="shared" si="0"/>
        <v>1611982000</v>
      </c>
      <c r="J7" s="5">
        <f t="shared" ref="J7:N7" si="1">+J65</f>
        <v>0</v>
      </c>
      <c r="K7" s="5">
        <f t="shared" si="1"/>
        <v>0</v>
      </c>
      <c r="L7" s="5">
        <f t="shared" si="1"/>
        <v>0</v>
      </c>
      <c r="M7" s="5">
        <f t="shared" si="1"/>
        <v>0</v>
      </c>
      <c r="N7" s="5">
        <f t="shared" si="1"/>
        <v>0</v>
      </c>
    </row>
    <row r="8" spans="2:14" ht="25.5">
      <c r="B8" s="146" t="s">
        <v>377</v>
      </c>
      <c r="C8" s="147">
        <f>+C69</f>
        <v>259399000</v>
      </c>
      <c r="D8" s="147">
        <f t="shared" ref="D8:I8" si="2">+D69</f>
        <v>268595000</v>
      </c>
      <c r="E8" s="147">
        <f t="shared" si="2"/>
        <v>252663000</v>
      </c>
      <c r="F8" s="147">
        <f t="shared" si="2"/>
        <v>201200000</v>
      </c>
      <c r="G8" s="147">
        <f t="shared" si="2"/>
        <v>307195000</v>
      </c>
      <c r="H8" s="147">
        <f t="shared" si="2"/>
        <v>267764000</v>
      </c>
      <c r="I8" s="147">
        <f t="shared" si="2"/>
        <v>196524000</v>
      </c>
      <c r="J8" s="147">
        <f t="shared" ref="J8:N8" si="3">+J69</f>
        <v>0</v>
      </c>
      <c r="K8" s="147">
        <f t="shared" si="3"/>
        <v>0</v>
      </c>
      <c r="L8" s="147">
        <f t="shared" si="3"/>
        <v>0</v>
      </c>
      <c r="M8" s="147">
        <f t="shared" si="3"/>
        <v>0</v>
      </c>
      <c r="N8" s="147">
        <f t="shared" si="3"/>
        <v>0</v>
      </c>
    </row>
    <row r="9" spans="2:14" ht="25.5">
      <c r="B9" s="146" t="s">
        <v>378</v>
      </c>
      <c r="C9" s="147">
        <f>+C71</f>
        <v>64129000</v>
      </c>
      <c r="D9" s="147">
        <f t="shared" ref="D9:I9" si="4">+D71</f>
        <v>45360000</v>
      </c>
      <c r="E9" s="147">
        <f t="shared" si="4"/>
        <v>48559000</v>
      </c>
      <c r="F9" s="147">
        <f t="shared" si="4"/>
        <v>33646000</v>
      </c>
      <c r="G9" s="147">
        <f t="shared" si="4"/>
        <v>70598000</v>
      </c>
      <c r="H9" s="147">
        <f t="shared" si="4"/>
        <v>95028000</v>
      </c>
      <c r="I9" s="147">
        <f t="shared" si="4"/>
        <v>101389000</v>
      </c>
      <c r="J9" s="147">
        <f t="shared" ref="J9:N9" si="5">+J71</f>
        <v>0</v>
      </c>
      <c r="K9" s="147">
        <f t="shared" si="5"/>
        <v>0</v>
      </c>
      <c r="L9" s="147">
        <f t="shared" si="5"/>
        <v>0</v>
      </c>
      <c r="M9" s="147">
        <f t="shared" si="5"/>
        <v>0</v>
      </c>
      <c r="N9" s="147">
        <f t="shared" si="5"/>
        <v>0</v>
      </c>
    </row>
    <row r="10" spans="2:14" ht="25.5">
      <c r="B10" s="146"/>
      <c r="C10" s="352">
        <f>+C9/C7</f>
        <v>4.8933040122208608E-2</v>
      </c>
      <c r="D10" s="352">
        <f t="shared" ref="D10:H10" si="6">+D9/D7</f>
        <v>3.2601453697095412E-2</v>
      </c>
      <c r="E10" s="352">
        <f t="shared" si="6"/>
        <v>3.0154033402365301E-2</v>
      </c>
      <c r="F10" s="352">
        <f t="shared" si="6"/>
        <v>2.3598443509902003E-2</v>
      </c>
      <c r="G10" s="352">
        <f t="shared" si="6"/>
        <v>3.9291836416661098E-2</v>
      </c>
      <c r="H10" s="352">
        <f t="shared" si="6"/>
        <v>5.5139359933620166E-2</v>
      </c>
      <c r="I10" s="147"/>
      <c r="J10" s="147"/>
      <c r="K10" s="147"/>
      <c r="L10" s="147"/>
      <c r="M10" s="147"/>
      <c r="N10" s="147"/>
    </row>
    <row r="11" spans="2:14" ht="25.5">
      <c r="B11" s="4" t="s">
        <v>379</v>
      </c>
      <c r="C11" s="5">
        <f>+C74</f>
        <v>10093665000</v>
      </c>
      <c r="D11" s="5">
        <f t="shared" ref="D11:I11" si="7">+D74</f>
        <v>9563078000</v>
      </c>
      <c r="E11" s="5">
        <f t="shared" si="7"/>
        <v>8650896000</v>
      </c>
      <c r="F11" s="5">
        <f t="shared" si="7"/>
        <v>8501530000</v>
      </c>
      <c r="G11" s="5">
        <f t="shared" si="7"/>
        <v>7612654000</v>
      </c>
      <c r="H11" s="5">
        <f t="shared" si="7"/>
        <v>7896502000</v>
      </c>
      <c r="I11" s="5">
        <f t="shared" si="7"/>
        <v>8321526000</v>
      </c>
      <c r="J11" s="5">
        <f t="shared" ref="J11:N11" si="8">+J74</f>
        <v>0</v>
      </c>
      <c r="K11" s="5">
        <f t="shared" si="8"/>
        <v>0</v>
      </c>
      <c r="L11" s="5">
        <f t="shared" si="8"/>
        <v>0</v>
      </c>
      <c r="M11" s="5">
        <f t="shared" si="8"/>
        <v>0</v>
      </c>
      <c r="N11" s="5">
        <f t="shared" si="8"/>
        <v>0</v>
      </c>
    </row>
    <row r="12" spans="2:14" ht="25.5">
      <c r="B12" s="8" t="s">
        <v>272</v>
      </c>
      <c r="C12" s="9">
        <f>+C11+C7</f>
        <v>11404211000</v>
      </c>
      <c r="D12" s="9">
        <f t="shared" ref="D12:I12" si="9">+D11+D7</f>
        <v>10954427000</v>
      </c>
      <c r="E12" s="9">
        <f t="shared" si="9"/>
        <v>10261261000</v>
      </c>
      <c r="F12" s="9">
        <f t="shared" si="9"/>
        <v>9927302000</v>
      </c>
      <c r="G12" s="9">
        <f t="shared" si="9"/>
        <v>9409414000</v>
      </c>
      <c r="H12" s="9">
        <f t="shared" si="9"/>
        <v>9619917000</v>
      </c>
      <c r="I12" s="9">
        <f t="shared" si="9"/>
        <v>9933508000</v>
      </c>
      <c r="J12" s="9">
        <f t="shared" ref="J12:N12" si="10">+J11+J7</f>
        <v>0</v>
      </c>
      <c r="K12" s="9">
        <f t="shared" si="10"/>
        <v>0</v>
      </c>
      <c r="L12" s="9">
        <f t="shared" si="10"/>
        <v>0</v>
      </c>
      <c r="M12" s="9">
        <f t="shared" si="10"/>
        <v>0</v>
      </c>
      <c r="N12" s="9">
        <f t="shared" si="10"/>
        <v>0</v>
      </c>
    </row>
    <row r="13" spans="2:14" ht="25.5">
      <c r="B13" s="10" t="s">
        <v>273</v>
      </c>
      <c r="C13" s="11">
        <f>+C88</f>
        <v>498587000</v>
      </c>
      <c r="D13" s="11">
        <f t="shared" ref="D13:I13" si="11">+D88</f>
        <v>422515000</v>
      </c>
      <c r="E13" s="11">
        <f t="shared" si="11"/>
        <v>539860000</v>
      </c>
      <c r="F13" s="11">
        <f t="shared" si="11"/>
        <v>369065000</v>
      </c>
      <c r="G13" s="11">
        <f t="shared" si="11"/>
        <v>805412000</v>
      </c>
      <c r="H13" s="11">
        <f t="shared" si="11"/>
        <v>852586000</v>
      </c>
      <c r="I13" s="11">
        <f t="shared" si="11"/>
        <v>848202000</v>
      </c>
      <c r="J13" s="11">
        <f t="shared" ref="J13:N13" si="12">+J88</f>
        <v>0</v>
      </c>
      <c r="K13" s="11">
        <f t="shared" si="12"/>
        <v>0</v>
      </c>
      <c r="L13" s="11">
        <f t="shared" si="12"/>
        <v>0</v>
      </c>
      <c r="M13" s="11">
        <f t="shared" si="12"/>
        <v>0</v>
      </c>
      <c r="N13" s="11">
        <f t="shared" si="12"/>
        <v>0</v>
      </c>
    </row>
    <row r="14" spans="2:14" ht="25.5">
      <c r="B14" s="10" t="s">
        <v>274</v>
      </c>
      <c r="C14" s="11">
        <f>+C98</f>
        <v>3262859000</v>
      </c>
      <c r="D14" s="11">
        <f t="shared" ref="D14:I14" si="13">+D98</f>
        <v>3139778000</v>
      </c>
      <c r="E14" s="11">
        <f t="shared" si="13"/>
        <v>2806118000</v>
      </c>
      <c r="F14" s="11">
        <f t="shared" si="13"/>
        <v>2934753000</v>
      </c>
      <c r="G14" s="11">
        <f t="shared" si="13"/>
        <v>3451010000</v>
      </c>
      <c r="H14" s="11">
        <f t="shared" si="13"/>
        <v>3569548000</v>
      </c>
      <c r="I14" s="11">
        <f t="shared" si="13"/>
        <v>3427672000</v>
      </c>
      <c r="J14" s="11">
        <f t="shared" ref="J14:N14" si="14">+J98</f>
        <v>0</v>
      </c>
      <c r="K14" s="11">
        <f t="shared" si="14"/>
        <v>0</v>
      </c>
      <c r="L14" s="11">
        <f t="shared" si="14"/>
        <v>0</v>
      </c>
      <c r="M14" s="11">
        <f t="shared" si="14"/>
        <v>0</v>
      </c>
      <c r="N14" s="11">
        <f t="shared" si="14"/>
        <v>0</v>
      </c>
    </row>
    <row r="15" spans="2:14" ht="25.5">
      <c r="B15" s="12" t="s">
        <v>275</v>
      </c>
      <c r="C15" s="13">
        <f>+C13+C14</f>
        <v>3761446000</v>
      </c>
      <c r="D15" s="13">
        <f t="shared" ref="D15:I15" si="15">+D13+D14</f>
        <v>3562293000</v>
      </c>
      <c r="E15" s="13">
        <f t="shared" si="15"/>
        <v>3345978000</v>
      </c>
      <c r="F15" s="13">
        <f t="shared" si="15"/>
        <v>3303818000</v>
      </c>
      <c r="G15" s="13">
        <f t="shared" si="15"/>
        <v>4256422000</v>
      </c>
      <c r="H15" s="13">
        <f t="shared" si="15"/>
        <v>4422134000</v>
      </c>
      <c r="I15" s="13">
        <f t="shared" si="15"/>
        <v>4275874000</v>
      </c>
      <c r="J15" s="13">
        <f t="shared" ref="J15:N15" si="16">+J13+J14</f>
        <v>0</v>
      </c>
      <c r="K15" s="13">
        <f t="shared" si="16"/>
        <v>0</v>
      </c>
      <c r="L15" s="13">
        <f t="shared" si="16"/>
        <v>0</v>
      </c>
      <c r="M15" s="13">
        <f t="shared" si="16"/>
        <v>0</v>
      </c>
      <c r="N15" s="13">
        <f t="shared" si="16"/>
        <v>0</v>
      </c>
    </row>
    <row r="16" spans="2:14" ht="25.5">
      <c r="B16" s="14" t="s">
        <v>276</v>
      </c>
      <c r="C16" s="15">
        <f>+C111</f>
        <v>4942572000</v>
      </c>
      <c r="D16" s="15">
        <f t="shared" ref="D16:I16" si="17">+D111</f>
        <v>4770089000</v>
      </c>
      <c r="E16" s="15">
        <f t="shared" si="17"/>
        <v>4490507000</v>
      </c>
      <c r="F16" s="15">
        <f t="shared" si="17"/>
        <v>4299753000</v>
      </c>
      <c r="G16" s="15">
        <f t="shared" si="17"/>
        <v>3259269000</v>
      </c>
      <c r="H16" s="15">
        <f t="shared" si="17"/>
        <v>3214660000</v>
      </c>
      <c r="I16" s="15">
        <f t="shared" si="17"/>
        <v>3590847000</v>
      </c>
      <c r="J16" s="15">
        <f t="shared" ref="J16:N16" si="18">+J111</f>
        <v>0</v>
      </c>
      <c r="K16" s="15">
        <f t="shared" si="18"/>
        <v>0</v>
      </c>
      <c r="L16" s="15">
        <f t="shared" si="18"/>
        <v>0</v>
      </c>
      <c r="M16" s="15">
        <f t="shared" si="18"/>
        <v>0</v>
      </c>
      <c r="N16" s="15">
        <f t="shared" si="18"/>
        <v>0</v>
      </c>
    </row>
    <row r="17" spans="2:14" ht="25.5">
      <c r="B17" s="79" t="s">
        <v>278</v>
      </c>
      <c r="C17" s="80">
        <v>125000000</v>
      </c>
      <c r="D17" s="80">
        <v>125000000</v>
      </c>
      <c r="E17" s="80">
        <v>125000000</v>
      </c>
      <c r="F17" s="80">
        <v>125000000</v>
      </c>
      <c r="G17" s="80">
        <v>125000000</v>
      </c>
      <c r="H17" s="80">
        <v>125000000</v>
      </c>
      <c r="I17" s="80">
        <v>125000000</v>
      </c>
      <c r="J17" s="80"/>
      <c r="K17" s="80"/>
      <c r="L17" s="80"/>
      <c r="M17" s="80"/>
      <c r="N17" s="80"/>
    </row>
    <row r="19" spans="2:14" ht="25.5">
      <c r="B19" s="18" t="s">
        <v>685</v>
      </c>
      <c r="C19" s="22">
        <f>+C16/C17</f>
        <v>39.540576000000001</v>
      </c>
      <c r="D19" s="22">
        <f t="shared" ref="D19:I19" si="19">+D16/D17</f>
        <v>38.160711999999997</v>
      </c>
      <c r="E19" s="22">
        <f t="shared" si="19"/>
        <v>35.924056</v>
      </c>
      <c r="F19" s="22">
        <f t="shared" si="19"/>
        <v>34.398023999999999</v>
      </c>
      <c r="G19" s="22">
        <f t="shared" si="19"/>
        <v>26.074152000000002</v>
      </c>
      <c r="H19" s="22">
        <f t="shared" si="19"/>
        <v>25.717279999999999</v>
      </c>
      <c r="I19" s="22">
        <f t="shared" si="19"/>
        <v>28.726776000000001</v>
      </c>
      <c r="J19" s="22" t="e">
        <f t="shared" ref="J19:N19" si="20">+J16/J17</f>
        <v>#DIV/0!</v>
      </c>
      <c r="K19" s="22" t="e">
        <f t="shared" si="20"/>
        <v>#DIV/0!</v>
      </c>
      <c r="L19" s="22" t="e">
        <f t="shared" si="20"/>
        <v>#DIV/0!</v>
      </c>
      <c r="M19" s="22" t="e">
        <f t="shared" si="20"/>
        <v>#DIV/0!</v>
      </c>
      <c r="N19" s="22" t="e">
        <f t="shared" si="20"/>
        <v>#DIV/0!</v>
      </c>
    </row>
    <row r="20" spans="2:14" ht="25.5">
      <c r="B20" s="18" t="s">
        <v>656</v>
      </c>
      <c r="C20" s="19">
        <f>+C19*C44</f>
        <v>26444.737228800001</v>
      </c>
      <c r="D20" s="19">
        <f t="shared" ref="D20:I20" si="21">+D19*D44</f>
        <v>25949.284159999999</v>
      </c>
      <c r="E20" s="19">
        <f t="shared" si="21"/>
        <v>24931.294864</v>
      </c>
      <c r="F20" s="19">
        <f t="shared" si="21"/>
        <v>26280.090336000001</v>
      </c>
      <c r="G20" s="19">
        <f t="shared" si="21"/>
        <v>22215.177504000003</v>
      </c>
      <c r="H20" s="19">
        <f t="shared" si="21"/>
        <v>21814.68276</v>
      </c>
      <c r="I20" s="19">
        <f t="shared" si="21"/>
        <v>25411.418781840002</v>
      </c>
      <c r="J20" s="19" t="e">
        <f t="shared" ref="J20:N20" si="22">+J19*J44</f>
        <v>#DIV/0!</v>
      </c>
      <c r="K20" s="19" t="e">
        <f t="shared" si="22"/>
        <v>#DIV/0!</v>
      </c>
      <c r="L20" s="19" t="e">
        <f t="shared" si="22"/>
        <v>#DIV/0!</v>
      </c>
      <c r="M20" s="19" t="e">
        <f t="shared" si="22"/>
        <v>#DIV/0!</v>
      </c>
      <c r="N20" s="19" t="e">
        <f t="shared" si="22"/>
        <v>#DIV/0!</v>
      </c>
    </row>
    <row r="21" spans="2:14" ht="25.5">
      <c r="B21" s="76" t="s">
        <v>686</v>
      </c>
      <c r="C21" s="77">
        <v>15625</v>
      </c>
      <c r="D21" s="77">
        <v>16490</v>
      </c>
      <c r="E21" s="77">
        <v>12500</v>
      </c>
      <c r="F21" s="77">
        <v>14000</v>
      </c>
      <c r="G21" s="77">
        <v>13000</v>
      </c>
      <c r="H21" s="101">
        <v>10333</v>
      </c>
      <c r="I21" s="101">
        <v>12648</v>
      </c>
      <c r="J21" s="101"/>
      <c r="K21" s="101"/>
      <c r="L21" s="101"/>
      <c r="M21" s="101"/>
      <c r="N21" s="101"/>
    </row>
    <row r="22" spans="2:14" ht="25.5">
      <c r="B22" s="18" t="s">
        <v>283</v>
      </c>
      <c r="C22" s="22">
        <f>+C21/C43</f>
        <v>15.379329362418382</v>
      </c>
      <c r="D22" s="22">
        <f t="shared" ref="D22:I22" si="23">+D21/D43</f>
        <v>12.851767449255391</v>
      </c>
      <c r="E22" s="22">
        <f t="shared" si="23"/>
        <v>9.6056356341110405</v>
      </c>
      <c r="F22" s="22">
        <f t="shared" si="23"/>
        <v>23.894389529068889</v>
      </c>
      <c r="G22" s="22">
        <f t="shared" si="23"/>
        <v>4.3679766295778411</v>
      </c>
      <c r="H22" s="22">
        <f t="shared" si="23"/>
        <v>3.6787818230047917</v>
      </c>
      <c r="I22" s="22">
        <f t="shared" si="23"/>
        <v>5.3653605858221392</v>
      </c>
      <c r="J22" s="22" t="e">
        <f t="shared" ref="J22:N22" si="24">+J21/J43</f>
        <v>#DIV/0!</v>
      </c>
      <c r="K22" s="22" t="e">
        <f t="shared" si="24"/>
        <v>#DIV/0!</v>
      </c>
      <c r="L22" s="22" t="e">
        <f t="shared" si="24"/>
        <v>#DIV/0!</v>
      </c>
      <c r="M22" s="22" t="e">
        <f t="shared" si="24"/>
        <v>#DIV/0!</v>
      </c>
      <c r="N22" s="22" t="e">
        <f t="shared" si="24"/>
        <v>#DIV/0!</v>
      </c>
    </row>
    <row r="23" spans="2:14" ht="25.5">
      <c r="B23" s="18" t="s">
        <v>380</v>
      </c>
      <c r="C23" s="22">
        <f>+C21/C20</f>
        <v>0.59085480278410107</v>
      </c>
      <c r="D23" s="22">
        <f t="shared" ref="D23:I23" si="25">+D21/D20</f>
        <v>0.63547032350968713</v>
      </c>
      <c r="E23" s="22">
        <f t="shared" si="25"/>
        <v>0.50137788944326367</v>
      </c>
      <c r="F23" s="22">
        <f t="shared" si="25"/>
        <v>0.53272267412345931</v>
      </c>
      <c r="G23" s="22">
        <f t="shared" si="25"/>
        <v>0.58518551101647764</v>
      </c>
      <c r="H23" s="22">
        <f t="shared" si="25"/>
        <v>0.47367179773738777</v>
      </c>
      <c r="I23" s="22">
        <f t="shared" si="25"/>
        <v>0.49772899768346496</v>
      </c>
      <c r="J23" s="22" t="e">
        <f t="shared" ref="J23:N23" si="26">+J21/J20</f>
        <v>#DIV/0!</v>
      </c>
      <c r="K23" s="22" t="e">
        <f t="shared" si="26"/>
        <v>#DIV/0!</v>
      </c>
      <c r="L23" s="22" t="e">
        <f t="shared" si="26"/>
        <v>#DIV/0!</v>
      </c>
      <c r="M23" s="22" t="e">
        <f t="shared" si="26"/>
        <v>#DIV/0!</v>
      </c>
      <c r="N23" s="22" t="e">
        <f t="shared" si="26"/>
        <v>#DIV/0!</v>
      </c>
    </row>
    <row r="24" spans="2:14" ht="25.5">
      <c r="B24" s="18" t="s">
        <v>285</v>
      </c>
      <c r="C24" s="22">
        <f>+C22*C23</f>
        <v>9.0869506173834473</v>
      </c>
      <c r="D24" s="22">
        <f t="shared" ref="D24:I24" si="27">+D22*D23</f>
        <v>8.1669168186495895</v>
      </c>
      <c r="E24" s="22">
        <f t="shared" si="27"/>
        <v>4.8160533209915988</v>
      </c>
      <c r="F24" s="22">
        <f t="shared" si="27"/>
        <v>12.729083086473164</v>
      </c>
      <c r="G24" s="22">
        <f t="shared" si="27"/>
        <v>2.5560766360875404</v>
      </c>
      <c r="H24" s="22">
        <f t="shared" si="27"/>
        <v>1.7425351995863043</v>
      </c>
      <c r="I24" s="22">
        <f t="shared" si="27"/>
        <v>2.6704955465916216</v>
      </c>
      <c r="J24" s="22" t="e">
        <f t="shared" ref="J24:N24" si="28">+J22*J23</f>
        <v>#DIV/0!</v>
      </c>
      <c r="K24" s="22" t="e">
        <f t="shared" si="28"/>
        <v>#DIV/0!</v>
      </c>
      <c r="L24" s="22" t="e">
        <f t="shared" si="28"/>
        <v>#DIV/0!</v>
      </c>
      <c r="M24" s="22" t="e">
        <f t="shared" si="28"/>
        <v>#DIV/0!</v>
      </c>
      <c r="N24" s="22" t="e">
        <f t="shared" si="28"/>
        <v>#DIV/0!</v>
      </c>
    </row>
    <row r="25" spans="2:14" ht="25.5">
      <c r="B25" s="23" t="s">
        <v>286</v>
      </c>
      <c r="C25" s="24">
        <f>IF(C45&lt;10%,0,IF(15%&lt;C45,2,1))</f>
        <v>0</v>
      </c>
      <c r="D25" s="24">
        <f>IF(D45&lt;10%,0,IF(15%&lt;D45,2,1))</f>
        <v>0</v>
      </c>
      <c r="E25" s="24">
        <f t="shared" ref="E25:I25" si="29">IF(E45&lt;10%,0,IF(15%&lt;E45,2,1))</f>
        <v>0</v>
      </c>
      <c r="F25" s="24">
        <f t="shared" si="29"/>
        <v>0</v>
      </c>
      <c r="G25" s="24">
        <f t="shared" si="29"/>
        <v>1</v>
      </c>
      <c r="H25" s="24">
        <f t="shared" si="29"/>
        <v>1</v>
      </c>
      <c r="I25" s="24">
        <f t="shared" si="29"/>
        <v>0</v>
      </c>
      <c r="J25" s="24" t="e">
        <f t="shared" ref="J25:N25" si="30">IF(J45&lt;10%,0,IF(15%&lt;J45,2,1))</f>
        <v>#DIV/0!</v>
      </c>
      <c r="K25" s="24" t="e">
        <f t="shared" si="30"/>
        <v>#DIV/0!</v>
      </c>
      <c r="L25" s="24" t="e">
        <f t="shared" si="30"/>
        <v>#DIV/0!</v>
      </c>
      <c r="M25" s="24" t="e">
        <f t="shared" si="30"/>
        <v>#DIV/0!</v>
      </c>
      <c r="N25" s="24" t="e">
        <f t="shared" si="30"/>
        <v>#DIV/0!</v>
      </c>
    </row>
    <row r="26" spans="2:14" ht="25.5">
      <c r="B26" s="23" t="s">
        <v>287</v>
      </c>
      <c r="C26" s="24">
        <f>IF(C45&lt;10%,1,IF(15%&lt;C45,2.5,2))</f>
        <v>1</v>
      </c>
      <c r="D26" s="24">
        <f t="shared" ref="D26:I26" si="31">IF(D45&lt;10%,1,IF(15%&lt;D45,2.5,2))</f>
        <v>1</v>
      </c>
      <c r="E26" s="24">
        <f t="shared" si="31"/>
        <v>1</v>
      </c>
      <c r="F26" s="24">
        <f t="shared" si="31"/>
        <v>1</v>
      </c>
      <c r="G26" s="24">
        <f t="shared" si="31"/>
        <v>2</v>
      </c>
      <c r="H26" s="24">
        <f t="shared" si="31"/>
        <v>2</v>
      </c>
      <c r="I26" s="24">
        <f t="shared" si="31"/>
        <v>1</v>
      </c>
      <c r="J26" s="24" t="e">
        <f t="shared" ref="J26:N26" si="32">IF(J45&lt;10%,1,IF(15%&lt;J45,2.5,2))</f>
        <v>#DIV/0!</v>
      </c>
      <c r="K26" s="24" t="e">
        <f t="shared" si="32"/>
        <v>#DIV/0!</v>
      </c>
      <c r="L26" s="24" t="e">
        <f t="shared" si="32"/>
        <v>#DIV/0!</v>
      </c>
      <c r="M26" s="24" t="e">
        <f t="shared" si="32"/>
        <v>#DIV/0!</v>
      </c>
      <c r="N26" s="24" t="e">
        <f t="shared" si="32"/>
        <v>#DIV/0!</v>
      </c>
    </row>
    <row r="27" spans="2:14" ht="25.5">
      <c r="B27" s="25" t="s">
        <v>288</v>
      </c>
      <c r="C27" s="26">
        <f>+C25*C20</f>
        <v>0</v>
      </c>
      <c r="D27" s="26">
        <f t="shared" ref="D27:I27" si="33">+D25*D20</f>
        <v>0</v>
      </c>
      <c r="E27" s="26">
        <f t="shared" si="33"/>
        <v>0</v>
      </c>
      <c r="F27" s="26">
        <f t="shared" si="33"/>
        <v>0</v>
      </c>
      <c r="G27" s="26">
        <f t="shared" si="33"/>
        <v>22215.177504000003</v>
      </c>
      <c r="H27" s="26">
        <f t="shared" si="33"/>
        <v>21814.68276</v>
      </c>
      <c r="I27" s="26">
        <f t="shared" si="33"/>
        <v>0</v>
      </c>
      <c r="J27" s="26" t="e">
        <f t="shared" ref="J27:N27" si="34">+J25*J20</f>
        <v>#DIV/0!</v>
      </c>
      <c r="K27" s="26" t="e">
        <f t="shared" si="34"/>
        <v>#DIV/0!</v>
      </c>
      <c r="L27" s="26" t="e">
        <f t="shared" si="34"/>
        <v>#DIV/0!</v>
      </c>
      <c r="M27" s="26" t="e">
        <f t="shared" si="34"/>
        <v>#DIV/0!</v>
      </c>
      <c r="N27" s="26" t="e">
        <f t="shared" si="34"/>
        <v>#DIV/0!</v>
      </c>
    </row>
    <row r="28" spans="2:14" ht="25.5">
      <c r="B28" s="25" t="s">
        <v>289</v>
      </c>
      <c r="C28" s="26">
        <f>AVERAGE(C27,C29)</f>
        <v>13222.3686144</v>
      </c>
      <c r="D28" s="26">
        <f t="shared" ref="D28:I28" si="35">AVERAGE(D27,D29)</f>
        <v>12974.64208</v>
      </c>
      <c r="E28" s="26">
        <f t="shared" si="35"/>
        <v>12465.647432</v>
      </c>
      <c r="F28" s="26">
        <f t="shared" si="35"/>
        <v>13140.045168000001</v>
      </c>
      <c r="G28" s="26">
        <f t="shared" si="35"/>
        <v>33322.766256000003</v>
      </c>
      <c r="H28" s="26">
        <f t="shared" si="35"/>
        <v>32722.024140000001</v>
      </c>
      <c r="I28" s="26">
        <f t="shared" si="35"/>
        <v>12705.709390920001</v>
      </c>
      <c r="J28" s="26" t="e">
        <f t="shared" ref="J28:N28" si="36">AVERAGE(J27,J29)</f>
        <v>#DIV/0!</v>
      </c>
      <c r="K28" s="26" t="e">
        <f t="shared" si="36"/>
        <v>#DIV/0!</v>
      </c>
      <c r="L28" s="26" t="e">
        <f t="shared" si="36"/>
        <v>#DIV/0!</v>
      </c>
      <c r="M28" s="26" t="e">
        <f t="shared" si="36"/>
        <v>#DIV/0!</v>
      </c>
      <c r="N28" s="26" t="e">
        <f t="shared" si="36"/>
        <v>#DIV/0!</v>
      </c>
    </row>
    <row r="29" spans="2:14" ht="25.5">
      <c r="B29" s="25" t="s">
        <v>290</v>
      </c>
      <c r="C29" s="26">
        <f>+C20*C26</f>
        <v>26444.737228800001</v>
      </c>
      <c r="D29" s="26">
        <f t="shared" ref="D29:I29" si="37">+D20*D26</f>
        <v>25949.284159999999</v>
      </c>
      <c r="E29" s="26">
        <f t="shared" si="37"/>
        <v>24931.294864</v>
      </c>
      <c r="F29" s="26">
        <f t="shared" si="37"/>
        <v>26280.090336000001</v>
      </c>
      <c r="G29" s="26">
        <f t="shared" si="37"/>
        <v>44430.355008000006</v>
      </c>
      <c r="H29" s="26">
        <f t="shared" si="37"/>
        <v>43629.365519999999</v>
      </c>
      <c r="I29" s="26">
        <f t="shared" si="37"/>
        <v>25411.418781840002</v>
      </c>
      <c r="J29" s="26" t="e">
        <f t="shared" ref="J29:N29" si="38">+J20*J26</f>
        <v>#DIV/0!</v>
      </c>
      <c r="K29" s="26" t="e">
        <f t="shared" si="38"/>
        <v>#DIV/0!</v>
      </c>
      <c r="L29" s="26" t="e">
        <f t="shared" si="38"/>
        <v>#DIV/0!</v>
      </c>
      <c r="M29" s="26" t="e">
        <f t="shared" si="38"/>
        <v>#DIV/0!</v>
      </c>
      <c r="N29" s="26" t="e">
        <f t="shared" si="38"/>
        <v>#DIV/0!</v>
      </c>
    </row>
    <row r="31" spans="2:14" ht="25.5">
      <c r="B31" s="243" t="s">
        <v>291</v>
      </c>
      <c r="C31" s="81">
        <f t="shared" ref="C31:I31" si="39">C7-C13</f>
        <v>811959000</v>
      </c>
      <c r="D31" s="81">
        <f t="shared" si="39"/>
        <v>968834000</v>
      </c>
      <c r="E31" s="81">
        <f t="shared" si="39"/>
        <v>1070505000</v>
      </c>
      <c r="F31" s="81">
        <f t="shared" si="39"/>
        <v>1056707000</v>
      </c>
      <c r="G31" s="81">
        <f t="shared" si="39"/>
        <v>991348000</v>
      </c>
      <c r="H31" s="81">
        <f t="shared" si="39"/>
        <v>870829000</v>
      </c>
      <c r="I31" s="81">
        <f t="shared" si="39"/>
        <v>763780000</v>
      </c>
      <c r="J31" s="81">
        <f t="shared" ref="J31:N31" si="40">J7-J13</f>
        <v>0</v>
      </c>
      <c r="K31" s="81">
        <f t="shared" si="40"/>
        <v>0</v>
      </c>
      <c r="L31" s="81">
        <f t="shared" si="40"/>
        <v>0</v>
      </c>
      <c r="M31" s="81">
        <f t="shared" si="40"/>
        <v>0</v>
      </c>
      <c r="N31" s="81">
        <f t="shared" si="40"/>
        <v>0</v>
      </c>
    </row>
    <row r="32" spans="2:14" ht="25.5">
      <c r="B32" s="30" t="s">
        <v>149</v>
      </c>
      <c r="C32" s="241">
        <f t="shared" ref="C32:I32" si="41">C7/C13</f>
        <v>2.6285201980797734</v>
      </c>
      <c r="D32" s="241">
        <f t="shared" si="41"/>
        <v>3.2930168159710305</v>
      </c>
      <c r="E32" s="241">
        <f t="shared" si="41"/>
        <v>2.9829307598266217</v>
      </c>
      <c r="F32" s="241">
        <f t="shared" si="41"/>
        <v>3.8632002492785822</v>
      </c>
      <c r="G32" s="241">
        <f t="shared" si="41"/>
        <v>2.2308582439794788</v>
      </c>
      <c r="H32" s="242">
        <f t="shared" si="41"/>
        <v>2.0213972549396777</v>
      </c>
      <c r="I32" s="242">
        <f t="shared" si="41"/>
        <v>1.9004694636419155</v>
      </c>
      <c r="J32" s="242" t="e">
        <f t="shared" ref="J32:N32" si="42">J7/J13</f>
        <v>#DIV/0!</v>
      </c>
      <c r="K32" s="242" t="e">
        <f t="shared" si="42"/>
        <v>#DIV/0!</v>
      </c>
      <c r="L32" s="242" t="e">
        <f t="shared" si="42"/>
        <v>#DIV/0!</v>
      </c>
      <c r="M32" s="242" t="e">
        <f t="shared" si="42"/>
        <v>#DIV/0!</v>
      </c>
      <c r="N32" s="242" t="e">
        <f t="shared" si="42"/>
        <v>#DIV/0!</v>
      </c>
    </row>
    <row r="33" spans="2:14" ht="25.5">
      <c r="B33" s="30" t="s">
        <v>292</v>
      </c>
      <c r="C33" s="241">
        <f t="shared" ref="C33:I33" si="43">+(C7-C9)/C13</f>
        <v>2.4998987137651003</v>
      </c>
      <c r="D33" s="241">
        <f t="shared" si="43"/>
        <v>3.1856596807213946</v>
      </c>
      <c r="E33" s="241">
        <f t="shared" si="43"/>
        <v>2.8929833660578668</v>
      </c>
      <c r="F33" s="241">
        <f t="shared" si="43"/>
        <v>3.7720347364285423</v>
      </c>
      <c r="G33" s="241">
        <f t="shared" si="43"/>
        <v>2.1432037267882773</v>
      </c>
      <c r="H33" s="241">
        <f t="shared" si="43"/>
        <v>1.909938704130727</v>
      </c>
      <c r="I33" s="241">
        <f t="shared" si="43"/>
        <v>1.7809354375490745</v>
      </c>
      <c r="J33" s="241" t="e">
        <f t="shared" ref="J33:N33" si="44">+(J7-J9)/J13</f>
        <v>#DIV/0!</v>
      </c>
      <c r="K33" s="241" t="e">
        <f t="shared" si="44"/>
        <v>#DIV/0!</v>
      </c>
      <c r="L33" s="241" t="e">
        <f t="shared" si="44"/>
        <v>#DIV/0!</v>
      </c>
      <c r="M33" s="241" t="e">
        <f t="shared" si="44"/>
        <v>#DIV/0!</v>
      </c>
      <c r="N33" s="241" t="e">
        <f t="shared" si="44"/>
        <v>#DIV/0!</v>
      </c>
    </row>
    <row r="34" spans="2:14" ht="25.5">
      <c r="B34" s="32" t="s">
        <v>153</v>
      </c>
      <c r="C34" s="33">
        <f t="shared" ref="C34:I34" si="45">C15/C12</f>
        <v>0.32982956909513511</v>
      </c>
      <c r="D34" s="33">
        <f t="shared" si="45"/>
        <v>0.32519208900657243</v>
      </c>
      <c r="E34" s="33">
        <f t="shared" si="45"/>
        <v>0.32607863692386346</v>
      </c>
      <c r="F34" s="33">
        <f t="shared" si="45"/>
        <v>0.33280119815031317</v>
      </c>
      <c r="G34" s="33">
        <f t="shared" si="45"/>
        <v>0.45235781951989784</v>
      </c>
      <c r="H34" s="33">
        <f t="shared" si="45"/>
        <v>0.45968525508068314</v>
      </c>
      <c r="I34" s="33">
        <f t="shared" si="45"/>
        <v>0.43044954511538119</v>
      </c>
      <c r="J34" s="33" t="e">
        <f t="shared" ref="J34:N34" si="46">J15/J12</f>
        <v>#DIV/0!</v>
      </c>
      <c r="K34" s="33" t="e">
        <f t="shared" si="46"/>
        <v>#DIV/0!</v>
      </c>
      <c r="L34" s="33" t="e">
        <f t="shared" si="46"/>
        <v>#DIV/0!</v>
      </c>
      <c r="M34" s="33" t="e">
        <f t="shared" si="46"/>
        <v>#DIV/0!</v>
      </c>
      <c r="N34" s="33" t="e">
        <f t="shared" si="46"/>
        <v>#DIV/0!</v>
      </c>
    </row>
    <row r="37" spans="2:14" ht="25.5">
      <c r="B37" s="35" t="s">
        <v>293</v>
      </c>
      <c r="C37" s="36">
        <f>+C116</f>
        <v>1668656000</v>
      </c>
      <c r="D37" s="36">
        <f t="shared" ref="D37:I37" si="47">+D116</f>
        <v>1725898000</v>
      </c>
      <c r="E37" s="36">
        <f t="shared" si="47"/>
        <v>1488301000</v>
      </c>
      <c r="F37" s="36">
        <f t="shared" si="47"/>
        <v>1349535000</v>
      </c>
      <c r="G37" s="36">
        <f t="shared" si="47"/>
        <v>1440595000</v>
      </c>
      <c r="H37" s="36">
        <f t="shared" si="47"/>
        <v>1974476000</v>
      </c>
      <c r="I37" s="36">
        <f t="shared" si="47"/>
        <v>2004126000</v>
      </c>
      <c r="J37" s="36">
        <f t="shared" ref="J37:N37" si="48">+J116</f>
        <v>0</v>
      </c>
      <c r="K37" s="36">
        <f t="shared" si="48"/>
        <v>0</v>
      </c>
      <c r="L37" s="36">
        <f t="shared" si="48"/>
        <v>0</v>
      </c>
      <c r="M37" s="36">
        <f t="shared" si="48"/>
        <v>0</v>
      </c>
      <c r="N37" s="36">
        <f t="shared" si="48"/>
        <v>0</v>
      </c>
    </row>
    <row r="38" spans="2:14" ht="25.5">
      <c r="B38" s="39" t="s">
        <v>156</v>
      </c>
      <c r="C38" s="40">
        <f>+C123</f>
        <v>409964000</v>
      </c>
      <c r="D38" s="40">
        <f t="shared" ref="D38:I38" si="49">+D123</f>
        <v>439671000</v>
      </c>
      <c r="E38" s="40">
        <f t="shared" si="49"/>
        <v>489484000</v>
      </c>
      <c r="F38" s="40">
        <f t="shared" si="49"/>
        <v>195590000</v>
      </c>
      <c r="G38" s="40">
        <f t="shared" si="49"/>
        <v>959341000</v>
      </c>
      <c r="H38" s="40">
        <f t="shared" si="49"/>
        <v>506588000</v>
      </c>
      <c r="I38" s="40">
        <f t="shared" si="49"/>
        <v>589764000</v>
      </c>
      <c r="J38" s="40">
        <f t="shared" ref="J38:N38" si="50">+J123</f>
        <v>0</v>
      </c>
      <c r="K38" s="40">
        <f t="shared" si="50"/>
        <v>0</v>
      </c>
      <c r="L38" s="40">
        <f t="shared" si="50"/>
        <v>0</v>
      </c>
      <c r="M38" s="40">
        <f t="shared" si="50"/>
        <v>0</v>
      </c>
      <c r="N38" s="40">
        <f t="shared" si="50"/>
        <v>0</v>
      </c>
    </row>
    <row r="39" spans="2:14" ht="25.5">
      <c r="B39" s="35" t="s">
        <v>381</v>
      </c>
      <c r="C39" s="41">
        <f>C38/C37</f>
        <v>0.24568515020471565</v>
      </c>
      <c r="D39" s="41">
        <f t="shared" ref="D39:I39" si="51">D38/D37</f>
        <v>0.25474912190639309</v>
      </c>
      <c r="E39" s="41">
        <f t="shared" si="51"/>
        <v>0.32888777202998587</v>
      </c>
      <c r="F39" s="41">
        <f t="shared" si="51"/>
        <v>0.1449314022978285</v>
      </c>
      <c r="G39" s="41">
        <f t="shared" si="51"/>
        <v>0.66593386760331663</v>
      </c>
      <c r="H39" s="41">
        <f t="shared" si="51"/>
        <v>0.25656832496318011</v>
      </c>
      <c r="I39" s="41">
        <f t="shared" si="51"/>
        <v>0.29427491085889812</v>
      </c>
      <c r="J39" s="41" t="e">
        <f t="shared" ref="J39:N39" si="52">J38/J37</f>
        <v>#DIV/0!</v>
      </c>
      <c r="K39" s="41" t="e">
        <f t="shared" si="52"/>
        <v>#DIV/0!</v>
      </c>
      <c r="L39" s="41" t="e">
        <f t="shared" si="52"/>
        <v>#DIV/0!</v>
      </c>
      <c r="M39" s="41" t="e">
        <f t="shared" si="52"/>
        <v>#DIV/0!</v>
      </c>
      <c r="N39" s="41" t="e">
        <f t="shared" si="52"/>
        <v>#DIV/0!</v>
      </c>
    </row>
    <row r="40" spans="2:14" ht="25.5">
      <c r="B40" s="43" t="s">
        <v>295</v>
      </c>
      <c r="C40" s="44">
        <f>+C133</f>
        <v>189884000</v>
      </c>
      <c r="D40" s="44">
        <f t="shared" ref="D40:I40" si="53">+D133</f>
        <v>235862000</v>
      </c>
      <c r="E40" s="44">
        <f t="shared" si="53"/>
        <v>234385000</v>
      </c>
      <c r="F40" s="44">
        <f t="shared" si="53"/>
        <v>95865000</v>
      </c>
      <c r="G40" s="44">
        <f t="shared" si="53"/>
        <v>436653000</v>
      </c>
      <c r="H40" s="44">
        <f t="shared" si="53"/>
        <v>413910000</v>
      </c>
      <c r="I40" s="44">
        <f t="shared" si="53"/>
        <v>333108000</v>
      </c>
      <c r="J40" s="44">
        <f t="shared" ref="J40:N40" si="54">+J133</f>
        <v>0</v>
      </c>
      <c r="K40" s="44">
        <f t="shared" si="54"/>
        <v>0</v>
      </c>
      <c r="L40" s="44">
        <f t="shared" si="54"/>
        <v>0</v>
      </c>
      <c r="M40" s="44">
        <f t="shared" si="54"/>
        <v>0</v>
      </c>
      <c r="N40" s="44">
        <f t="shared" si="54"/>
        <v>0</v>
      </c>
    </row>
    <row r="41" spans="2:14" ht="25.5">
      <c r="B41" s="30" t="s">
        <v>296</v>
      </c>
      <c r="C41" s="45">
        <f>C40/C37</f>
        <v>0.11379457479552406</v>
      </c>
      <c r="D41" s="45">
        <f t="shared" ref="D41:I41" si="55">D40/D37</f>
        <v>0.13666045154464515</v>
      </c>
      <c r="E41" s="45">
        <f t="shared" si="55"/>
        <v>0.1574849442417898</v>
      </c>
      <c r="F41" s="45">
        <f t="shared" si="55"/>
        <v>7.1035578921628567E-2</v>
      </c>
      <c r="G41" s="45">
        <f t="shared" si="55"/>
        <v>0.30310600828130041</v>
      </c>
      <c r="H41" s="45">
        <f t="shared" si="55"/>
        <v>0.20963030191301388</v>
      </c>
      <c r="I41" s="45">
        <f t="shared" si="55"/>
        <v>0.16621110648731666</v>
      </c>
      <c r="J41" s="45" t="e">
        <f t="shared" ref="J41:N41" si="56">J40/J37</f>
        <v>#DIV/0!</v>
      </c>
      <c r="K41" s="45" t="e">
        <f t="shared" si="56"/>
        <v>#DIV/0!</v>
      </c>
      <c r="L41" s="45" t="e">
        <f t="shared" si="56"/>
        <v>#DIV/0!</v>
      </c>
      <c r="M41" s="45" t="e">
        <f t="shared" si="56"/>
        <v>#DIV/0!</v>
      </c>
      <c r="N41" s="45" t="e">
        <f t="shared" si="56"/>
        <v>#DIV/0!</v>
      </c>
    </row>
    <row r="42" spans="2:14" ht="25.5">
      <c r="B42" s="46" t="s">
        <v>658</v>
      </c>
      <c r="C42" s="121">
        <f>+C134</f>
        <v>1.5190999999999999</v>
      </c>
      <c r="D42" s="121">
        <f t="shared" ref="D42:I42" si="57">+D134</f>
        <v>1.8869</v>
      </c>
      <c r="E42" s="121">
        <f t="shared" si="57"/>
        <v>1.8751</v>
      </c>
      <c r="F42" s="121">
        <f t="shared" si="57"/>
        <v>0.76690000000000003</v>
      </c>
      <c r="G42" s="121">
        <f t="shared" si="57"/>
        <v>3.4931999999999999</v>
      </c>
      <c r="H42" s="121">
        <f t="shared" si="57"/>
        <v>3.3113000000000001</v>
      </c>
      <c r="I42" s="121">
        <f t="shared" si="57"/>
        <v>2.6648999999999998</v>
      </c>
      <c r="J42" s="121">
        <f t="shared" ref="J42:N42" si="58">+J134</f>
        <v>0</v>
      </c>
      <c r="K42" s="121">
        <f t="shared" si="58"/>
        <v>0</v>
      </c>
      <c r="L42" s="121">
        <f t="shared" si="58"/>
        <v>0</v>
      </c>
      <c r="M42" s="121">
        <f t="shared" si="58"/>
        <v>0</v>
      </c>
      <c r="N42" s="121">
        <f t="shared" si="58"/>
        <v>0</v>
      </c>
    </row>
    <row r="43" spans="2:14" ht="25.5">
      <c r="B43" s="46" t="s">
        <v>659</v>
      </c>
      <c r="C43" s="181">
        <f>+C42*C44</f>
        <v>1015.9740799999998</v>
      </c>
      <c r="D43" s="181">
        <f t="shared" ref="D43:I43" si="59">+D42*D44</f>
        <v>1283.0920000000001</v>
      </c>
      <c r="E43" s="181">
        <f t="shared" si="59"/>
        <v>1301.3194000000001</v>
      </c>
      <c r="F43" s="181">
        <f t="shared" si="59"/>
        <v>585.91160000000002</v>
      </c>
      <c r="G43" s="181">
        <f t="shared" si="59"/>
        <v>2976.2064</v>
      </c>
      <c r="H43" s="181">
        <f t="shared" si="59"/>
        <v>2808.8102250000002</v>
      </c>
      <c r="I43" s="181">
        <f t="shared" si="59"/>
        <v>2357.343891</v>
      </c>
      <c r="J43" s="181">
        <f t="shared" ref="J43:N43" si="60">+J42*J44</f>
        <v>0</v>
      </c>
      <c r="K43" s="181">
        <f t="shared" si="60"/>
        <v>0</v>
      </c>
      <c r="L43" s="181">
        <f t="shared" si="60"/>
        <v>0</v>
      </c>
      <c r="M43" s="181">
        <f t="shared" si="60"/>
        <v>0</v>
      </c>
      <c r="N43" s="181">
        <f t="shared" si="60"/>
        <v>0</v>
      </c>
    </row>
    <row r="44" spans="2:14" ht="25.5">
      <c r="B44" s="79" t="s">
        <v>600</v>
      </c>
      <c r="C44" s="173">
        <v>668.8</v>
      </c>
      <c r="D44" s="173">
        <v>680</v>
      </c>
      <c r="E44" s="173">
        <v>694</v>
      </c>
      <c r="F44" s="173">
        <v>764</v>
      </c>
      <c r="G44" s="173">
        <v>852</v>
      </c>
      <c r="H44" s="173">
        <v>848.25</v>
      </c>
      <c r="I44" s="173">
        <v>884.59</v>
      </c>
      <c r="J44" s="174"/>
      <c r="K44" s="174"/>
      <c r="L44" s="174"/>
      <c r="M44" s="174"/>
      <c r="N44" s="174"/>
    </row>
    <row r="45" spans="2:14" ht="25.5">
      <c r="B45" s="48" t="s">
        <v>160</v>
      </c>
      <c r="C45" s="49">
        <f t="shared" ref="C45:I45" si="61">C40/C16</f>
        <v>3.8418054405681898E-2</v>
      </c>
      <c r="D45" s="49">
        <f t="shared" si="61"/>
        <v>4.9446037589655038E-2</v>
      </c>
      <c r="E45" s="49">
        <f t="shared" si="61"/>
        <v>5.2195665211077505E-2</v>
      </c>
      <c r="F45" s="49">
        <f t="shared" si="61"/>
        <v>2.2295466739601089E-2</v>
      </c>
      <c r="G45" s="49">
        <f t="shared" si="61"/>
        <v>0.13397267914983391</v>
      </c>
      <c r="H45" s="49">
        <f t="shared" si="61"/>
        <v>0.12875700696185599</v>
      </c>
      <c r="I45" s="49">
        <f t="shared" si="61"/>
        <v>9.2765857191910439E-2</v>
      </c>
      <c r="J45" s="49" t="e">
        <f t="shared" ref="J45:N45" si="62">J40/J16</f>
        <v>#DIV/0!</v>
      </c>
      <c r="K45" s="49" t="e">
        <f t="shared" si="62"/>
        <v>#DIV/0!</v>
      </c>
      <c r="L45" s="49" t="e">
        <f t="shared" si="62"/>
        <v>#DIV/0!</v>
      </c>
      <c r="M45" s="49" t="e">
        <f t="shared" si="62"/>
        <v>#DIV/0!</v>
      </c>
      <c r="N45" s="49" t="e">
        <f t="shared" si="62"/>
        <v>#DIV/0!</v>
      </c>
    </row>
    <row r="46" spans="2:14" ht="25.5">
      <c r="B46" s="48" t="s">
        <v>382</v>
      </c>
      <c r="C46" s="49">
        <f>AVERAGE(G45:I45)</f>
        <v>0.11849851443453345</v>
      </c>
      <c r="D46" s="49"/>
      <c r="E46" s="49"/>
      <c r="F46" s="49"/>
      <c r="G46" s="49"/>
      <c r="H46" s="49"/>
      <c r="I46" s="49"/>
      <c r="J46" s="49"/>
      <c r="K46" s="49"/>
      <c r="L46" s="49"/>
      <c r="M46" s="49"/>
      <c r="N46" s="49"/>
    </row>
    <row r="47" spans="2:14" ht="25.5">
      <c r="B47" s="48" t="s">
        <v>298</v>
      </c>
      <c r="C47" s="50">
        <f>+C146</f>
        <v>401253000</v>
      </c>
      <c r="D47" s="50">
        <f t="shared" ref="D47:I47" si="63">+D146</f>
        <v>459327000</v>
      </c>
      <c r="E47" s="50">
        <f t="shared" si="63"/>
        <v>516911000</v>
      </c>
      <c r="F47" s="50">
        <f t="shared" si="63"/>
        <v>306579000</v>
      </c>
      <c r="G47" s="50">
        <f t="shared" si="63"/>
        <v>176066000</v>
      </c>
      <c r="H47" s="50">
        <f t="shared" si="63"/>
        <v>278044000</v>
      </c>
      <c r="I47" s="50">
        <f t="shared" si="63"/>
        <v>171989000</v>
      </c>
      <c r="J47" s="50">
        <f t="shared" ref="J47:N47" si="64">+J146</f>
        <v>0</v>
      </c>
      <c r="K47" s="50">
        <f t="shared" si="64"/>
        <v>0</v>
      </c>
      <c r="L47" s="50">
        <f t="shared" si="64"/>
        <v>0</v>
      </c>
      <c r="M47" s="50">
        <f t="shared" si="64"/>
        <v>0</v>
      </c>
      <c r="N47" s="50">
        <f t="shared" si="64"/>
        <v>0</v>
      </c>
    </row>
    <row r="48" spans="2:14" ht="25.5">
      <c r="B48" s="51" t="s">
        <v>119</v>
      </c>
      <c r="C48" s="51">
        <f>SUM(C50:C53)</f>
        <v>300</v>
      </c>
      <c r="D48" s="51">
        <f t="shared" ref="D48:F48" si="65">SUM(D50:D53)</f>
        <v>579.995</v>
      </c>
      <c r="E48" s="51">
        <f t="shared" si="65"/>
        <v>1165</v>
      </c>
      <c r="F48" s="51">
        <f t="shared" si="65"/>
        <v>2497.7629999999999</v>
      </c>
      <c r="G48" s="51">
        <f>SUM(G50:G53)</f>
        <v>6984.7579999999998</v>
      </c>
      <c r="H48" s="51">
        <f>SUM(H50:H53)</f>
        <v>1304.6210000000001</v>
      </c>
      <c r="I48" s="51">
        <f t="shared" ref="I48:N48" si="66">SUM(I50:I52)</f>
        <v>827.55799999999999</v>
      </c>
      <c r="J48" s="51">
        <f t="shared" si="66"/>
        <v>1074.1300000000001</v>
      </c>
      <c r="K48" s="51">
        <f t="shared" si="66"/>
        <v>0</v>
      </c>
      <c r="L48" s="51">
        <f t="shared" si="66"/>
        <v>0</v>
      </c>
      <c r="M48" s="51">
        <f t="shared" si="66"/>
        <v>0</v>
      </c>
      <c r="N48" s="51">
        <f t="shared" si="66"/>
        <v>0</v>
      </c>
    </row>
    <row r="49" spans="2:16" ht="25.5">
      <c r="B49" s="51" t="s">
        <v>383</v>
      </c>
      <c r="C49" s="51">
        <f>+C50+C51</f>
        <v>300</v>
      </c>
      <c r="D49" s="51">
        <f t="shared" ref="D49:I49" si="67">+D50+D51</f>
        <v>579.995</v>
      </c>
      <c r="E49" s="51">
        <f t="shared" si="67"/>
        <v>1165</v>
      </c>
      <c r="F49" s="51">
        <f t="shared" si="67"/>
        <v>1259.731</v>
      </c>
      <c r="G49" s="51">
        <f t="shared" si="67"/>
        <v>2519.7580000000003</v>
      </c>
      <c r="H49" s="51">
        <f t="shared" si="67"/>
        <v>1304.6210000000001</v>
      </c>
      <c r="I49" s="51">
        <f t="shared" si="67"/>
        <v>827.55799999999999</v>
      </c>
      <c r="J49" s="51">
        <f t="shared" ref="J49:N49" si="68">+J50+J51</f>
        <v>1074.1300000000001</v>
      </c>
      <c r="K49" s="51">
        <f t="shared" si="68"/>
        <v>0</v>
      </c>
      <c r="L49" s="51">
        <f t="shared" si="68"/>
        <v>0</v>
      </c>
      <c r="M49" s="51">
        <f t="shared" si="68"/>
        <v>0</v>
      </c>
      <c r="N49" s="51">
        <f t="shared" si="68"/>
        <v>0</v>
      </c>
    </row>
    <row r="50" spans="2:16" ht="18">
      <c r="B50" s="135" t="s">
        <v>121</v>
      </c>
      <c r="C50" s="94">
        <v>190</v>
      </c>
      <c r="D50" s="94">
        <v>183.995</v>
      </c>
      <c r="E50" s="94">
        <v>103.622</v>
      </c>
      <c r="F50" s="94">
        <v>650</v>
      </c>
      <c r="G50" s="94">
        <v>318.93799999999999</v>
      </c>
      <c r="H50" s="94">
        <v>437.61099999999999</v>
      </c>
      <c r="I50" s="155">
        <v>827.55799999999999</v>
      </c>
      <c r="J50" s="155">
        <v>1074.1300000000001</v>
      </c>
      <c r="K50" s="155"/>
      <c r="L50" s="155"/>
      <c r="M50" s="155"/>
      <c r="N50" s="155"/>
    </row>
    <row r="51" spans="2:16" ht="18">
      <c r="B51" s="135" t="s">
        <v>122</v>
      </c>
      <c r="C51" s="94">
        <v>110</v>
      </c>
      <c r="D51" s="94">
        <v>396</v>
      </c>
      <c r="E51" s="94">
        <v>1061.3779999999999</v>
      </c>
      <c r="F51" s="94">
        <v>609.73099999999999</v>
      </c>
      <c r="G51" s="94">
        <v>2200.8200000000002</v>
      </c>
      <c r="H51" s="94">
        <v>867.01</v>
      </c>
      <c r="I51" s="155"/>
      <c r="J51" s="155"/>
      <c r="K51" s="155"/>
      <c r="L51" s="155"/>
      <c r="M51" s="155"/>
      <c r="N51" s="155"/>
    </row>
    <row r="52" spans="2:16" ht="18">
      <c r="B52" s="135" t="s">
        <v>123</v>
      </c>
      <c r="C52" s="94"/>
      <c r="D52" s="94"/>
      <c r="E52" s="94"/>
      <c r="F52" s="94"/>
      <c r="G52" s="94"/>
      <c r="H52" s="94"/>
      <c r="I52" s="155"/>
      <c r="J52" s="155"/>
      <c r="K52" s="155"/>
      <c r="L52" s="155"/>
      <c r="M52" s="155"/>
      <c r="N52" s="155"/>
    </row>
    <row r="53" spans="2:16" ht="18">
      <c r="B53" s="135" t="s">
        <v>124</v>
      </c>
      <c r="C53" s="94"/>
      <c r="D53" s="94"/>
      <c r="E53" s="94"/>
      <c r="F53" s="94">
        <v>1238.0319999999999</v>
      </c>
      <c r="G53" s="94">
        <v>4465</v>
      </c>
      <c r="H53" s="94"/>
      <c r="I53" s="94"/>
      <c r="J53" s="94"/>
      <c r="K53" s="94"/>
      <c r="L53" s="94"/>
      <c r="M53" s="94"/>
      <c r="N53" s="94"/>
    </row>
    <row r="54" spans="2:16" ht="25.5">
      <c r="B54" s="541" t="s">
        <v>167</v>
      </c>
      <c r="C54" s="99">
        <f>(C51+C52+D50)/C43</f>
        <v>0.28937253989786832</v>
      </c>
      <c r="D54" s="99">
        <f t="shared" ref="D54:N54" si="69">(D51+D52+E50)/D43</f>
        <v>0.38938906952891916</v>
      </c>
      <c r="E54" s="99">
        <f t="shared" si="69"/>
        <v>1.3151098800186947</v>
      </c>
      <c r="F54" s="99">
        <f t="shared" si="69"/>
        <v>1.5849984878264911</v>
      </c>
      <c r="G54" s="99">
        <f t="shared" si="69"/>
        <v>0.88650807282720712</v>
      </c>
      <c r="H54" s="99">
        <f t="shared" si="69"/>
        <v>0.60330455397712024</v>
      </c>
      <c r="I54" s="99">
        <f t="shared" si="69"/>
        <v>0.45565265386220227</v>
      </c>
      <c r="J54" s="99" t="e">
        <f t="shared" si="69"/>
        <v>#DIV/0!</v>
      </c>
      <c r="K54" s="99" t="e">
        <f t="shared" si="69"/>
        <v>#DIV/0!</v>
      </c>
      <c r="L54" s="99" t="e">
        <f t="shared" si="69"/>
        <v>#DIV/0!</v>
      </c>
      <c r="M54" s="99" t="e">
        <f t="shared" si="69"/>
        <v>#DIV/0!</v>
      </c>
      <c r="N54" s="99" t="e">
        <f t="shared" si="69"/>
        <v>#DIV/0!</v>
      </c>
    </row>
    <row r="55" spans="2:16" ht="28.5">
      <c r="B55" s="540" t="s">
        <v>303</v>
      </c>
      <c r="C55" s="54">
        <f>AVERAGE(G54:I54)</f>
        <v>0.64848842688884323</v>
      </c>
      <c r="D55" s="54"/>
      <c r="E55" s="54"/>
      <c r="F55" s="54"/>
      <c r="G55" s="54"/>
      <c r="H55" s="54"/>
      <c r="I55" s="54"/>
      <c r="J55" s="54"/>
      <c r="K55" s="54"/>
      <c r="L55" s="54"/>
      <c r="M55" s="54"/>
      <c r="N55" s="54"/>
    </row>
    <row r="56" spans="2:16" ht="25.5">
      <c r="B56" s="541" t="s">
        <v>299</v>
      </c>
      <c r="C56" s="99">
        <f t="shared" ref="C56:I56" si="70">+C48/C21</f>
        <v>1.9199999999999998E-2</v>
      </c>
      <c r="D56" s="99">
        <f t="shared" si="70"/>
        <v>3.517252880533657E-2</v>
      </c>
      <c r="E56" s="99">
        <f t="shared" si="70"/>
        <v>9.3200000000000005E-2</v>
      </c>
      <c r="F56" s="99">
        <f t="shared" si="70"/>
        <v>0.17841164285714284</v>
      </c>
      <c r="G56" s="99">
        <f t="shared" si="70"/>
        <v>0.53728907692307692</v>
      </c>
      <c r="H56" s="99">
        <f t="shared" si="70"/>
        <v>0.12625771799090293</v>
      </c>
      <c r="I56" s="99">
        <f t="shared" si="70"/>
        <v>6.5429949399114479E-2</v>
      </c>
      <c r="J56" s="99" t="e">
        <f t="shared" ref="J56:N56" si="71">+J48/J21</f>
        <v>#DIV/0!</v>
      </c>
      <c r="K56" s="99" t="e">
        <f t="shared" si="71"/>
        <v>#DIV/0!</v>
      </c>
      <c r="L56" s="99" t="e">
        <f t="shared" si="71"/>
        <v>#DIV/0!</v>
      </c>
      <c r="M56" s="99" t="e">
        <f t="shared" si="71"/>
        <v>#DIV/0!</v>
      </c>
      <c r="N56" s="99" t="e">
        <f t="shared" si="71"/>
        <v>#DIV/0!</v>
      </c>
    </row>
    <row r="57" spans="2:16" ht="25.5">
      <c r="B57" s="542" t="s">
        <v>384</v>
      </c>
      <c r="C57" s="534">
        <f>AVERAGE(G56:I56)</f>
        <v>0.24299224810436479</v>
      </c>
      <c r="D57" s="534"/>
      <c r="E57" s="534"/>
      <c r="F57" s="534"/>
      <c r="G57" s="534"/>
      <c r="H57" s="534"/>
      <c r="I57" s="534"/>
      <c r="J57" s="534"/>
      <c r="K57" s="534"/>
      <c r="L57" s="534"/>
      <c r="M57" s="534"/>
      <c r="N57" s="534"/>
      <c r="O57" s="534"/>
      <c r="P57" s="534"/>
    </row>
    <row r="58" spans="2:16" ht="25.5">
      <c r="B58" s="543" t="s">
        <v>176</v>
      </c>
      <c r="C58" s="355">
        <f>+C45*(100%-C54)</f>
        <v>2.7300924424375234E-2</v>
      </c>
      <c r="D58" s="355">
        <f t="shared" ref="D58:I58" si="72">+D45*(100%-D54)</f>
        <v>3.0192291020727301E-2</v>
      </c>
      <c r="E58" s="355">
        <f t="shared" si="72"/>
        <v>-1.6447369802158589E-2</v>
      </c>
      <c r="F58" s="549">
        <f t="shared" si="72"/>
        <v>-1.3042814328052465E-2</v>
      </c>
      <c r="G58" s="355">
        <f t="shared" si="72"/>
        <v>1.5204817545216897E-2</v>
      </c>
      <c r="H58" s="355">
        <f t="shared" si="72"/>
        <v>5.1077318305304494E-2</v>
      </c>
      <c r="I58" s="355">
        <f t="shared" si="72"/>
        <v>5.0496848174614382E-2</v>
      </c>
      <c r="J58" s="355" t="e">
        <f t="shared" ref="J58:N58" si="73">+J45*(100%-J54)</f>
        <v>#DIV/0!</v>
      </c>
      <c r="K58" s="355" t="e">
        <f t="shared" si="73"/>
        <v>#DIV/0!</v>
      </c>
      <c r="L58" s="355" t="e">
        <f t="shared" si="73"/>
        <v>#DIV/0!</v>
      </c>
      <c r="M58" s="355" t="e">
        <f t="shared" si="73"/>
        <v>#DIV/0!</v>
      </c>
      <c r="N58" s="355" t="e">
        <f t="shared" si="73"/>
        <v>#DIV/0!</v>
      </c>
    </row>
    <row r="59" spans="2:16" ht="25.5">
      <c r="B59" s="542" t="s">
        <v>306</v>
      </c>
      <c r="C59" s="534">
        <f>AVERAGE(G58:I58)</f>
        <v>3.8926328008378593E-2</v>
      </c>
      <c r="D59" s="534"/>
      <c r="E59" s="534"/>
      <c r="F59" s="534"/>
      <c r="G59" s="534"/>
      <c r="H59" s="534"/>
      <c r="I59" s="534"/>
      <c r="J59" s="534"/>
      <c r="K59" s="534"/>
      <c r="L59" s="534"/>
      <c r="M59" s="534"/>
      <c r="N59" s="534"/>
      <c r="O59" s="534"/>
    </row>
    <row r="61" spans="2:16">
      <c r="B61" s="75" t="s">
        <v>307</v>
      </c>
    </row>
    <row r="62" spans="2:16" ht="14.65" thickBot="1"/>
    <row r="63" spans="2:16">
      <c r="B63" s="57" t="s">
        <v>385</v>
      </c>
      <c r="C63" s="158">
        <v>2017</v>
      </c>
      <c r="D63" s="158">
        <v>2018</v>
      </c>
      <c r="E63" s="158">
        <v>2019</v>
      </c>
      <c r="F63" s="158">
        <v>2020</v>
      </c>
      <c r="G63" s="158">
        <v>2021</v>
      </c>
      <c r="H63" s="158">
        <v>2022</v>
      </c>
      <c r="I63" s="158">
        <v>2023</v>
      </c>
      <c r="J63" s="158">
        <v>2024</v>
      </c>
      <c r="K63" s="158">
        <v>2025</v>
      </c>
      <c r="L63" s="158">
        <v>2026</v>
      </c>
      <c r="M63" s="158">
        <v>2027</v>
      </c>
      <c r="N63" s="158">
        <v>2028</v>
      </c>
    </row>
    <row r="64" spans="2:16">
      <c r="B64" s="157" t="s">
        <v>309</v>
      </c>
      <c r="C64" s="66"/>
      <c r="D64" s="66"/>
      <c r="E64" s="66"/>
      <c r="F64" s="66"/>
      <c r="G64" s="66"/>
      <c r="H64" s="66"/>
      <c r="I64" s="66"/>
      <c r="J64" s="66"/>
      <c r="K64" s="66"/>
      <c r="L64" s="66"/>
      <c r="M64" s="66"/>
      <c r="N64" s="66"/>
    </row>
    <row r="65" spans="2:14">
      <c r="B65" s="58" t="s">
        <v>310</v>
      </c>
      <c r="C65" s="64">
        <v>1310546000</v>
      </c>
      <c r="D65" s="64">
        <v>1391349000</v>
      </c>
      <c r="E65" s="64">
        <v>1610365000</v>
      </c>
      <c r="F65" s="69">
        <v>1425772000</v>
      </c>
      <c r="G65" s="64">
        <v>1796760000</v>
      </c>
      <c r="H65" s="141">
        <v>1723415000</v>
      </c>
      <c r="I65" s="64">
        <v>1611982000</v>
      </c>
      <c r="J65" s="64"/>
      <c r="K65" s="64"/>
      <c r="L65" s="64"/>
      <c r="M65" s="64"/>
      <c r="N65" s="64"/>
    </row>
    <row r="66" spans="2:14">
      <c r="B66" s="59" t="s">
        <v>386</v>
      </c>
      <c r="C66" s="66">
        <v>363758000</v>
      </c>
      <c r="D66" s="66">
        <v>314760000</v>
      </c>
      <c r="E66" s="66">
        <v>364595000</v>
      </c>
      <c r="F66" s="66">
        <v>281076000</v>
      </c>
      <c r="G66" s="66">
        <v>408083000</v>
      </c>
      <c r="H66" s="160">
        <v>216565000</v>
      </c>
      <c r="I66" s="66">
        <v>337430000</v>
      </c>
      <c r="J66" s="66"/>
      <c r="K66" s="66"/>
      <c r="L66" s="66"/>
      <c r="M66" s="66"/>
      <c r="N66" s="66"/>
    </row>
    <row r="67" spans="2:14">
      <c r="B67" s="59" t="s">
        <v>387</v>
      </c>
      <c r="C67" s="139">
        <v>548267000</v>
      </c>
      <c r="D67" s="133">
        <v>665932000</v>
      </c>
      <c r="E67" s="133">
        <v>905179000</v>
      </c>
      <c r="F67" s="358">
        <v>847251000</v>
      </c>
      <c r="G67" s="66">
        <v>945492000</v>
      </c>
      <c r="H67" s="160">
        <v>954344000</v>
      </c>
      <c r="I67" s="66">
        <v>845932000</v>
      </c>
      <c r="J67" s="66"/>
      <c r="K67" s="66"/>
      <c r="L67" s="66"/>
      <c r="M67" s="66"/>
      <c r="N67" s="66"/>
    </row>
    <row r="68" spans="2:14">
      <c r="B68" s="59" t="s">
        <v>388</v>
      </c>
      <c r="C68" s="66"/>
      <c r="D68" s="66"/>
      <c r="E68" s="66"/>
      <c r="F68" s="66"/>
      <c r="G68" s="66"/>
      <c r="H68" s="160">
        <v>36129000</v>
      </c>
      <c r="I68" s="66">
        <v>47400000</v>
      </c>
      <c r="J68" s="66"/>
      <c r="K68" s="66"/>
      <c r="L68" s="66"/>
      <c r="M68" s="66"/>
      <c r="N68" s="66"/>
    </row>
    <row r="69" spans="2:14">
      <c r="B69" s="59" t="s">
        <v>389</v>
      </c>
      <c r="C69" s="359">
        <v>259399000</v>
      </c>
      <c r="D69" s="359">
        <v>268595000</v>
      </c>
      <c r="E69" s="359">
        <v>252663000</v>
      </c>
      <c r="F69" s="359">
        <v>201200000</v>
      </c>
      <c r="G69" s="66">
        <v>307195000</v>
      </c>
      <c r="H69" s="160">
        <v>267764000</v>
      </c>
      <c r="I69" s="66">
        <v>196524000</v>
      </c>
      <c r="J69" s="66"/>
      <c r="K69" s="66"/>
      <c r="L69" s="66"/>
      <c r="M69" s="66"/>
      <c r="N69" s="66"/>
    </row>
    <row r="70" spans="2:14">
      <c r="B70" s="59" t="s">
        <v>390</v>
      </c>
      <c r="C70" s="359">
        <v>18988000</v>
      </c>
      <c r="D70" s="359">
        <v>14691000</v>
      </c>
      <c r="E70" s="359">
        <v>1157000</v>
      </c>
      <c r="F70" s="359">
        <v>75000</v>
      </c>
      <c r="G70" s="360">
        <v>48000</v>
      </c>
      <c r="H70" s="359">
        <v>61372000</v>
      </c>
      <c r="I70" s="66">
        <v>66385000</v>
      </c>
      <c r="J70" s="66"/>
      <c r="K70" s="66"/>
      <c r="L70" s="66"/>
      <c r="M70" s="66"/>
      <c r="N70" s="66"/>
    </row>
    <row r="71" spans="2:14">
      <c r="B71" s="59" t="s">
        <v>391</v>
      </c>
      <c r="C71" s="359">
        <v>64129000</v>
      </c>
      <c r="D71" s="359">
        <v>45360000</v>
      </c>
      <c r="E71" s="359">
        <v>48559000</v>
      </c>
      <c r="F71" s="359">
        <v>33646000</v>
      </c>
      <c r="G71" s="66">
        <v>70598000</v>
      </c>
      <c r="H71" s="160">
        <v>95028000</v>
      </c>
      <c r="I71" s="66">
        <v>101389000</v>
      </c>
      <c r="J71" s="66"/>
      <c r="K71" s="66"/>
      <c r="L71" s="66"/>
      <c r="M71" s="66"/>
      <c r="N71" s="66"/>
    </row>
    <row r="72" spans="2:14">
      <c r="B72" s="59" t="s">
        <v>392</v>
      </c>
      <c r="C72" s="66"/>
      <c r="D72" s="66"/>
      <c r="E72" s="66"/>
      <c r="F72" s="66"/>
      <c r="G72" s="66"/>
      <c r="H72" s="160">
        <v>92213000</v>
      </c>
      <c r="I72" s="66">
        <v>16922000</v>
      </c>
      <c r="J72" s="66"/>
      <c r="K72" s="66"/>
      <c r="L72" s="66"/>
      <c r="M72" s="66"/>
      <c r="N72" s="66"/>
    </row>
    <row r="73" spans="2:14">
      <c r="B73" s="59" t="s">
        <v>318</v>
      </c>
      <c r="C73" s="66">
        <f t="shared" ref="C73:M73" si="74">+C65-C66-C71-C72-C70-C69-C68-C67</f>
        <v>56005000</v>
      </c>
      <c r="D73" s="66">
        <f t="shared" si="74"/>
        <v>82011000</v>
      </c>
      <c r="E73" s="66">
        <f t="shared" si="74"/>
        <v>38212000</v>
      </c>
      <c r="F73" s="66">
        <f t="shared" si="74"/>
        <v>62524000</v>
      </c>
      <c r="G73" s="66">
        <f t="shared" si="74"/>
        <v>65344000</v>
      </c>
      <c r="H73" s="66">
        <f t="shared" si="74"/>
        <v>0</v>
      </c>
      <c r="I73" s="66">
        <f t="shared" si="74"/>
        <v>0</v>
      </c>
      <c r="J73" s="66">
        <f t="shared" si="74"/>
        <v>0</v>
      </c>
      <c r="K73" s="66">
        <f t="shared" si="74"/>
        <v>0</v>
      </c>
      <c r="L73" s="66">
        <f t="shared" si="74"/>
        <v>0</v>
      </c>
      <c r="M73" s="66">
        <f t="shared" si="74"/>
        <v>0</v>
      </c>
      <c r="N73" s="66"/>
    </row>
    <row r="74" spans="2:14">
      <c r="B74" s="58" t="s">
        <v>319</v>
      </c>
      <c r="C74" s="64">
        <v>10093665000</v>
      </c>
      <c r="D74" s="64">
        <v>9563078000</v>
      </c>
      <c r="E74" s="64">
        <v>8650896000</v>
      </c>
      <c r="F74" s="69">
        <v>8501530000</v>
      </c>
      <c r="G74" s="64">
        <v>7612654000</v>
      </c>
      <c r="H74" s="141">
        <v>7896502000</v>
      </c>
      <c r="I74" s="64">
        <v>8321526000</v>
      </c>
      <c r="J74" s="64"/>
      <c r="K74" s="64"/>
      <c r="L74" s="64"/>
      <c r="M74" s="64"/>
      <c r="N74" s="64"/>
    </row>
    <row r="75" spans="2:14">
      <c r="B75" s="59" t="s">
        <v>393</v>
      </c>
      <c r="C75" s="66">
        <v>1324363000</v>
      </c>
      <c r="D75" s="66">
        <v>1009687000</v>
      </c>
      <c r="E75" s="66">
        <v>766269000</v>
      </c>
      <c r="F75" s="66">
        <v>836581000</v>
      </c>
      <c r="G75" s="67">
        <v>727573000</v>
      </c>
      <c r="H75" s="131">
        <v>746394000</v>
      </c>
      <c r="I75" s="66">
        <v>820398000</v>
      </c>
      <c r="J75" s="66"/>
      <c r="K75" s="66"/>
      <c r="L75" s="66"/>
      <c r="M75" s="66"/>
      <c r="N75" s="66"/>
    </row>
    <row r="76" spans="2:14">
      <c r="B76" s="59" t="s">
        <v>394</v>
      </c>
      <c r="C76" s="66">
        <v>29009000</v>
      </c>
      <c r="D76" s="66">
        <v>26930000</v>
      </c>
      <c r="E76" s="66">
        <v>40494000</v>
      </c>
      <c r="F76" s="66">
        <v>47668000</v>
      </c>
      <c r="G76" s="67">
        <v>43222000</v>
      </c>
      <c r="H76" s="131">
        <v>42962000</v>
      </c>
      <c r="I76" s="66">
        <v>41147000</v>
      </c>
      <c r="J76" s="66"/>
      <c r="K76" s="66"/>
      <c r="L76" s="66"/>
      <c r="M76" s="66"/>
      <c r="N76" s="66"/>
    </row>
    <row r="77" spans="2:14">
      <c r="B77" s="59" t="s">
        <v>487</v>
      </c>
      <c r="C77" s="66"/>
      <c r="D77" s="66"/>
      <c r="E77" s="66"/>
      <c r="F77" s="66"/>
      <c r="G77" s="66">
        <v>2150377000</v>
      </c>
      <c r="H77" s="160">
        <v>2255562000</v>
      </c>
      <c r="I77" s="66">
        <v>2270005000</v>
      </c>
      <c r="J77" s="66"/>
      <c r="K77" s="66"/>
      <c r="L77" s="66"/>
      <c r="M77" s="66"/>
      <c r="N77" s="66"/>
    </row>
    <row r="78" spans="2:14">
      <c r="B78" s="59" t="s">
        <v>396</v>
      </c>
      <c r="C78" s="66"/>
      <c r="D78" s="66"/>
      <c r="E78" s="66"/>
      <c r="F78" s="66"/>
      <c r="G78" s="66"/>
      <c r="H78" s="160"/>
      <c r="I78" s="66"/>
      <c r="J78" s="66"/>
      <c r="K78" s="66"/>
      <c r="L78" s="66"/>
      <c r="M78" s="66"/>
      <c r="N78" s="66"/>
    </row>
    <row r="79" spans="2:14">
      <c r="B79" s="59" t="s">
        <v>397</v>
      </c>
      <c r="C79" s="66"/>
      <c r="D79" s="66"/>
      <c r="E79" s="66"/>
      <c r="F79" s="66"/>
      <c r="G79" s="66"/>
      <c r="H79" s="160"/>
      <c r="I79" s="66"/>
      <c r="J79" s="66"/>
      <c r="K79" s="66"/>
      <c r="L79" s="66"/>
      <c r="M79" s="66"/>
      <c r="N79" s="66"/>
    </row>
    <row r="80" spans="2:14">
      <c r="B80" s="59" t="s">
        <v>398</v>
      </c>
      <c r="C80" s="66">
        <v>5765038000</v>
      </c>
      <c r="D80" s="66">
        <v>5641604000</v>
      </c>
      <c r="E80" s="66">
        <v>5307747000</v>
      </c>
      <c r="F80" s="68">
        <v>4848063000</v>
      </c>
      <c r="G80" s="66">
        <v>4420989000</v>
      </c>
      <c r="H80" s="160">
        <v>4517316000</v>
      </c>
      <c r="I80" s="66">
        <v>4879190000</v>
      </c>
      <c r="J80" s="66"/>
      <c r="K80" s="66"/>
      <c r="L80" s="66"/>
      <c r="M80" s="66"/>
      <c r="N80" s="66"/>
    </row>
    <row r="81" spans="2:14">
      <c r="B81" s="59" t="s">
        <v>399</v>
      </c>
      <c r="C81" s="66">
        <v>17878000</v>
      </c>
      <c r="D81" s="66">
        <v>17578000</v>
      </c>
      <c r="E81" s="66">
        <v>14877000</v>
      </c>
      <c r="F81" s="66">
        <v>13469000</v>
      </c>
      <c r="G81" s="66">
        <v>13335000</v>
      </c>
      <c r="H81" s="66">
        <v>13203000</v>
      </c>
      <c r="I81" s="66">
        <v>9079000</v>
      </c>
      <c r="J81" s="66"/>
      <c r="K81" s="66"/>
      <c r="L81" s="66"/>
      <c r="M81" s="66"/>
      <c r="N81" s="66"/>
    </row>
    <row r="82" spans="2:14">
      <c r="B82" s="59" t="s">
        <v>400</v>
      </c>
      <c r="C82" s="66"/>
      <c r="D82" s="66"/>
      <c r="E82" s="66"/>
      <c r="F82" s="161"/>
      <c r="G82" s="66"/>
      <c r="H82" s="160"/>
      <c r="I82" s="66"/>
      <c r="J82" s="66"/>
      <c r="K82" s="66"/>
      <c r="L82" s="66"/>
      <c r="M82" s="66"/>
      <c r="N82" s="66"/>
    </row>
    <row r="83" spans="2:14">
      <c r="B83" s="59" t="s">
        <v>401</v>
      </c>
      <c r="C83" s="66"/>
      <c r="D83" s="66"/>
      <c r="E83" s="66"/>
      <c r="F83" s="66"/>
      <c r="G83" s="66"/>
      <c r="H83" s="160"/>
      <c r="I83" s="66"/>
      <c r="J83" s="66"/>
      <c r="K83" s="66"/>
      <c r="L83" s="66"/>
      <c r="M83" s="66"/>
      <c r="N83" s="66"/>
    </row>
    <row r="84" spans="2:14">
      <c r="B84" s="59" t="s">
        <v>328</v>
      </c>
      <c r="C84" s="66">
        <f t="shared" ref="C84:M84" si="75">+C74-C81-C82-C80-C75-C83-C79-C78-C77-C76</f>
        <v>2957377000</v>
      </c>
      <c r="D84" s="66">
        <f t="shared" si="75"/>
        <v>2867279000</v>
      </c>
      <c r="E84" s="66">
        <f t="shared" si="75"/>
        <v>2521509000</v>
      </c>
      <c r="F84" s="66">
        <f t="shared" si="75"/>
        <v>2755749000</v>
      </c>
      <c r="G84" s="66">
        <f t="shared" si="75"/>
        <v>257158000</v>
      </c>
      <c r="H84" s="66">
        <f t="shared" si="75"/>
        <v>321065000</v>
      </c>
      <c r="I84" s="66">
        <f t="shared" si="75"/>
        <v>301707000</v>
      </c>
      <c r="J84" s="66">
        <f t="shared" si="75"/>
        <v>0</v>
      </c>
      <c r="K84" s="66">
        <f t="shared" si="75"/>
        <v>0</v>
      </c>
      <c r="L84" s="66">
        <f t="shared" si="75"/>
        <v>0</v>
      </c>
      <c r="M84" s="66">
        <f t="shared" si="75"/>
        <v>0</v>
      </c>
      <c r="N84" s="66"/>
    </row>
    <row r="85" spans="2:14" ht="14.65" thickBot="1">
      <c r="B85" s="60" t="s">
        <v>329</v>
      </c>
      <c r="C85" s="70">
        <f t="shared" ref="C85:I85" si="76">+C74+C65</f>
        <v>11404211000</v>
      </c>
      <c r="D85" s="70">
        <f t="shared" si="76"/>
        <v>10954427000</v>
      </c>
      <c r="E85" s="70">
        <f t="shared" si="76"/>
        <v>10261261000</v>
      </c>
      <c r="F85" s="70">
        <f t="shared" si="76"/>
        <v>9927302000</v>
      </c>
      <c r="G85" s="70">
        <f t="shared" si="76"/>
        <v>9409414000</v>
      </c>
      <c r="H85" s="162">
        <f t="shared" si="76"/>
        <v>9619917000</v>
      </c>
      <c r="I85" s="162">
        <f t="shared" si="76"/>
        <v>9933508000</v>
      </c>
      <c r="J85" s="70"/>
      <c r="K85" s="70"/>
      <c r="L85" s="70"/>
      <c r="M85" s="70"/>
      <c r="N85" s="70"/>
    </row>
    <row r="86" spans="2:14" ht="14.65" thickBot="1">
      <c r="B86" s="61"/>
      <c r="C86" s="72"/>
      <c r="D86" s="72"/>
      <c r="E86" s="72"/>
      <c r="F86" s="72"/>
      <c r="G86" s="72"/>
      <c r="H86" s="163"/>
      <c r="I86" s="72"/>
      <c r="J86" s="72"/>
      <c r="K86" s="72"/>
      <c r="L86" s="72"/>
      <c r="M86" s="72"/>
      <c r="N86" s="72"/>
    </row>
    <row r="87" spans="2:14">
      <c r="B87" s="57" t="s">
        <v>330</v>
      </c>
      <c r="C87" s="62"/>
      <c r="D87" s="62"/>
      <c r="E87" s="62"/>
      <c r="F87" s="62"/>
      <c r="G87" s="62"/>
      <c r="H87" s="164"/>
      <c r="I87" s="62"/>
      <c r="J87" s="62"/>
      <c r="K87" s="62"/>
      <c r="L87" s="62"/>
      <c r="M87" s="62"/>
      <c r="N87" s="62"/>
    </row>
    <row r="88" spans="2:14">
      <c r="B88" s="58" t="s">
        <v>310</v>
      </c>
      <c r="C88" s="64">
        <v>498587000</v>
      </c>
      <c r="D88" s="64">
        <v>422515000</v>
      </c>
      <c r="E88" s="64">
        <v>539860000</v>
      </c>
      <c r="F88" s="64">
        <v>369065000</v>
      </c>
      <c r="G88" s="64">
        <v>805412000</v>
      </c>
      <c r="H88" s="141">
        <v>852586000</v>
      </c>
      <c r="I88" s="64">
        <v>848202000</v>
      </c>
      <c r="J88" s="64"/>
      <c r="K88" s="64"/>
      <c r="L88" s="64"/>
      <c r="M88" s="64"/>
      <c r="N88" s="64"/>
    </row>
    <row r="89" spans="2:14">
      <c r="B89" s="59" t="s">
        <v>402</v>
      </c>
      <c r="C89" s="66"/>
      <c r="D89" s="66"/>
      <c r="E89" s="66"/>
      <c r="F89" s="66"/>
      <c r="G89" s="66"/>
      <c r="H89" s="160">
        <v>96160000</v>
      </c>
      <c r="I89" s="66">
        <v>347130000</v>
      </c>
      <c r="J89" s="66"/>
      <c r="K89" s="66"/>
      <c r="L89" s="66"/>
      <c r="M89" s="66"/>
      <c r="N89" s="66"/>
    </row>
    <row r="90" spans="2:14">
      <c r="B90" s="59" t="s">
        <v>403</v>
      </c>
      <c r="C90" s="66"/>
      <c r="D90" s="66"/>
      <c r="E90" s="66"/>
      <c r="F90" s="66"/>
      <c r="G90" s="66"/>
      <c r="H90" s="160"/>
      <c r="I90" s="66"/>
      <c r="J90" s="66"/>
      <c r="K90" s="66"/>
      <c r="L90" s="66"/>
      <c r="M90" s="66"/>
      <c r="N90" s="66"/>
    </row>
    <row r="91" spans="2:14">
      <c r="B91" s="59" t="s">
        <v>404</v>
      </c>
      <c r="C91" s="66"/>
      <c r="D91" s="66"/>
      <c r="E91" s="66"/>
      <c r="F91" s="66"/>
      <c r="G91" s="66"/>
      <c r="H91" s="160"/>
      <c r="I91" s="66"/>
      <c r="J91" s="66"/>
      <c r="K91" s="66"/>
      <c r="L91" s="66"/>
      <c r="M91" s="66"/>
      <c r="N91" s="66"/>
    </row>
    <row r="92" spans="2:14">
      <c r="B92" s="59" t="s">
        <v>405</v>
      </c>
      <c r="C92" s="66">
        <v>279249000</v>
      </c>
      <c r="D92" s="66">
        <v>264303000</v>
      </c>
      <c r="E92" s="66">
        <v>305207000</v>
      </c>
      <c r="F92" s="66">
        <v>173168000</v>
      </c>
      <c r="G92" s="66">
        <v>330521000</v>
      </c>
      <c r="H92" s="160">
        <v>620521000</v>
      </c>
      <c r="I92" s="66">
        <v>331742000</v>
      </c>
      <c r="J92" s="66"/>
      <c r="K92" s="66"/>
      <c r="L92" s="66"/>
      <c r="M92" s="66"/>
      <c r="N92" s="66"/>
    </row>
    <row r="93" spans="2:14">
      <c r="B93" s="59" t="s">
        <v>406</v>
      </c>
      <c r="C93" s="66">
        <v>3983000</v>
      </c>
      <c r="D93" s="66">
        <v>614000</v>
      </c>
      <c r="E93" s="66">
        <v>1458000</v>
      </c>
      <c r="F93" s="66">
        <v>36000</v>
      </c>
      <c r="G93" s="66">
        <v>1436000</v>
      </c>
      <c r="H93" s="131">
        <v>4424000</v>
      </c>
      <c r="I93" s="66"/>
      <c r="J93" s="66"/>
      <c r="K93" s="66"/>
      <c r="L93" s="66"/>
      <c r="M93" s="66"/>
      <c r="N93" s="66"/>
    </row>
    <row r="94" spans="2:14">
      <c r="B94" s="59" t="s">
        <v>407</v>
      </c>
      <c r="C94" s="66"/>
      <c r="D94" s="66"/>
      <c r="E94" s="66"/>
      <c r="F94" s="66"/>
      <c r="G94" s="66"/>
      <c r="H94" s="160"/>
      <c r="I94" s="66">
        <v>34453000</v>
      </c>
      <c r="J94" s="66"/>
      <c r="K94" s="66"/>
      <c r="L94" s="66"/>
      <c r="M94" s="66"/>
      <c r="N94" s="66"/>
    </row>
    <row r="95" spans="2:14">
      <c r="B95" s="59" t="s">
        <v>408</v>
      </c>
      <c r="C95" s="66">
        <v>22381000</v>
      </c>
      <c r="D95" s="66">
        <v>1936000</v>
      </c>
      <c r="E95" s="66">
        <v>79173000</v>
      </c>
      <c r="F95" s="66">
        <v>63000</v>
      </c>
      <c r="G95" s="66">
        <v>101767000</v>
      </c>
      <c r="H95" s="131">
        <v>13526000</v>
      </c>
      <c r="I95" s="66">
        <v>67460000</v>
      </c>
      <c r="J95" s="66"/>
      <c r="K95" s="66"/>
      <c r="L95" s="66"/>
      <c r="M95" s="66"/>
      <c r="N95" s="66"/>
    </row>
    <row r="96" spans="2:14">
      <c r="B96" s="59" t="s">
        <v>409</v>
      </c>
      <c r="C96" s="66"/>
      <c r="D96" s="66"/>
      <c r="E96" s="66"/>
      <c r="F96" s="66"/>
      <c r="G96" s="66"/>
      <c r="H96" s="160"/>
      <c r="I96" s="66"/>
      <c r="J96" s="66"/>
      <c r="K96" s="66"/>
      <c r="L96" s="66"/>
      <c r="M96" s="66"/>
      <c r="N96" s="66"/>
    </row>
    <row r="97" spans="2:14">
      <c r="B97" s="59" t="s">
        <v>410</v>
      </c>
      <c r="C97" s="66">
        <f t="shared" ref="C97:M97" si="77">+C88-C89-C95-C96-C94-C93-C92-C91-C90</f>
        <v>192974000</v>
      </c>
      <c r="D97" s="66">
        <f t="shared" si="77"/>
        <v>155662000</v>
      </c>
      <c r="E97" s="66">
        <f t="shared" si="77"/>
        <v>154022000</v>
      </c>
      <c r="F97" s="66">
        <f t="shared" si="77"/>
        <v>195798000</v>
      </c>
      <c r="G97" s="66">
        <f t="shared" si="77"/>
        <v>371688000</v>
      </c>
      <c r="H97" s="66">
        <f t="shared" si="77"/>
        <v>117955000</v>
      </c>
      <c r="I97" s="66">
        <f>+I88-I89-I95-I96-I94-I93-I92-I91-I90</f>
        <v>67417000</v>
      </c>
      <c r="J97" s="66">
        <f t="shared" si="77"/>
        <v>0</v>
      </c>
      <c r="K97" s="66">
        <f t="shared" si="77"/>
        <v>0</v>
      </c>
      <c r="L97" s="66">
        <f t="shared" si="77"/>
        <v>0</v>
      </c>
      <c r="M97" s="66">
        <f t="shared" si="77"/>
        <v>0</v>
      </c>
      <c r="N97" s="66"/>
    </row>
    <row r="98" spans="2:14">
      <c r="B98" s="58" t="s">
        <v>319</v>
      </c>
      <c r="C98" s="361">
        <v>3262859000</v>
      </c>
      <c r="D98" s="362">
        <v>3139778000</v>
      </c>
      <c r="E98" s="362">
        <v>2806118000</v>
      </c>
      <c r="F98" s="363">
        <v>2934753000</v>
      </c>
      <c r="G98" s="364">
        <v>3451010000</v>
      </c>
      <c r="H98" s="364">
        <v>3569548000</v>
      </c>
      <c r="I98" s="64">
        <v>3427672000</v>
      </c>
      <c r="J98" s="64"/>
      <c r="K98" s="64"/>
      <c r="L98" s="64"/>
      <c r="M98" s="64"/>
      <c r="N98" s="64"/>
    </row>
    <row r="99" spans="2:14">
      <c r="B99" s="59" t="s">
        <v>411</v>
      </c>
      <c r="C99" s="66"/>
      <c r="D99" s="66"/>
      <c r="E99" s="66"/>
      <c r="F99" s="66"/>
      <c r="G99" s="66">
        <v>2168178000</v>
      </c>
      <c r="H99" s="160">
        <v>2249830000</v>
      </c>
      <c r="I99" s="66">
        <v>2112346000</v>
      </c>
      <c r="J99" s="66"/>
      <c r="K99" s="66"/>
      <c r="L99" s="66"/>
      <c r="M99" s="66"/>
      <c r="N99" s="66"/>
    </row>
    <row r="100" spans="2:14">
      <c r="B100" s="59" t="s">
        <v>412</v>
      </c>
      <c r="C100" s="66"/>
      <c r="D100" s="66"/>
      <c r="E100" s="66"/>
      <c r="F100" s="66"/>
      <c r="G100" s="66"/>
      <c r="H100" s="160"/>
      <c r="I100" s="66"/>
      <c r="J100" s="66"/>
      <c r="K100" s="66"/>
      <c r="L100" s="66"/>
      <c r="M100" s="66"/>
      <c r="N100" s="66"/>
    </row>
    <row r="101" spans="2:14">
      <c r="B101" s="59" t="s">
        <v>413</v>
      </c>
      <c r="C101" s="66">
        <v>1256760000</v>
      </c>
      <c r="D101" s="66">
        <v>1222565000</v>
      </c>
      <c r="E101" s="66">
        <v>1097520000</v>
      </c>
      <c r="F101" s="66">
        <v>1126368000</v>
      </c>
      <c r="G101" s="66">
        <v>1067513000</v>
      </c>
      <c r="H101" s="160">
        <v>1096441000</v>
      </c>
      <c r="I101" s="66">
        <v>1077753000</v>
      </c>
      <c r="J101" s="66"/>
      <c r="K101" s="66"/>
      <c r="L101" s="66"/>
      <c r="M101" s="66"/>
      <c r="N101" s="66"/>
    </row>
    <row r="102" spans="2:14">
      <c r="B102" s="59" t="s">
        <v>414</v>
      </c>
      <c r="C102" s="66"/>
      <c r="D102" s="66"/>
      <c r="E102" s="66"/>
      <c r="F102" s="66"/>
      <c r="G102" s="66"/>
      <c r="H102" s="160"/>
      <c r="I102" s="66"/>
      <c r="J102" s="66"/>
      <c r="K102" s="66"/>
      <c r="L102" s="66"/>
      <c r="M102" s="66"/>
      <c r="N102" s="66"/>
    </row>
    <row r="103" spans="2:14">
      <c r="B103" s="59" t="s">
        <v>341</v>
      </c>
      <c r="C103" s="66">
        <f t="shared" ref="C103:M103" si="78">+C98-C99-C101-C102-C100</f>
        <v>2006099000</v>
      </c>
      <c r="D103" s="66">
        <f t="shared" si="78"/>
        <v>1917213000</v>
      </c>
      <c r="E103" s="66">
        <f t="shared" si="78"/>
        <v>1708598000</v>
      </c>
      <c r="F103" s="66">
        <f t="shared" si="78"/>
        <v>1808385000</v>
      </c>
      <c r="G103" s="66">
        <f t="shared" si="78"/>
        <v>215319000</v>
      </c>
      <c r="H103" s="66">
        <f t="shared" si="78"/>
        <v>223277000</v>
      </c>
      <c r="I103" s="66">
        <f t="shared" si="78"/>
        <v>237573000</v>
      </c>
      <c r="J103" s="66">
        <f t="shared" si="78"/>
        <v>0</v>
      </c>
      <c r="K103" s="66">
        <f t="shared" si="78"/>
        <v>0</v>
      </c>
      <c r="L103" s="66">
        <f t="shared" si="78"/>
        <v>0</v>
      </c>
      <c r="M103" s="66">
        <f t="shared" si="78"/>
        <v>0</v>
      </c>
      <c r="N103" s="66"/>
    </row>
    <row r="104" spans="2:14" ht="14.65" thickBot="1">
      <c r="B104" s="60" t="s">
        <v>342</v>
      </c>
      <c r="C104" s="70">
        <f t="shared" ref="C104:I104" si="79">+C98+C88</f>
        <v>3761446000</v>
      </c>
      <c r="D104" s="70">
        <f t="shared" si="79"/>
        <v>3562293000</v>
      </c>
      <c r="E104" s="70">
        <f t="shared" si="79"/>
        <v>3345978000</v>
      </c>
      <c r="F104" s="70">
        <f t="shared" si="79"/>
        <v>3303818000</v>
      </c>
      <c r="G104" s="70">
        <f t="shared" si="79"/>
        <v>4256422000</v>
      </c>
      <c r="H104" s="162">
        <f t="shared" si="79"/>
        <v>4422134000</v>
      </c>
      <c r="I104" s="162">
        <f t="shared" si="79"/>
        <v>4275874000</v>
      </c>
      <c r="J104" s="70"/>
      <c r="K104" s="70"/>
      <c r="L104" s="70"/>
      <c r="M104" s="70"/>
      <c r="N104" s="70"/>
    </row>
    <row r="105" spans="2:14" ht="14.65" thickBot="1">
      <c r="B105" s="61"/>
      <c r="C105" s="61"/>
      <c r="D105" s="61"/>
      <c r="E105" s="61"/>
      <c r="F105" s="61"/>
      <c r="G105" s="61"/>
      <c r="H105" s="61"/>
      <c r="I105" s="61"/>
      <c r="J105" s="61"/>
      <c r="K105" s="61"/>
      <c r="L105" s="61"/>
      <c r="M105" s="61"/>
      <c r="N105" s="61"/>
    </row>
    <row r="106" spans="2:14" ht="14.65" thickBot="1">
      <c r="B106" s="57" t="s">
        <v>343</v>
      </c>
      <c r="C106" s="62"/>
      <c r="D106" s="62"/>
      <c r="E106" s="62"/>
      <c r="F106" s="62"/>
      <c r="G106" s="62"/>
      <c r="H106" s="164"/>
      <c r="I106" s="62"/>
      <c r="J106" s="62"/>
      <c r="K106" s="62"/>
      <c r="L106" s="62"/>
      <c r="M106" s="62"/>
      <c r="N106" s="62"/>
    </row>
    <row r="107" spans="2:14">
      <c r="B107" s="59" t="s">
        <v>415</v>
      </c>
      <c r="C107" s="62">
        <v>155890000</v>
      </c>
      <c r="D107" s="62">
        <v>155890000</v>
      </c>
      <c r="E107" s="62">
        <v>155890000</v>
      </c>
      <c r="F107" s="62">
        <v>155890000</v>
      </c>
      <c r="G107" s="160">
        <v>155890000</v>
      </c>
      <c r="H107" s="160">
        <v>155890000</v>
      </c>
      <c r="I107" s="160">
        <v>155890000</v>
      </c>
      <c r="J107" s="160"/>
      <c r="K107" s="160"/>
      <c r="L107" s="160"/>
      <c r="M107" s="160"/>
      <c r="N107" s="160"/>
    </row>
    <row r="108" spans="2:14">
      <c r="B108" s="59" t="s">
        <v>416</v>
      </c>
      <c r="C108" s="66">
        <v>5118464000</v>
      </c>
      <c r="D108" s="66">
        <v>5249421000</v>
      </c>
      <c r="E108" s="68">
        <v>5167014000</v>
      </c>
      <c r="F108" s="66">
        <v>4970655000</v>
      </c>
      <c r="G108" s="66">
        <v>4222067000</v>
      </c>
      <c r="H108" s="160">
        <v>4265131000</v>
      </c>
      <c r="I108" s="66">
        <v>4659021000</v>
      </c>
      <c r="J108" s="66"/>
      <c r="K108" s="66"/>
      <c r="L108" s="66"/>
      <c r="M108" s="66"/>
      <c r="N108" s="66"/>
    </row>
    <row r="109" spans="2:14">
      <c r="B109" s="59" t="s">
        <v>345</v>
      </c>
      <c r="C109" s="66">
        <v>-331782000</v>
      </c>
      <c r="D109" s="66">
        <v>-635222000</v>
      </c>
      <c r="E109" s="66">
        <v>-832397000</v>
      </c>
      <c r="F109" s="66">
        <v>-826792000</v>
      </c>
      <c r="G109" s="66">
        <v>-1118688000</v>
      </c>
      <c r="H109" s="160">
        <v>-1206361000</v>
      </c>
      <c r="I109" s="66">
        <v>-1224064000</v>
      </c>
      <c r="J109" s="66"/>
      <c r="K109" s="66"/>
      <c r="L109" s="66"/>
      <c r="M109" s="66"/>
      <c r="N109" s="66"/>
    </row>
    <row r="110" spans="2:14">
      <c r="B110" s="59" t="s">
        <v>419</v>
      </c>
      <c r="C110" s="66">
        <v>2700193000</v>
      </c>
      <c r="D110" s="66">
        <v>2622045000</v>
      </c>
      <c r="E110" s="66">
        <v>2424776000</v>
      </c>
      <c r="F110" s="66">
        <v>2323731000</v>
      </c>
      <c r="G110" s="66">
        <v>1893723000</v>
      </c>
      <c r="H110" s="160">
        <v>1983123000</v>
      </c>
      <c r="I110" s="66">
        <v>2066787000</v>
      </c>
      <c r="J110" s="66"/>
      <c r="K110" s="66"/>
      <c r="L110" s="66"/>
      <c r="M110" s="66"/>
      <c r="N110" s="66"/>
    </row>
    <row r="111" spans="2:14" ht="14.65" thickBot="1">
      <c r="B111" s="60" t="s">
        <v>420</v>
      </c>
      <c r="C111" s="70">
        <f t="shared" ref="C111:F111" si="80">+C107+C109+C108</f>
        <v>4942572000</v>
      </c>
      <c r="D111" s="70">
        <f t="shared" si="80"/>
        <v>4770089000</v>
      </c>
      <c r="E111" s="70">
        <f t="shared" si="80"/>
        <v>4490507000</v>
      </c>
      <c r="F111" s="70">
        <f t="shared" si="80"/>
        <v>4299753000</v>
      </c>
      <c r="G111" s="70">
        <f>+G107+G109+G108</f>
        <v>3259269000</v>
      </c>
      <c r="H111" s="70">
        <f>+H107+H109+H108</f>
        <v>3214660000</v>
      </c>
      <c r="I111" s="70">
        <f>+I107+I109+I108</f>
        <v>3590847000</v>
      </c>
      <c r="J111" s="70"/>
      <c r="K111" s="70"/>
      <c r="L111" s="70"/>
      <c r="M111" s="70"/>
      <c r="N111" s="70"/>
    </row>
    <row r="112" spans="2:14" ht="14.65" thickBot="1">
      <c r="B112" s="60" t="s">
        <v>347</v>
      </c>
      <c r="C112" s="70">
        <f>+C111+C110</f>
        <v>7642765000</v>
      </c>
      <c r="D112" s="70">
        <f t="shared" ref="D112:I112" si="81">+D111+D110</f>
        <v>7392134000</v>
      </c>
      <c r="E112" s="70">
        <f t="shared" si="81"/>
        <v>6915283000</v>
      </c>
      <c r="F112" s="70">
        <f t="shared" si="81"/>
        <v>6623484000</v>
      </c>
      <c r="G112" s="70">
        <f t="shared" si="81"/>
        <v>5152992000</v>
      </c>
      <c r="H112" s="70">
        <f t="shared" si="81"/>
        <v>5197783000</v>
      </c>
      <c r="I112" s="70">
        <f t="shared" si="81"/>
        <v>5657634000</v>
      </c>
      <c r="J112" s="70">
        <f t="shared" ref="J112:N112" si="82">+J111+J110</f>
        <v>0</v>
      </c>
      <c r="K112" s="70">
        <f t="shared" si="82"/>
        <v>0</v>
      </c>
      <c r="L112" s="70">
        <f t="shared" si="82"/>
        <v>0</v>
      </c>
      <c r="M112" s="70">
        <f t="shared" si="82"/>
        <v>0</v>
      </c>
      <c r="N112" s="70">
        <f t="shared" si="82"/>
        <v>0</v>
      </c>
    </row>
    <row r="114" spans="2:14" ht="14.65" thickBot="1">
      <c r="B114" s="75" t="s">
        <v>348</v>
      </c>
    </row>
    <row r="115" spans="2:14" ht="14.65" thickBot="1">
      <c r="B115" s="82" t="s">
        <v>308</v>
      </c>
      <c r="C115" s="88">
        <v>2017</v>
      </c>
      <c r="D115" s="88">
        <v>2018</v>
      </c>
      <c r="E115" s="88">
        <v>2019</v>
      </c>
      <c r="F115" s="88">
        <v>2020</v>
      </c>
      <c r="G115" s="88">
        <v>2021</v>
      </c>
      <c r="H115" s="88">
        <v>2022</v>
      </c>
      <c r="I115" s="88">
        <v>2023</v>
      </c>
      <c r="J115" s="88">
        <v>2024</v>
      </c>
      <c r="K115" s="88">
        <v>2025</v>
      </c>
      <c r="L115" s="88">
        <v>2026</v>
      </c>
      <c r="M115" s="88">
        <v>2027</v>
      </c>
      <c r="N115" s="88">
        <v>2028</v>
      </c>
    </row>
    <row r="116" spans="2:14">
      <c r="B116" s="83" t="s">
        <v>349</v>
      </c>
      <c r="C116" s="90">
        <v>1668656000</v>
      </c>
      <c r="D116" s="90">
        <v>1725898000</v>
      </c>
      <c r="E116" s="90">
        <v>1488301000</v>
      </c>
      <c r="F116" s="90">
        <v>1349535000</v>
      </c>
      <c r="G116" s="90">
        <v>1440595000</v>
      </c>
      <c r="H116" s="90">
        <v>1974476000</v>
      </c>
      <c r="I116" s="90">
        <v>2004126000</v>
      </c>
      <c r="J116" s="90"/>
      <c r="K116" s="90"/>
      <c r="L116" s="90"/>
      <c r="M116" s="90"/>
      <c r="N116" s="90"/>
    </row>
    <row r="117" spans="2:14">
      <c r="B117" s="85" t="s">
        <v>534</v>
      </c>
      <c r="C117" s="160">
        <v>-849976000</v>
      </c>
      <c r="D117" s="160">
        <v>-882646000</v>
      </c>
      <c r="E117" s="160">
        <v>-692118000</v>
      </c>
      <c r="F117" s="160">
        <v>-575929000</v>
      </c>
      <c r="G117" s="66">
        <v>-782106000</v>
      </c>
      <c r="H117" s="66">
        <v>-1069564000</v>
      </c>
      <c r="I117" s="66">
        <v>-1130275000</v>
      </c>
      <c r="J117" s="66"/>
      <c r="K117" s="66"/>
      <c r="L117" s="66"/>
      <c r="M117" s="66"/>
      <c r="N117" s="66"/>
    </row>
    <row r="118" spans="2:14">
      <c r="B118" s="86" t="s">
        <v>422</v>
      </c>
      <c r="C118" s="141">
        <f t="shared" ref="C118:F118" si="83">+C116+C117</f>
        <v>818680000</v>
      </c>
      <c r="D118" s="141">
        <f>+D116+D117</f>
        <v>843252000</v>
      </c>
      <c r="E118" s="141">
        <f t="shared" si="83"/>
        <v>796183000</v>
      </c>
      <c r="F118" s="141">
        <f t="shared" si="83"/>
        <v>773606000</v>
      </c>
      <c r="G118" s="64">
        <f>+G116+G117</f>
        <v>658489000</v>
      </c>
      <c r="H118" s="64">
        <f t="shared" ref="H118:I118" si="84">+H116+H117</f>
        <v>904912000</v>
      </c>
      <c r="I118" s="64">
        <f t="shared" si="84"/>
        <v>873851000</v>
      </c>
      <c r="J118" s="64"/>
      <c r="K118" s="64"/>
      <c r="L118" s="64"/>
      <c r="M118" s="64"/>
      <c r="N118" s="64"/>
    </row>
    <row r="119" spans="2:14">
      <c r="B119" s="85" t="s">
        <v>592</v>
      </c>
      <c r="C119" s="189"/>
      <c r="D119" s="189"/>
      <c r="E119" s="189"/>
      <c r="F119" s="189"/>
      <c r="G119" s="117"/>
      <c r="H119" s="117"/>
      <c r="I119" s="117"/>
      <c r="J119" s="117"/>
      <c r="K119" s="117"/>
      <c r="L119" s="117"/>
      <c r="M119" s="117"/>
      <c r="N119" s="117"/>
    </row>
    <row r="120" spans="2:14">
      <c r="B120" s="85" t="s">
        <v>536</v>
      </c>
      <c r="C120" s="189"/>
      <c r="D120" s="189"/>
      <c r="E120" s="189"/>
      <c r="F120" s="189"/>
      <c r="G120" s="117"/>
      <c r="H120" s="117"/>
      <c r="I120" s="117"/>
      <c r="J120" s="117"/>
      <c r="K120" s="117"/>
      <c r="L120" s="117"/>
      <c r="M120" s="117"/>
      <c r="N120" s="117"/>
    </row>
    <row r="121" spans="2:14">
      <c r="B121" s="85" t="s">
        <v>537</v>
      </c>
      <c r="C121" s="189">
        <v>-348858000</v>
      </c>
      <c r="D121" s="189">
        <v>-378533000</v>
      </c>
      <c r="E121" s="189">
        <v>-357454000</v>
      </c>
      <c r="F121" s="189">
        <v>-341644000</v>
      </c>
      <c r="G121" s="117">
        <v>-354525000</v>
      </c>
      <c r="H121" s="117">
        <v>-363983000</v>
      </c>
      <c r="I121" s="117">
        <v>-368645000</v>
      </c>
      <c r="J121" s="117"/>
      <c r="K121" s="117"/>
      <c r="L121" s="117"/>
      <c r="M121" s="117"/>
      <c r="N121" s="117"/>
    </row>
    <row r="122" spans="2:14">
      <c r="B122" s="85" t="s">
        <v>593</v>
      </c>
      <c r="C122" s="189">
        <v>-59858000</v>
      </c>
      <c r="D122" s="189">
        <v>-25048000</v>
      </c>
      <c r="E122" s="189">
        <v>50755000</v>
      </c>
      <c r="F122" s="189">
        <v>-236372000</v>
      </c>
      <c r="G122" s="117">
        <v>655377000</v>
      </c>
      <c r="H122" s="117">
        <v>-34341000</v>
      </c>
      <c r="I122" s="117">
        <v>84558000</v>
      </c>
      <c r="J122" s="117"/>
      <c r="K122" s="117"/>
      <c r="L122" s="117"/>
      <c r="M122" s="117"/>
      <c r="N122" s="117"/>
    </row>
    <row r="123" spans="2:14">
      <c r="B123" s="86" t="s">
        <v>428</v>
      </c>
      <c r="C123" s="141">
        <f t="shared" ref="C123:G123" si="85">+C118+C122+C119+C120+C121</f>
        <v>409964000</v>
      </c>
      <c r="D123" s="141">
        <f t="shared" si="85"/>
        <v>439671000</v>
      </c>
      <c r="E123" s="141">
        <f t="shared" si="85"/>
        <v>489484000</v>
      </c>
      <c r="F123" s="141">
        <f t="shared" si="85"/>
        <v>195590000</v>
      </c>
      <c r="G123" s="64">
        <f t="shared" si="85"/>
        <v>959341000</v>
      </c>
      <c r="H123" s="64">
        <f>+H118+H122+H119+H120+H121</f>
        <v>506588000</v>
      </c>
      <c r="I123" s="64">
        <f>+I118+I122+I119+I120+I121</f>
        <v>589764000</v>
      </c>
      <c r="J123" s="64"/>
      <c r="K123" s="64"/>
      <c r="L123" s="64"/>
      <c r="M123" s="64"/>
      <c r="N123" s="64"/>
    </row>
    <row r="124" spans="2:14">
      <c r="B124" s="85" t="s">
        <v>429</v>
      </c>
      <c r="C124" s="160">
        <v>16161000</v>
      </c>
      <c r="D124" s="160">
        <v>26398000</v>
      </c>
      <c r="E124" s="160">
        <v>44124000</v>
      </c>
      <c r="F124" s="160">
        <v>33869000</v>
      </c>
      <c r="G124" s="131">
        <v>23178000</v>
      </c>
      <c r="H124" s="131">
        <v>64165000</v>
      </c>
      <c r="I124" s="131">
        <v>99764000</v>
      </c>
      <c r="J124" s="131"/>
      <c r="K124" s="131"/>
      <c r="L124" s="131"/>
      <c r="M124" s="131"/>
      <c r="N124" s="131"/>
    </row>
    <row r="125" spans="2:14">
      <c r="B125" s="85" t="s">
        <v>430</v>
      </c>
      <c r="C125" s="160">
        <v>-104548000</v>
      </c>
      <c r="D125" s="160">
        <v>-104307000</v>
      </c>
      <c r="E125" s="160">
        <v>-92593000</v>
      </c>
      <c r="F125" s="160">
        <v>-97932000</v>
      </c>
      <c r="G125" s="131">
        <v>-96589000</v>
      </c>
      <c r="H125" s="131">
        <v>-110724000</v>
      </c>
      <c r="I125" s="131">
        <v>-115149000</v>
      </c>
      <c r="J125" s="131"/>
      <c r="K125" s="131"/>
      <c r="L125" s="131"/>
      <c r="M125" s="131"/>
      <c r="N125" s="131"/>
    </row>
    <row r="126" spans="2:14">
      <c r="B126" s="85" t="s">
        <v>431</v>
      </c>
      <c r="C126" s="160">
        <v>68736000</v>
      </c>
      <c r="D126" s="160">
        <v>144915000</v>
      </c>
      <c r="E126" s="160">
        <v>70353000</v>
      </c>
      <c r="F126" s="160">
        <v>38730000</v>
      </c>
      <c r="G126" s="131">
        <v>182548000</v>
      </c>
      <c r="H126" s="131">
        <v>297933000</v>
      </c>
      <c r="I126" s="131">
        <v>176556000</v>
      </c>
      <c r="J126" s="131"/>
      <c r="K126" s="131"/>
      <c r="L126" s="131"/>
      <c r="M126" s="131"/>
      <c r="N126" s="131"/>
    </row>
    <row r="127" spans="2:14">
      <c r="B127" s="85" t="s">
        <v>432</v>
      </c>
      <c r="C127" s="160">
        <v>11568000</v>
      </c>
      <c r="D127" s="160">
        <v>-28290000</v>
      </c>
      <c r="E127" s="160">
        <v>-30558000</v>
      </c>
      <c r="F127" s="160">
        <v>-5550000</v>
      </c>
      <c r="G127" s="131">
        <v>-14336000</v>
      </c>
      <c r="H127" s="131">
        <v>-3280000</v>
      </c>
      <c r="I127" s="131">
        <v>-35340000</v>
      </c>
      <c r="J127" s="131"/>
      <c r="K127" s="131"/>
      <c r="L127" s="131"/>
      <c r="M127" s="131"/>
      <c r="N127" s="131"/>
    </row>
    <row r="128" spans="2:14">
      <c r="B128" s="85" t="s">
        <v>433</v>
      </c>
      <c r="C128" s="160">
        <v>527000</v>
      </c>
      <c r="D128" s="160">
        <v>427000</v>
      </c>
      <c r="E128" s="160">
        <v>119000</v>
      </c>
      <c r="F128" s="160">
        <v>-515000</v>
      </c>
      <c r="G128" s="131">
        <v>1185000</v>
      </c>
      <c r="H128" s="131">
        <v>-504000</v>
      </c>
      <c r="I128" s="131">
        <v>13677000</v>
      </c>
      <c r="J128" s="131"/>
      <c r="K128" s="131"/>
      <c r="L128" s="131"/>
      <c r="M128" s="131"/>
      <c r="N128" s="131"/>
    </row>
    <row r="129" spans="2:14">
      <c r="B129" s="86" t="s">
        <v>362</v>
      </c>
      <c r="C129" s="64">
        <f t="shared" ref="C129:E129" si="86">+C123+C124+C125+C126+C127+C128</f>
        <v>402408000</v>
      </c>
      <c r="D129" s="64">
        <f t="shared" si="86"/>
        <v>478814000</v>
      </c>
      <c r="E129" s="64">
        <f t="shared" si="86"/>
        <v>480929000</v>
      </c>
      <c r="F129" s="64">
        <f>+F123+F124+F125+F126+F127+F128</f>
        <v>164192000</v>
      </c>
      <c r="G129" s="64">
        <f t="shared" ref="G129:I129" si="87">+G123+G124+G125+G126+G127+G128</f>
        <v>1055327000</v>
      </c>
      <c r="H129" s="64">
        <f t="shared" si="87"/>
        <v>754178000</v>
      </c>
      <c r="I129" s="64">
        <f t="shared" si="87"/>
        <v>729272000</v>
      </c>
      <c r="J129" s="64"/>
      <c r="K129" s="64"/>
      <c r="L129" s="64"/>
      <c r="M129" s="64"/>
      <c r="N129" s="64"/>
    </row>
    <row r="130" spans="2:14">
      <c r="B130" s="85" t="s">
        <v>363</v>
      </c>
      <c r="C130" s="160">
        <v>-33071000</v>
      </c>
      <c r="D130" s="160">
        <v>-101265000</v>
      </c>
      <c r="E130" s="160">
        <v>-123927000</v>
      </c>
      <c r="F130" s="160">
        <v>-43686000</v>
      </c>
      <c r="G130" s="91">
        <v>-300659000</v>
      </c>
      <c r="H130" s="91">
        <v>-118274000</v>
      </c>
      <c r="I130" s="91">
        <v>-141866000</v>
      </c>
      <c r="J130" s="91"/>
      <c r="K130" s="91"/>
      <c r="L130" s="91"/>
      <c r="M130" s="91"/>
      <c r="N130" s="91"/>
    </row>
    <row r="131" spans="2:14">
      <c r="B131" s="84" t="s">
        <v>365</v>
      </c>
      <c r="C131" s="130">
        <f t="shared" ref="C131:G131" si="88">+C129+C130</f>
        <v>369337000</v>
      </c>
      <c r="D131" s="130">
        <f t="shared" si="88"/>
        <v>377549000</v>
      </c>
      <c r="E131" s="130">
        <f t="shared" si="88"/>
        <v>357002000</v>
      </c>
      <c r="F131" s="130">
        <f t="shared" si="88"/>
        <v>120506000</v>
      </c>
      <c r="G131" s="130">
        <f t="shared" si="88"/>
        <v>754668000</v>
      </c>
      <c r="H131" s="130">
        <f>+H129+H130</f>
        <v>635904000</v>
      </c>
      <c r="I131" s="130">
        <f>+I129+I130</f>
        <v>587406000</v>
      </c>
      <c r="J131" s="130"/>
      <c r="K131" s="130"/>
      <c r="L131" s="130"/>
      <c r="M131" s="130"/>
      <c r="N131" s="130"/>
    </row>
    <row r="132" spans="2:14" ht="28.5">
      <c r="B132" s="87" t="s">
        <v>435</v>
      </c>
      <c r="C132" s="66">
        <v>179453000</v>
      </c>
      <c r="D132" s="66">
        <v>141687000</v>
      </c>
      <c r="E132" s="66">
        <v>122617000</v>
      </c>
      <c r="F132" s="66">
        <v>24641000</v>
      </c>
      <c r="G132" s="91">
        <v>318015000</v>
      </c>
      <c r="H132" s="91">
        <v>221994000</v>
      </c>
      <c r="I132" s="91">
        <v>254298000</v>
      </c>
      <c r="J132" s="91"/>
      <c r="K132" s="91"/>
      <c r="L132" s="91"/>
      <c r="M132" s="91"/>
      <c r="N132" s="91"/>
    </row>
    <row r="133" spans="2:14">
      <c r="B133" s="84" t="s">
        <v>436</v>
      </c>
      <c r="C133" s="66">
        <f>+C131-C132</f>
        <v>189884000</v>
      </c>
      <c r="D133" s="66">
        <f t="shared" ref="D133:I133" si="89">+D131-D132</f>
        <v>235862000</v>
      </c>
      <c r="E133" s="66">
        <f t="shared" si="89"/>
        <v>234385000</v>
      </c>
      <c r="F133" s="66">
        <f t="shared" si="89"/>
        <v>95865000</v>
      </c>
      <c r="G133" s="66">
        <f t="shared" si="89"/>
        <v>436653000</v>
      </c>
      <c r="H133" s="66">
        <f t="shared" si="89"/>
        <v>413910000</v>
      </c>
      <c r="I133" s="66">
        <f t="shared" si="89"/>
        <v>333108000</v>
      </c>
      <c r="J133" s="66">
        <f t="shared" ref="J133:N133" si="90">+J131-J132</f>
        <v>0</v>
      </c>
      <c r="K133" s="66">
        <f t="shared" si="90"/>
        <v>0</v>
      </c>
      <c r="L133" s="66">
        <f t="shared" si="90"/>
        <v>0</v>
      </c>
      <c r="M133" s="66">
        <f t="shared" si="90"/>
        <v>0</v>
      </c>
      <c r="N133" s="66">
        <f t="shared" si="90"/>
        <v>0</v>
      </c>
    </row>
    <row r="134" spans="2:14">
      <c r="B134" s="84" t="s">
        <v>366</v>
      </c>
      <c r="C134" s="111">
        <v>1.5190999999999999</v>
      </c>
      <c r="D134" s="111">
        <v>1.8869</v>
      </c>
      <c r="E134" s="111">
        <v>1.8751</v>
      </c>
      <c r="F134" s="134">
        <v>0.76690000000000003</v>
      </c>
      <c r="G134" s="134">
        <v>3.4931999999999999</v>
      </c>
      <c r="H134" s="134">
        <v>3.3113000000000001</v>
      </c>
      <c r="I134" s="134">
        <v>2.6648999999999998</v>
      </c>
      <c r="J134" s="134"/>
      <c r="K134" s="134"/>
      <c r="L134" s="134"/>
      <c r="M134" s="134"/>
      <c r="N134" s="134"/>
    </row>
    <row r="136" spans="2:14" ht="14.65" thickBot="1">
      <c r="B136" s="75" t="s">
        <v>367</v>
      </c>
    </row>
    <row r="137" spans="2:14" ht="14.65" thickBot="1">
      <c r="B137" s="82" t="s">
        <v>308</v>
      </c>
      <c r="C137" s="88">
        <v>2017</v>
      </c>
      <c r="D137" s="88">
        <v>2018</v>
      </c>
      <c r="E137" s="88">
        <v>2019</v>
      </c>
      <c r="F137" s="88">
        <v>2020</v>
      </c>
      <c r="G137" s="88">
        <v>2021</v>
      </c>
      <c r="H137" s="88">
        <v>2022</v>
      </c>
      <c r="I137" s="88">
        <v>2023</v>
      </c>
      <c r="J137" s="88">
        <v>2024</v>
      </c>
      <c r="K137" s="88">
        <v>2025</v>
      </c>
      <c r="L137" s="88">
        <v>2026</v>
      </c>
      <c r="M137" s="88">
        <v>2027</v>
      </c>
      <c r="N137" s="88">
        <v>2028</v>
      </c>
    </row>
    <row r="138" spans="2:14">
      <c r="B138" s="83" t="s">
        <v>368</v>
      </c>
      <c r="C138" s="90">
        <v>662290000</v>
      </c>
      <c r="D138" s="90">
        <v>670656000</v>
      </c>
      <c r="E138" s="90">
        <v>691081000</v>
      </c>
      <c r="F138" s="90">
        <v>500401000</v>
      </c>
      <c r="G138" s="90">
        <v>508461000</v>
      </c>
      <c r="H138" s="90">
        <v>642773000</v>
      </c>
      <c r="I138" s="90">
        <v>792420000</v>
      </c>
      <c r="J138" s="90"/>
      <c r="K138" s="90"/>
      <c r="L138" s="90"/>
      <c r="M138" s="90"/>
      <c r="N138" s="90"/>
    </row>
    <row r="139" spans="2:14">
      <c r="B139" s="86" t="s">
        <v>369</v>
      </c>
      <c r="C139" s="91">
        <v>-617908000</v>
      </c>
      <c r="D139" s="91">
        <v>-247784000</v>
      </c>
      <c r="E139" s="93">
        <v>-93625000</v>
      </c>
      <c r="F139" s="66">
        <v>-73573000</v>
      </c>
      <c r="G139" s="91">
        <v>732923000</v>
      </c>
      <c r="H139" s="66">
        <v>-309638000</v>
      </c>
      <c r="I139" s="66">
        <v>-335924000</v>
      </c>
      <c r="J139" s="66"/>
      <c r="K139" s="66"/>
      <c r="L139" s="66"/>
      <c r="M139" s="66"/>
      <c r="N139" s="66"/>
    </row>
    <row r="140" spans="2:14">
      <c r="B140" s="85" t="s">
        <v>370</v>
      </c>
      <c r="C140" s="93">
        <v>-159856000</v>
      </c>
      <c r="D140" s="93">
        <v>-121024000</v>
      </c>
      <c r="E140" s="93">
        <v>-93417000</v>
      </c>
      <c r="F140" s="93">
        <v>-112556000</v>
      </c>
      <c r="G140" s="93">
        <v>-252932000</v>
      </c>
      <c r="H140" s="93">
        <v>-274430000</v>
      </c>
      <c r="I140" s="93">
        <v>-521762000</v>
      </c>
      <c r="J140" s="93"/>
      <c r="K140" s="93"/>
      <c r="L140" s="93"/>
      <c r="M140" s="93"/>
      <c r="N140" s="93"/>
    </row>
    <row r="141" spans="2:14">
      <c r="B141" s="86" t="s">
        <v>372</v>
      </c>
      <c r="C141" s="120">
        <v>-300535000</v>
      </c>
      <c r="D141" s="120">
        <v>-445400000</v>
      </c>
      <c r="E141" s="64">
        <v>-538635000</v>
      </c>
      <c r="F141" s="120">
        <v>-525701000</v>
      </c>
      <c r="G141" s="114">
        <v>-1072419000</v>
      </c>
      <c r="H141" s="120">
        <v>-512213000</v>
      </c>
      <c r="I141" s="120">
        <v>-334773000</v>
      </c>
      <c r="J141" s="120"/>
      <c r="K141" s="120"/>
      <c r="L141" s="120"/>
      <c r="M141" s="120"/>
      <c r="N141" s="120"/>
    </row>
    <row r="142" spans="2:14">
      <c r="B142" s="85" t="s">
        <v>373</v>
      </c>
      <c r="C142" s="366">
        <v>-137591000</v>
      </c>
      <c r="D142" s="366">
        <v>-270032000</v>
      </c>
      <c r="E142" s="66">
        <v>-399897000</v>
      </c>
      <c r="F142" s="93">
        <v>-520659000</v>
      </c>
      <c r="G142" s="93">
        <v>-1759243000</v>
      </c>
      <c r="H142" s="93">
        <v>-286731000</v>
      </c>
      <c r="I142" s="93">
        <v>-301688000</v>
      </c>
      <c r="J142" s="93"/>
      <c r="K142" s="93"/>
      <c r="L142" s="93"/>
      <c r="M142" s="93"/>
      <c r="N142" s="93"/>
    </row>
    <row r="143" spans="2:14">
      <c r="B143" s="85" t="s">
        <v>437</v>
      </c>
      <c r="C143" s="366">
        <v>-101181000</v>
      </c>
      <c r="D143" s="366">
        <v>-90305000</v>
      </c>
      <c r="E143" s="160">
        <v>-80753000</v>
      </c>
      <c r="F143" s="366">
        <v>-81266000</v>
      </c>
      <c r="G143" s="93">
        <v>-79463000</v>
      </c>
      <c r="H143" s="93">
        <v>-90299000</v>
      </c>
      <c r="I143" s="93">
        <v>-98669000</v>
      </c>
      <c r="J143" s="93"/>
      <c r="K143" s="93"/>
      <c r="L143" s="93"/>
      <c r="M143" s="93"/>
      <c r="N143" s="93"/>
    </row>
    <row r="144" spans="2:14">
      <c r="B144" s="86" t="s">
        <v>375</v>
      </c>
      <c r="C144" s="64"/>
      <c r="D144" s="64"/>
      <c r="E144" s="64"/>
      <c r="F144" s="64"/>
      <c r="G144" s="64">
        <v>408083000</v>
      </c>
      <c r="H144" s="64">
        <v>216565000</v>
      </c>
      <c r="I144" s="64">
        <v>337430000</v>
      </c>
      <c r="J144" s="64"/>
      <c r="K144" s="64"/>
      <c r="L144" s="64"/>
      <c r="M144" s="64"/>
      <c r="N144" s="64"/>
    </row>
    <row r="145" spans="2:14">
      <c r="B145" s="85"/>
      <c r="C145" s="66"/>
      <c r="D145" s="66"/>
      <c r="E145" s="66"/>
      <c r="F145" s="66"/>
      <c r="G145" s="66"/>
      <c r="H145" s="66"/>
      <c r="I145" s="66"/>
      <c r="J145" s="66"/>
      <c r="K145" s="66"/>
      <c r="L145" s="66"/>
      <c r="M145" s="66"/>
      <c r="N145" s="66"/>
    </row>
    <row r="146" spans="2:14">
      <c r="B146" s="84" t="s">
        <v>376</v>
      </c>
      <c r="C146" s="131">
        <f t="shared" ref="C146:G146" si="91">+C138+C140+C143</f>
        <v>401253000</v>
      </c>
      <c r="D146" s="131">
        <f t="shared" si="91"/>
        <v>459327000</v>
      </c>
      <c r="E146" s="131">
        <f t="shared" si="91"/>
        <v>516911000</v>
      </c>
      <c r="F146" s="131">
        <f t="shared" si="91"/>
        <v>306579000</v>
      </c>
      <c r="G146" s="131">
        <f t="shared" si="91"/>
        <v>176066000</v>
      </c>
      <c r="H146" s="131">
        <f>+H138+H140+H143</f>
        <v>278044000</v>
      </c>
      <c r="I146" s="131">
        <f>+I138+I140+I143</f>
        <v>171989000</v>
      </c>
      <c r="J146" s="131"/>
      <c r="K146" s="131"/>
      <c r="L146" s="131"/>
      <c r="M146" s="131"/>
      <c r="N146" s="131"/>
    </row>
  </sheetData>
  <conditionalFormatting sqref="C108:D108 F108">
    <cfRule type="cellIs" dxfId="90" priority="20" operator="lessThan">
      <formula>0</formula>
    </cfRule>
  </conditionalFormatting>
  <conditionalFormatting sqref="C70:F71">
    <cfRule type="cellIs" dxfId="89" priority="33" operator="lessThan">
      <formula>0</formula>
    </cfRule>
  </conditionalFormatting>
  <conditionalFormatting sqref="C107:F107">
    <cfRule type="cellIs" dxfId="88" priority="21" operator="lessThan">
      <formula>0</formula>
    </cfRule>
  </conditionalFormatting>
  <conditionalFormatting sqref="C109:F109">
    <cfRule type="cellIs" dxfId="87" priority="19" operator="lessThan">
      <formula>0</formula>
    </cfRule>
  </conditionalFormatting>
  <conditionalFormatting sqref="C64:H68">
    <cfRule type="cellIs" dxfId="86" priority="36" operator="lessThan">
      <formula>0</formula>
    </cfRule>
  </conditionalFormatting>
  <conditionalFormatting sqref="C72:H97">
    <cfRule type="cellIs" dxfId="85" priority="23" operator="lessThan">
      <formula>0</formula>
    </cfRule>
  </conditionalFormatting>
  <conditionalFormatting sqref="C99:H104">
    <cfRule type="cellIs" dxfId="84" priority="22" operator="lessThan">
      <formula>0</formula>
    </cfRule>
  </conditionalFormatting>
  <conditionalFormatting sqref="C106:I106 G107:I109 C110:I112">
    <cfRule type="cellIs" dxfId="83" priority="41" operator="lessThan">
      <formula>0</formula>
    </cfRule>
  </conditionalFormatting>
  <conditionalFormatting sqref="C116:N134">
    <cfRule type="cellIs" dxfId="82" priority="6" operator="lessThan">
      <formula>0</formula>
    </cfRule>
  </conditionalFormatting>
  <conditionalFormatting sqref="C138:N146">
    <cfRule type="cellIs" dxfId="81" priority="5" operator="lessThan">
      <formula>0</formula>
    </cfRule>
  </conditionalFormatting>
  <conditionalFormatting sqref="D69:F69">
    <cfRule type="cellIs" dxfId="80" priority="35" operator="lessThan">
      <formula>0</formula>
    </cfRule>
  </conditionalFormatting>
  <conditionalFormatting sqref="G69:H71">
    <cfRule type="cellIs" dxfId="79" priority="32" operator="lessThan">
      <formula>0</formula>
    </cfRule>
  </conditionalFormatting>
  <conditionalFormatting sqref="I64:N104">
    <cfRule type="cellIs" dxfId="78" priority="1" operator="lessThan">
      <formula>0</formula>
    </cfRule>
  </conditionalFormatting>
  <conditionalFormatting sqref="J106:N112">
    <cfRule type="cellIs" dxfId="77" priority="7" operator="lessThan">
      <formula>0</formula>
    </cfRule>
  </conditionalFormatting>
  <pageMargins left="0.7" right="0.7" top="0.75" bottom="0.75" header="0.3" footer="0.3"/>
  <pageSetup paperSize="9" orientation="portrait" r:id="rId1"/>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AD28F-7D2E-4CC4-9AB9-E572C534224C}">
  <dimension ref="B2:P146"/>
  <sheetViews>
    <sheetView zoomScale="70" zoomScaleNormal="70" workbookViewId="0">
      <pane xSplit="2" ySplit="6" topLeftCell="L7" activePane="bottomRight" state="frozen"/>
      <selection pane="bottomRight" activeCell="L6" sqref="L6"/>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6" width="33.28515625" customWidth="1"/>
    <col min="7" max="7" width="36.28515625" customWidth="1"/>
    <col min="8" max="8" width="35.7109375" customWidth="1"/>
    <col min="9" max="9" width="29.28515625" bestFit="1" customWidth="1"/>
    <col min="10" max="14" width="25.42578125" bestFit="1" customWidth="1"/>
  </cols>
  <sheetData>
    <row r="2" spans="2:14" ht="21">
      <c r="B2" s="313">
        <f ca="1">TODAY()-1</f>
        <v>46105</v>
      </c>
      <c r="C2" s="314"/>
      <c r="D2" s="344" t="s">
        <v>265</v>
      </c>
      <c r="E2" s="345" t="s">
        <v>266</v>
      </c>
    </row>
    <row r="3" spans="2:14" ht="25.5">
      <c r="B3" s="376" cm="1">
        <f t="array" aca="1" ref="B3" ca="1">_FV(B6,"Precio")</f>
        <v>10499</v>
      </c>
      <c r="C3" s="316"/>
      <c r="D3" s="346">
        <f>AVERAGE(G49:I49)</f>
        <v>144.18966666666665</v>
      </c>
      <c r="E3" s="346">
        <f>AVERAGE(G48:I48)</f>
        <v>240.85533333333331</v>
      </c>
    </row>
    <row r="4" spans="2:14" ht="28.5">
      <c r="B4" s="319"/>
      <c r="C4" s="320"/>
      <c r="D4" s="328"/>
      <c r="E4" s="328"/>
    </row>
    <row r="5" spans="2:14" ht="18">
      <c r="B5" s="34" t="s">
        <v>684</v>
      </c>
    </row>
    <row r="6" spans="2:14" ht="33.4">
      <c r="B6" s="3" t="e" vm="44">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+C65</f>
        <v>868739000</v>
      </c>
      <c r="D7" s="5">
        <f t="shared" ref="D7:I7" si="0">+D65</f>
        <v>822522000</v>
      </c>
      <c r="E7" s="5">
        <f t="shared" si="0"/>
        <v>755637000</v>
      </c>
      <c r="F7" s="5">
        <f t="shared" si="0"/>
        <v>716540000</v>
      </c>
      <c r="G7" s="5">
        <f t="shared" si="0"/>
        <v>1177957000</v>
      </c>
      <c r="H7" s="5">
        <f t="shared" si="0"/>
        <v>1377794000</v>
      </c>
      <c r="I7" s="5">
        <f t="shared" si="0"/>
        <v>1329028000</v>
      </c>
      <c r="J7" s="5">
        <f t="shared" ref="J7:N7" si="1">+J65</f>
        <v>0</v>
      </c>
      <c r="K7" s="5">
        <f t="shared" si="1"/>
        <v>0</v>
      </c>
      <c r="L7" s="5">
        <f t="shared" si="1"/>
        <v>0</v>
      </c>
      <c r="M7" s="5">
        <f t="shared" si="1"/>
        <v>0</v>
      </c>
      <c r="N7" s="5">
        <f t="shared" si="1"/>
        <v>0</v>
      </c>
    </row>
    <row r="8" spans="2:14" ht="25.5">
      <c r="B8" s="146" t="s">
        <v>377</v>
      </c>
      <c r="C8" s="147">
        <f>+C69</f>
        <v>131664000</v>
      </c>
      <c r="D8" s="147">
        <f t="shared" ref="D8:I8" si="2">+D69</f>
        <v>143652000</v>
      </c>
      <c r="E8" s="147">
        <f t="shared" si="2"/>
        <v>139757000</v>
      </c>
      <c r="F8" s="147">
        <f t="shared" si="2"/>
        <v>125783000</v>
      </c>
      <c r="G8" s="147">
        <f t="shared" si="2"/>
        <v>217338000</v>
      </c>
      <c r="H8" s="147">
        <f t="shared" si="2"/>
        <v>207571000</v>
      </c>
      <c r="I8" s="147">
        <f t="shared" si="2"/>
        <v>238094000</v>
      </c>
      <c r="J8" s="147">
        <f t="shared" ref="J8:N8" si="3">+J69</f>
        <v>0</v>
      </c>
      <c r="K8" s="147">
        <f t="shared" si="3"/>
        <v>0</v>
      </c>
      <c r="L8" s="147">
        <f t="shared" si="3"/>
        <v>0</v>
      </c>
      <c r="M8" s="147">
        <f t="shared" si="3"/>
        <v>0</v>
      </c>
      <c r="N8" s="147">
        <f t="shared" si="3"/>
        <v>0</v>
      </c>
    </row>
    <row r="9" spans="2:14" ht="25.5">
      <c r="B9" s="146" t="s">
        <v>378</v>
      </c>
      <c r="C9" s="147">
        <f>+C71</f>
        <v>298975000</v>
      </c>
      <c r="D9" s="147">
        <f t="shared" ref="D9:I9" si="4">+D71</f>
        <v>448787000</v>
      </c>
      <c r="E9" s="147">
        <f t="shared" si="4"/>
        <v>389579000</v>
      </c>
      <c r="F9" s="147">
        <f t="shared" si="4"/>
        <v>351206000</v>
      </c>
      <c r="G9" s="147">
        <f t="shared" si="4"/>
        <v>786545000</v>
      </c>
      <c r="H9" s="147">
        <f t="shared" si="4"/>
        <v>961044000</v>
      </c>
      <c r="I9" s="147">
        <f t="shared" si="4"/>
        <v>668361000</v>
      </c>
      <c r="J9" s="147">
        <f t="shared" ref="J9:N9" si="5">+J71</f>
        <v>0</v>
      </c>
      <c r="K9" s="147">
        <f t="shared" si="5"/>
        <v>0</v>
      </c>
      <c r="L9" s="147">
        <f t="shared" si="5"/>
        <v>0</v>
      </c>
      <c r="M9" s="147">
        <f t="shared" si="5"/>
        <v>0</v>
      </c>
      <c r="N9" s="147">
        <f t="shared" si="5"/>
        <v>0</v>
      </c>
    </row>
    <row r="10" spans="2:14" ht="25.5">
      <c r="B10" s="146"/>
      <c r="C10" s="352">
        <f>+C9/C7</f>
        <v>0.34414824245256631</v>
      </c>
      <c r="D10" s="352">
        <f t="shared" ref="D10:I10" si="6">+D9/D7</f>
        <v>0.54562309579561397</v>
      </c>
      <c r="E10" s="352">
        <f t="shared" si="6"/>
        <v>0.51556368997283086</v>
      </c>
      <c r="F10" s="352">
        <f t="shared" si="6"/>
        <v>0.49014151338376083</v>
      </c>
      <c r="G10" s="352">
        <f t="shared" si="6"/>
        <v>0.66771961964655757</v>
      </c>
      <c r="H10" s="352">
        <f t="shared" si="6"/>
        <v>0.6975237227045552</v>
      </c>
      <c r="I10" s="352">
        <f t="shared" si="6"/>
        <v>0.50289459665259117</v>
      </c>
      <c r="J10" s="147"/>
      <c r="K10" s="147"/>
      <c r="L10" s="147"/>
      <c r="M10" s="147"/>
      <c r="N10" s="147"/>
    </row>
    <row r="11" spans="2:14" ht="25.5">
      <c r="B11" s="4" t="s">
        <v>379</v>
      </c>
      <c r="C11" s="5">
        <f>+C74</f>
        <v>571475000</v>
      </c>
      <c r="D11" s="5">
        <f t="shared" ref="D11:I11" si="7">+D74</f>
        <v>538583000</v>
      </c>
      <c r="E11" s="5">
        <f t="shared" si="7"/>
        <v>563546000</v>
      </c>
      <c r="F11" s="5">
        <f t="shared" si="7"/>
        <v>593337000</v>
      </c>
      <c r="G11" s="5">
        <f t="shared" si="7"/>
        <v>569945000</v>
      </c>
      <c r="H11" s="5">
        <f t="shared" si="7"/>
        <v>597099000</v>
      </c>
      <c r="I11" s="5">
        <f t="shared" si="7"/>
        <v>639952000</v>
      </c>
      <c r="J11" s="5">
        <f t="shared" ref="J11:N11" si="8">+J74</f>
        <v>0</v>
      </c>
      <c r="K11" s="5">
        <f t="shared" si="8"/>
        <v>0</v>
      </c>
      <c r="L11" s="5">
        <f t="shared" si="8"/>
        <v>0</v>
      </c>
      <c r="M11" s="5">
        <f t="shared" si="8"/>
        <v>0</v>
      </c>
      <c r="N11" s="5">
        <f t="shared" si="8"/>
        <v>0</v>
      </c>
    </row>
    <row r="12" spans="2:14" ht="25.5">
      <c r="B12" s="8" t="s">
        <v>272</v>
      </c>
      <c r="C12" s="9">
        <f>+C11+C7</f>
        <v>1440214000</v>
      </c>
      <c r="D12" s="9">
        <f t="shared" ref="D12:I12" si="9">+D11+D7</f>
        <v>1361105000</v>
      </c>
      <c r="E12" s="9">
        <f t="shared" si="9"/>
        <v>1319183000</v>
      </c>
      <c r="F12" s="9">
        <f t="shared" si="9"/>
        <v>1309877000</v>
      </c>
      <c r="G12" s="9">
        <f t="shared" si="9"/>
        <v>1747902000</v>
      </c>
      <c r="H12" s="9">
        <f t="shared" si="9"/>
        <v>1974893000</v>
      </c>
      <c r="I12" s="9">
        <f t="shared" si="9"/>
        <v>1968980000</v>
      </c>
      <c r="J12" s="9">
        <f t="shared" ref="J12:N12" si="10">+J11+J7</f>
        <v>0</v>
      </c>
      <c r="K12" s="9">
        <f t="shared" si="10"/>
        <v>0</v>
      </c>
      <c r="L12" s="9">
        <f t="shared" si="10"/>
        <v>0</v>
      </c>
      <c r="M12" s="9">
        <f t="shared" si="10"/>
        <v>0</v>
      </c>
      <c r="N12" s="9">
        <f t="shared" si="10"/>
        <v>0</v>
      </c>
    </row>
    <row r="13" spans="2:14" ht="25.5">
      <c r="B13" s="10" t="s">
        <v>273</v>
      </c>
      <c r="C13" s="11">
        <f>+C88</f>
        <v>425717000</v>
      </c>
      <c r="D13" s="11">
        <f t="shared" ref="D13:I13" si="11">+D88</f>
        <v>309030000</v>
      </c>
      <c r="E13" s="11">
        <f t="shared" si="11"/>
        <v>235900000</v>
      </c>
      <c r="F13" s="11">
        <f t="shared" si="11"/>
        <v>201706000</v>
      </c>
      <c r="G13" s="11">
        <f t="shared" si="11"/>
        <v>481807000</v>
      </c>
      <c r="H13" s="11">
        <f t="shared" si="11"/>
        <v>616532000</v>
      </c>
      <c r="I13" s="11">
        <f t="shared" si="11"/>
        <v>254501000</v>
      </c>
      <c r="J13" s="11">
        <f t="shared" ref="J13:N13" si="12">+J88</f>
        <v>0</v>
      </c>
      <c r="K13" s="11">
        <f t="shared" si="12"/>
        <v>0</v>
      </c>
      <c r="L13" s="11">
        <f t="shared" si="12"/>
        <v>0</v>
      </c>
      <c r="M13" s="11">
        <f t="shared" si="12"/>
        <v>0</v>
      </c>
      <c r="N13" s="11">
        <f t="shared" si="12"/>
        <v>0</v>
      </c>
    </row>
    <row r="14" spans="2:14" ht="25.5">
      <c r="B14" s="10" t="s">
        <v>274</v>
      </c>
      <c r="C14" s="11">
        <f>+C98</f>
        <v>376814000</v>
      </c>
      <c r="D14" s="11">
        <f t="shared" ref="D14:I14" si="13">+D98</f>
        <v>351063000</v>
      </c>
      <c r="E14" s="11">
        <f t="shared" si="13"/>
        <v>584745000</v>
      </c>
      <c r="F14" s="11">
        <f t="shared" si="13"/>
        <v>554077000</v>
      </c>
      <c r="G14" s="11">
        <f t="shared" si="13"/>
        <v>474367000</v>
      </c>
      <c r="H14" s="11">
        <f t="shared" si="13"/>
        <v>511144000</v>
      </c>
      <c r="I14" s="11">
        <f t="shared" si="13"/>
        <v>850396000</v>
      </c>
      <c r="J14" s="11">
        <f t="shared" ref="J14:N14" si="14">+J98</f>
        <v>0</v>
      </c>
      <c r="K14" s="11">
        <f t="shared" si="14"/>
        <v>0</v>
      </c>
      <c r="L14" s="11">
        <f t="shared" si="14"/>
        <v>0</v>
      </c>
      <c r="M14" s="11">
        <f t="shared" si="14"/>
        <v>0</v>
      </c>
      <c r="N14" s="11">
        <f t="shared" si="14"/>
        <v>0</v>
      </c>
    </row>
    <row r="15" spans="2:14" ht="25.5">
      <c r="B15" s="12" t="s">
        <v>275</v>
      </c>
      <c r="C15" s="13">
        <f>+C13+C14</f>
        <v>802531000</v>
      </c>
      <c r="D15" s="13">
        <f t="shared" ref="D15:I15" si="15">+D13+D14</f>
        <v>660093000</v>
      </c>
      <c r="E15" s="13">
        <f t="shared" si="15"/>
        <v>820645000</v>
      </c>
      <c r="F15" s="13">
        <f t="shared" si="15"/>
        <v>755783000</v>
      </c>
      <c r="G15" s="13">
        <f t="shared" si="15"/>
        <v>956174000</v>
      </c>
      <c r="H15" s="13">
        <f t="shared" si="15"/>
        <v>1127676000</v>
      </c>
      <c r="I15" s="13">
        <f t="shared" si="15"/>
        <v>1104897000</v>
      </c>
      <c r="J15" s="13">
        <f t="shared" ref="J15:N15" si="16">+J13+J14</f>
        <v>0</v>
      </c>
      <c r="K15" s="13">
        <f t="shared" si="16"/>
        <v>0</v>
      </c>
      <c r="L15" s="13">
        <f t="shared" si="16"/>
        <v>0</v>
      </c>
      <c r="M15" s="13">
        <f t="shared" si="16"/>
        <v>0</v>
      </c>
      <c r="N15" s="13">
        <f t="shared" si="16"/>
        <v>0</v>
      </c>
    </row>
    <row r="16" spans="2:14" ht="25.5">
      <c r="B16" s="14" t="s">
        <v>276</v>
      </c>
      <c r="C16" s="15">
        <f>+C111</f>
        <v>633240000</v>
      </c>
      <c r="D16" s="15">
        <f t="shared" ref="D16:I16" si="17">+D111</f>
        <v>696973000</v>
      </c>
      <c r="E16" s="15">
        <f t="shared" si="17"/>
        <v>733046000</v>
      </c>
      <c r="F16" s="15">
        <f t="shared" si="17"/>
        <v>754353000</v>
      </c>
      <c r="G16" s="15">
        <f t="shared" si="17"/>
        <v>790401000</v>
      </c>
      <c r="H16" s="15">
        <f t="shared" si="17"/>
        <v>845915000</v>
      </c>
      <c r="I16" s="15">
        <f t="shared" si="17"/>
        <v>862857000</v>
      </c>
      <c r="J16" s="15">
        <f t="shared" ref="J16:N16" si="18">+J111</f>
        <v>0</v>
      </c>
      <c r="K16" s="15">
        <f t="shared" si="18"/>
        <v>0</v>
      </c>
      <c r="L16" s="15">
        <f t="shared" si="18"/>
        <v>0</v>
      </c>
      <c r="M16" s="15">
        <f t="shared" si="18"/>
        <v>0</v>
      </c>
      <c r="N16" s="15">
        <f t="shared" si="18"/>
        <v>0</v>
      </c>
    </row>
    <row r="17" spans="2:14" ht="25.5">
      <c r="B17" s="79" t="s">
        <v>278</v>
      </c>
      <c r="C17" s="80">
        <v>132999304</v>
      </c>
      <c r="D17" s="80">
        <v>132999304</v>
      </c>
      <c r="E17" s="80">
        <v>132999304</v>
      </c>
      <c r="F17" s="80">
        <v>132999304</v>
      </c>
      <c r="G17" s="80">
        <v>132999304</v>
      </c>
      <c r="H17" s="80">
        <v>132999304</v>
      </c>
      <c r="I17" s="80">
        <v>132999304</v>
      </c>
      <c r="J17" s="80"/>
      <c r="K17" s="80"/>
      <c r="L17" s="80"/>
      <c r="M17" s="80"/>
      <c r="N17" s="80"/>
    </row>
    <row r="19" spans="2:14" ht="25.5">
      <c r="B19" s="18" t="s">
        <v>685</v>
      </c>
      <c r="C19" s="22">
        <f>+C16/C17</f>
        <v>4.7612279234183061</v>
      </c>
      <c r="D19" s="22">
        <f t="shared" ref="D19:I19" si="19">+D16/D17</f>
        <v>5.2404259198228589</v>
      </c>
      <c r="E19" s="22">
        <f t="shared" si="19"/>
        <v>5.511652903085869</v>
      </c>
      <c r="F19" s="22">
        <f t="shared" si="19"/>
        <v>5.6718567489646414</v>
      </c>
      <c r="G19" s="22">
        <f t="shared" si="19"/>
        <v>5.9428957613191722</v>
      </c>
      <c r="H19" s="22">
        <f t="shared" si="19"/>
        <v>6.3602964418520562</v>
      </c>
      <c r="I19" s="22">
        <f t="shared" si="19"/>
        <v>6.4876805671103366</v>
      </c>
      <c r="J19" s="22" t="e">
        <f t="shared" ref="J19:N19" si="20">+J16/J17</f>
        <v>#DIV/0!</v>
      </c>
      <c r="K19" s="22" t="e">
        <f t="shared" si="20"/>
        <v>#DIV/0!</v>
      </c>
      <c r="L19" s="22" t="e">
        <f t="shared" si="20"/>
        <v>#DIV/0!</v>
      </c>
      <c r="M19" s="22" t="e">
        <f t="shared" si="20"/>
        <v>#DIV/0!</v>
      </c>
      <c r="N19" s="22" t="e">
        <f t="shared" si="20"/>
        <v>#DIV/0!</v>
      </c>
    </row>
    <row r="20" spans="2:14" ht="25.5">
      <c r="B20" s="18" t="s">
        <v>656</v>
      </c>
      <c r="C20" s="19">
        <f>+C19*C44</f>
        <v>3184.3092351821629</v>
      </c>
      <c r="D20" s="19">
        <f t="shared" ref="D20:I20" si="21">+D19*D44</f>
        <v>3563.489625479544</v>
      </c>
      <c r="E20" s="19">
        <f t="shared" si="21"/>
        <v>3825.0871147415933</v>
      </c>
      <c r="F20" s="19">
        <f t="shared" si="21"/>
        <v>4333.2985562089862</v>
      </c>
      <c r="G20" s="19">
        <f t="shared" si="21"/>
        <v>5063.3471886439347</v>
      </c>
      <c r="H20" s="19">
        <f t="shared" si="21"/>
        <v>5395.1214568010064</v>
      </c>
      <c r="I20" s="19">
        <f t="shared" si="21"/>
        <v>5738.9373528601327</v>
      </c>
      <c r="J20" s="19" t="e">
        <f t="shared" ref="J20:N20" si="22">+J19*J44</f>
        <v>#DIV/0!</v>
      </c>
      <c r="K20" s="19" t="e">
        <f t="shared" si="22"/>
        <v>#DIV/0!</v>
      </c>
      <c r="L20" s="19" t="e">
        <f t="shared" si="22"/>
        <v>#DIV/0!</v>
      </c>
      <c r="M20" s="19" t="e">
        <f t="shared" si="22"/>
        <v>#DIV/0!</v>
      </c>
      <c r="N20" s="19" t="e">
        <f t="shared" si="22"/>
        <v>#DIV/0!</v>
      </c>
    </row>
    <row r="21" spans="2:14" ht="25.5">
      <c r="B21" s="76" t="s">
        <v>686</v>
      </c>
      <c r="C21" s="77">
        <v>8300</v>
      </c>
      <c r="D21" s="77">
        <v>8300</v>
      </c>
      <c r="E21" s="77">
        <v>7909</v>
      </c>
      <c r="F21" s="77">
        <v>5344</v>
      </c>
      <c r="G21" s="77">
        <v>4100</v>
      </c>
      <c r="H21" s="101">
        <v>3400</v>
      </c>
      <c r="I21" s="101">
        <v>3750</v>
      </c>
      <c r="J21" s="101"/>
      <c r="K21" s="101"/>
      <c r="L21" s="101"/>
      <c r="M21" s="101"/>
      <c r="N21" s="101"/>
    </row>
    <row r="22" spans="2:14" ht="25.5">
      <c r="B22" s="18" t="s">
        <v>283</v>
      </c>
      <c r="C22" s="22">
        <f>+C21/C43</f>
        <v>21.034384883626636</v>
      </c>
      <c r="D22" s="22">
        <f t="shared" ref="D22:I22" si="23">+D21/D43</f>
        <v>16.720386784850927</v>
      </c>
      <c r="E22" s="22">
        <f t="shared" si="23"/>
        <v>24.247348090011648</v>
      </c>
      <c r="F22" s="22">
        <f t="shared" si="23"/>
        <v>19.429901105293776</v>
      </c>
      <c r="G22" s="22">
        <f t="shared" si="23"/>
        <v>6.5920637983150039</v>
      </c>
      <c r="H22" s="22">
        <f t="shared" si="23"/>
        <v>5.8944886531093426</v>
      </c>
      <c r="I22" s="22">
        <f t="shared" si="23"/>
        <v>23.55140046047698</v>
      </c>
      <c r="J22" s="22" t="e">
        <f t="shared" ref="J22:N22" si="24">+J21/J43</f>
        <v>#DIV/0!</v>
      </c>
      <c r="K22" s="22" t="e">
        <f t="shared" si="24"/>
        <v>#DIV/0!</v>
      </c>
      <c r="L22" s="22" t="e">
        <f t="shared" si="24"/>
        <v>#DIV/0!</v>
      </c>
      <c r="M22" s="22" t="e">
        <f t="shared" si="24"/>
        <v>#DIV/0!</v>
      </c>
      <c r="N22" s="22" t="e">
        <f t="shared" si="24"/>
        <v>#DIV/0!</v>
      </c>
    </row>
    <row r="23" spans="2:14" ht="25.5">
      <c r="B23" s="18" t="s">
        <v>380</v>
      </c>
      <c r="C23" s="22">
        <f>+C21/C20</f>
        <v>2.6065307691528856</v>
      </c>
      <c r="D23" s="22">
        <f t="shared" ref="D23:I23" si="25">+D21/D20</f>
        <v>2.3291775400870032</v>
      </c>
      <c r="E23" s="22">
        <f t="shared" si="25"/>
        <v>2.0676653270246628</v>
      </c>
      <c r="F23" s="22">
        <f t="shared" si="25"/>
        <v>1.2332406665916951</v>
      </c>
      <c r="G23" s="22">
        <f t="shared" si="25"/>
        <v>0.80974103636335115</v>
      </c>
      <c r="H23" s="22">
        <f t="shared" si="25"/>
        <v>0.63019897276158865</v>
      </c>
      <c r="I23" s="22">
        <f t="shared" si="25"/>
        <v>0.65343107433140046</v>
      </c>
      <c r="J23" s="22" t="e">
        <f t="shared" ref="J23:N23" si="26">+J21/J20</f>
        <v>#DIV/0!</v>
      </c>
      <c r="K23" s="22" t="e">
        <f t="shared" si="26"/>
        <v>#DIV/0!</v>
      </c>
      <c r="L23" s="22" t="e">
        <f t="shared" si="26"/>
        <v>#DIV/0!</v>
      </c>
      <c r="M23" s="22" t="e">
        <f t="shared" si="26"/>
        <v>#DIV/0!</v>
      </c>
      <c r="N23" s="22" t="e">
        <f t="shared" si="26"/>
        <v>#DIV/0!</v>
      </c>
    </row>
    <row r="24" spans="2:14" ht="25.5">
      <c r="B24" s="18" t="s">
        <v>285</v>
      </c>
      <c r="C24" s="22">
        <f>+C22*C23</f>
        <v>54.826771409377166</v>
      </c>
      <c r="D24" s="22">
        <f t="shared" ref="D24:I24" si="27">+D22*D23</f>
        <v>38.944749360842316</v>
      </c>
      <c r="E24" s="22">
        <f t="shared" si="27"/>
        <v>50.135400918014767</v>
      </c>
      <c r="F24" s="22">
        <f t="shared" si="27"/>
        <v>23.961744190903211</v>
      </c>
      <c r="G24" s="22">
        <f t="shared" si="27"/>
        <v>5.3378645718209201</v>
      </c>
      <c r="H24" s="22">
        <f t="shared" si="27"/>
        <v>3.7147006941443479</v>
      </c>
      <c r="I24" s="22">
        <f t="shared" si="27"/>
        <v>15.389216904898513</v>
      </c>
      <c r="J24" s="22" t="e">
        <f t="shared" ref="J24:N24" si="28">+J22*J23</f>
        <v>#DIV/0!</v>
      </c>
      <c r="K24" s="22" t="e">
        <f t="shared" si="28"/>
        <v>#DIV/0!</v>
      </c>
      <c r="L24" s="22" t="e">
        <f t="shared" si="28"/>
        <v>#DIV/0!</v>
      </c>
      <c r="M24" s="22" t="e">
        <f t="shared" si="28"/>
        <v>#DIV/0!</v>
      </c>
      <c r="N24" s="22" t="e">
        <f t="shared" si="28"/>
        <v>#DIV/0!</v>
      </c>
    </row>
    <row r="25" spans="2:14" ht="25.5">
      <c r="B25" s="23" t="s">
        <v>286</v>
      </c>
      <c r="C25" s="24">
        <f>IF(C45&lt;10%,0,IF(15%&lt;C45,2,1))</f>
        <v>1</v>
      </c>
      <c r="D25" s="24">
        <f>IF(D45&lt;10%,0,IF(15%&lt;D45,2,1))</f>
        <v>1</v>
      </c>
      <c r="E25" s="24">
        <f t="shared" ref="E25:I25" si="29">IF(E45&lt;10%,0,IF(15%&lt;E45,2,1))</f>
        <v>0</v>
      </c>
      <c r="F25" s="24">
        <f t="shared" si="29"/>
        <v>0</v>
      </c>
      <c r="G25" s="24">
        <f t="shared" si="29"/>
        <v>1</v>
      </c>
      <c r="H25" s="24">
        <f t="shared" si="29"/>
        <v>1</v>
      </c>
      <c r="I25" s="24">
        <f t="shared" si="29"/>
        <v>0</v>
      </c>
      <c r="J25" s="24" t="e">
        <f t="shared" ref="J25:N25" si="30">IF(J45&lt;10%,0,IF(15%&lt;J45,2,1))</f>
        <v>#DIV/0!</v>
      </c>
      <c r="K25" s="24" t="e">
        <f t="shared" si="30"/>
        <v>#DIV/0!</v>
      </c>
      <c r="L25" s="24" t="e">
        <f t="shared" si="30"/>
        <v>#DIV/0!</v>
      </c>
      <c r="M25" s="24" t="e">
        <f t="shared" si="30"/>
        <v>#DIV/0!</v>
      </c>
      <c r="N25" s="24" t="e">
        <f t="shared" si="30"/>
        <v>#DIV/0!</v>
      </c>
    </row>
    <row r="26" spans="2:14" ht="25.5">
      <c r="B26" s="23" t="s">
        <v>287</v>
      </c>
      <c r="C26" s="24">
        <f>IF(C45&lt;10%,1,IF(15%&lt;C45,2.5,2))</f>
        <v>2</v>
      </c>
      <c r="D26" s="24">
        <f t="shared" ref="D26:I26" si="31">IF(D45&lt;10%,1,IF(15%&lt;D45,2.5,2))</f>
        <v>2</v>
      </c>
      <c r="E26" s="24">
        <f t="shared" si="31"/>
        <v>1</v>
      </c>
      <c r="F26" s="24">
        <f t="shared" si="31"/>
        <v>1</v>
      </c>
      <c r="G26" s="24">
        <f t="shared" si="31"/>
        <v>2</v>
      </c>
      <c r="H26" s="24">
        <f t="shared" si="31"/>
        <v>2</v>
      </c>
      <c r="I26" s="24">
        <f t="shared" si="31"/>
        <v>1</v>
      </c>
      <c r="J26" s="24" t="e">
        <f t="shared" ref="J26:N26" si="32">IF(J45&lt;10%,1,IF(15%&lt;J45,2.5,2))</f>
        <v>#DIV/0!</v>
      </c>
      <c r="K26" s="24" t="e">
        <f t="shared" si="32"/>
        <v>#DIV/0!</v>
      </c>
      <c r="L26" s="24" t="e">
        <f t="shared" si="32"/>
        <v>#DIV/0!</v>
      </c>
      <c r="M26" s="24" t="e">
        <f t="shared" si="32"/>
        <v>#DIV/0!</v>
      </c>
      <c r="N26" s="24" t="e">
        <f t="shared" si="32"/>
        <v>#DIV/0!</v>
      </c>
    </row>
    <row r="27" spans="2:14" ht="25.5">
      <c r="B27" s="25" t="s">
        <v>288</v>
      </c>
      <c r="C27" s="26">
        <f>+C25*C20</f>
        <v>3184.3092351821629</v>
      </c>
      <c r="D27" s="26">
        <f t="shared" ref="D27:I27" si="33">+D25*D20</f>
        <v>3563.489625479544</v>
      </c>
      <c r="E27" s="26">
        <f t="shared" si="33"/>
        <v>0</v>
      </c>
      <c r="F27" s="26">
        <f t="shared" si="33"/>
        <v>0</v>
      </c>
      <c r="G27" s="26">
        <f t="shared" si="33"/>
        <v>5063.3471886439347</v>
      </c>
      <c r="H27" s="26">
        <f t="shared" si="33"/>
        <v>5395.1214568010064</v>
      </c>
      <c r="I27" s="26">
        <f t="shared" si="33"/>
        <v>0</v>
      </c>
      <c r="J27" s="26" t="e">
        <f t="shared" ref="J27:N27" si="34">+J25*J20</f>
        <v>#DIV/0!</v>
      </c>
      <c r="K27" s="26" t="e">
        <f t="shared" si="34"/>
        <v>#DIV/0!</v>
      </c>
      <c r="L27" s="26" t="e">
        <f t="shared" si="34"/>
        <v>#DIV/0!</v>
      </c>
      <c r="M27" s="26" t="e">
        <f t="shared" si="34"/>
        <v>#DIV/0!</v>
      </c>
      <c r="N27" s="26" t="e">
        <f t="shared" si="34"/>
        <v>#DIV/0!</v>
      </c>
    </row>
    <row r="28" spans="2:14" ht="25.5">
      <c r="B28" s="25" t="s">
        <v>289</v>
      </c>
      <c r="C28" s="26">
        <f>AVERAGE(C27,C29)</f>
        <v>4776.4638527732441</v>
      </c>
      <c r="D28" s="26">
        <f t="shared" ref="D28:I28" si="35">AVERAGE(D27,D29)</f>
        <v>5345.234438219316</v>
      </c>
      <c r="E28" s="26">
        <f t="shared" si="35"/>
        <v>1912.5435573707966</v>
      </c>
      <c r="F28" s="26">
        <f t="shared" si="35"/>
        <v>2166.6492781044931</v>
      </c>
      <c r="G28" s="26">
        <f t="shared" si="35"/>
        <v>7595.0207829659021</v>
      </c>
      <c r="H28" s="26">
        <f t="shared" si="35"/>
        <v>8092.6821852015091</v>
      </c>
      <c r="I28" s="26">
        <f t="shared" si="35"/>
        <v>2869.4686764300664</v>
      </c>
      <c r="J28" s="26" t="e">
        <f t="shared" ref="J28:N28" si="36">AVERAGE(J27,J29)</f>
        <v>#DIV/0!</v>
      </c>
      <c r="K28" s="26" t="e">
        <f t="shared" si="36"/>
        <v>#DIV/0!</v>
      </c>
      <c r="L28" s="26" t="e">
        <f t="shared" si="36"/>
        <v>#DIV/0!</v>
      </c>
      <c r="M28" s="26" t="e">
        <f t="shared" si="36"/>
        <v>#DIV/0!</v>
      </c>
      <c r="N28" s="26" t="e">
        <f t="shared" si="36"/>
        <v>#DIV/0!</v>
      </c>
    </row>
    <row r="29" spans="2:14" ht="25.5">
      <c r="B29" s="25" t="s">
        <v>290</v>
      </c>
      <c r="C29" s="26">
        <f>+C20*C26</f>
        <v>6368.6184703643257</v>
      </c>
      <c r="D29" s="26">
        <f t="shared" ref="D29:I29" si="37">+D20*D26</f>
        <v>7126.9792509590879</v>
      </c>
      <c r="E29" s="26">
        <f t="shared" si="37"/>
        <v>3825.0871147415933</v>
      </c>
      <c r="F29" s="26">
        <f t="shared" si="37"/>
        <v>4333.2985562089862</v>
      </c>
      <c r="G29" s="26">
        <f t="shared" si="37"/>
        <v>10126.694377287869</v>
      </c>
      <c r="H29" s="26">
        <f t="shared" si="37"/>
        <v>10790.242913602013</v>
      </c>
      <c r="I29" s="26">
        <f t="shared" si="37"/>
        <v>5738.9373528601327</v>
      </c>
      <c r="J29" s="26" t="e">
        <f t="shared" ref="J29:N29" si="38">+J20*J26</f>
        <v>#DIV/0!</v>
      </c>
      <c r="K29" s="26" t="e">
        <f t="shared" si="38"/>
        <v>#DIV/0!</v>
      </c>
      <c r="L29" s="26" t="e">
        <f t="shared" si="38"/>
        <v>#DIV/0!</v>
      </c>
      <c r="M29" s="26" t="e">
        <f t="shared" si="38"/>
        <v>#DIV/0!</v>
      </c>
      <c r="N29" s="26" t="e">
        <f t="shared" si="38"/>
        <v>#DIV/0!</v>
      </c>
    </row>
    <row r="31" spans="2:14" ht="25.5">
      <c r="B31" s="243" t="s">
        <v>291</v>
      </c>
      <c r="C31" s="81">
        <f t="shared" ref="C31:I31" si="39">C7-C13</f>
        <v>443022000</v>
      </c>
      <c r="D31" s="81">
        <f t="shared" si="39"/>
        <v>513492000</v>
      </c>
      <c r="E31" s="81">
        <f t="shared" si="39"/>
        <v>519737000</v>
      </c>
      <c r="F31" s="81">
        <f t="shared" si="39"/>
        <v>514834000</v>
      </c>
      <c r="G31" s="81">
        <f t="shared" si="39"/>
        <v>696150000</v>
      </c>
      <c r="H31" s="81">
        <f t="shared" si="39"/>
        <v>761262000</v>
      </c>
      <c r="I31" s="81">
        <f t="shared" si="39"/>
        <v>1074527000</v>
      </c>
      <c r="J31" s="81">
        <f t="shared" ref="J31:N31" si="40">J7-J13</f>
        <v>0</v>
      </c>
      <c r="K31" s="81">
        <f t="shared" si="40"/>
        <v>0</v>
      </c>
      <c r="L31" s="81">
        <f t="shared" si="40"/>
        <v>0</v>
      </c>
      <c r="M31" s="81">
        <f t="shared" si="40"/>
        <v>0</v>
      </c>
      <c r="N31" s="81">
        <f t="shared" si="40"/>
        <v>0</v>
      </c>
    </row>
    <row r="32" spans="2:14" ht="25.5">
      <c r="B32" s="30" t="s">
        <v>149</v>
      </c>
      <c r="C32" s="241">
        <f t="shared" ref="C32:I32" si="41">C7/C13</f>
        <v>2.0406490696871398</v>
      </c>
      <c r="D32" s="241">
        <f t="shared" si="41"/>
        <v>2.6616250849432093</v>
      </c>
      <c r="E32" s="241">
        <f t="shared" si="41"/>
        <v>3.2032089868588387</v>
      </c>
      <c r="F32" s="241">
        <f t="shared" si="41"/>
        <v>3.5523980446788892</v>
      </c>
      <c r="G32" s="241">
        <f t="shared" si="41"/>
        <v>2.4448731546033993</v>
      </c>
      <c r="H32" s="242">
        <f t="shared" si="41"/>
        <v>2.2347485613074425</v>
      </c>
      <c r="I32" s="242">
        <f t="shared" si="41"/>
        <v>5.2220934298882913</v>
      </c>
      <c r="J32" s="242" t="e">
        <f t="shared" ref="J32:N32" si="42">J7/J13</f>
        <v>#DIV/0!</v>
      </c>
      <c r="K32" s="242" t="e">
        <f t="shared" si="42"/>
        <v>#DIV/0!</v>
      </c>
      <c r="L32" s="242" t="e">
        <f t="shared" si="42"/>
        <v>#DIV/0!</v>
      </c>
      <c r="M32" s="242" t="e">
        <f t="shared" si="42"/>
        <v>#DIV/0!</v>
      </c>
      <c r="N32" s="242" t="e">
        <f t="shared" si="42"/>
        <v>#DIV/0!</v>
      </c>
    </row>
    <row r="33" spans="2:14" ht="25.5">
      <c r="B33" s="30" t="s">
        <v>292</v>
      </c>
      <c r="C33" s="241">
        <f t="shared" ref="C33:I33" si="43">+(C7-C9)/C13</f>
        <v>1.338363278891846</v>
      </c>
      <c r="D33" s="241">
        <f t="shared" si="43"/>
        <v>1.2093809662492314</v>
      </c>
      <c r="E33" s="241">
        <f t="shared" si="43"/>
        <v>1.5517507418397627</v>
      </c>
      <c r="F33" s="241">
        <f t="shared" si="43"/>
        <v>1.8112202909184656</v>
      </c>
      <c r="G33" s="241">
        <f t="shared" si="43"/>
        <v>0.81238338172753821</v>
      </c>
      <c r="H33" s="241">
        <f t="shared" si="43"/>
        <v>0.67595842551562613</v>
      </c>
      <c r="I33" s="241">
        <f t="shared" si="43"/>
        <v>2.5959308607824725</v>
      </c>
      <c r="J33" s="241" t="e">
        <f t="shared" ref="J33:N33" si="44">+(J7-J9)/J13</f>
        <v>#DIV/0!</v>
      </c>
      <c r="K33" s="241" t="e">
        <f t="shared" si="44"/>
        <v>#DIV/0!</v>
      </c>
      <c r="L33" s="241" t="e">
        <f t="shared" si="44"/>
        <v>#DIV/0!</v>
      </c>
      <c r="M33" s="241" t="e">
        <f t="shared" si="44"/>
        <v>#DIV/0!</v>
      </c>
      <c r="N33" s="241" t="e">
        <f t="shared" si="44"/>
        <v>#DIV/0!</v>
      </c>
    </row>
    <row r="34" spans="2:14" ht="25.5">
      <c r="B34" s="32" t="s">
        <v>153</v>
      </c>
      <c r="C34" s="33">
        <f t="shared" ref="C34:I34" si="45">C15/C12</f>
        <v>0.55723038381796042</v>
      </c>
      <c r="D34" s="33">
        <f t="shared" si="45"/>
        <v>0.484968463123712</v>
      </c>
      <c r="E34" s="33">
        <f t="shared" si="45"/>
        <v>0.62208579097820393</v>
      </c>
      <c r="F34" s="33">
        <f t="shared" si="45"/>
        <v>0.57698776297316468</v>
      </c>
      <c r="G34" s="33">
        <f t="shared" si="45"/>
        <v>0.54704096682765968</v>
      </c>
      <c r="H34" s="33">
        <f t="shared" si="45"/>
        <v>0.57100612539514795</v>
      </c>
      <c r="I34" s="33">
        <f t="shared" si="45"/>
        <v>0.56115196700829872</v>
      </c>
      <c r="J34" s="33" t="e">
        <f t="shared" ref="J34:N34" si="46">J15/J12</f>
        <v>#DIV/0!</v>
      </c>
      <c r="K34" s="33" t="e">
        <f t="shared" si="46"/>
        <v>#DIV/0!</v>
      </c>
      <c r="L34" s="33" t="e">
        <f t="shared" si="46"/>
        <v>#DIV/0!</v>
      </c>
      <c r="M34" s="33" t="e">
        <f t="shared" si="46"/>
        <v>#DIV/0!</v>
      </c>
      <c r="N34" s="33" t="e">
        <f t="shared" si="46"/>
        <v>#DIV/0!</v>
      </c>
    </row>
    <row r="37" spans="2:14" ht="25.5">
      <c r="B37" s="35" t="s">
        <v>293</v>
      </c>
      <c r="C37" s="36">
        <f>+C116</f>
        <v>857028000</v>
      </c>
      <c r="D37" s="36">
        <f t="shared" ref="D37:I37" si="47">+D116</f>
        <v>1192261000</v>
      </c>
      <c r="E37" s="36">
        <f t="shared" si="47"/>
        <v>1170148000</v>
      </c>
      <c r="F37" s="36">
        <f t="shared" si="47"/>
        <v>1051912000</v>
      </c>
      <c r="G37" s="36">
        <f t="shared" si="47"/>
        <v>1453442000</v>
      </c>
      <c r="H37" s="36">
        <f t="shared" si="47"/>
        <v>1883085000</v>
      </c>
      <c r="I37" s="36">
        <f t="shared" si="47"/>
        <v>2475078000</v>
      </c>
      <c r="J37" s="36">
        <f t="shared" ref="J37:N37" si="48">+J116</f>
        <v>0</v>
      </c>
      <c r="K37" s="36">
        <f t="shared" si="48"/>
        <v>0</v>
      </c>
      <c r="L37" s="36">
        <f t="shared" si="48"/>
        <v>0</v>
      </c>
      <c r="M37" s="36">
        <f t="shared" si="48"/>
        <v>0</v>
      </c>
      <c r="N37" s="36">
        <f t="shared" si="48"/>
        <v>0</v>
      </c>
    </row>
    <row r="38" spans="2:14" ht="25.5">
      <c r="B38" s="39" t="s">
        <v>156</v>
      </c>
      <c r="C38" s="40">
        <f>+C123</f>
        <v>124842000</v>
      </c>
      <c r="D38" s="40">
        <f t="shared" ref="D38:I38" si="49">+D123</f>
        <v>146735000</v>
      </c>
      <c r="E38" s="40">
        <f t="shared" si="49"/>
        <v>97198000</v>
      </c>
      <c r="F38" s="40">
        <f t="shared" si="49"/>
        <v>75245000</v>
      </c>
      <c r="G38" s="40">
        <f t="shared" si="49"/>
        <v>153106000</v>
      </c>
      <c r="H38" s="40">
        <f t="shared" si="49"/>
        <v>147447000</v>
      </c>
      <c r="I38" s="40">
        <f t="shared" si="49"/>
        <v>66004000</v>
      </c>
      <c r="J38" s="40">
        <f t="shared" ref="J38:N38" si="50">+J123</f>
        <v>0</v>
      </c>
      <c r="K38" s="40">
        <f t="shared" si="50"/>
        <v>0</v>
      </c>
      <c r="L38" s="40">
        <f t="shared" si="50"/>
        <v>0</v>
      </c>
      <c r="M38" s="40">
        <f t="shared" si="50"/>
        <v>0</v>
      </c>
      <c r="N38" s="40">
        <f t="shared" si="50"/>
        <v>0</v>
      </c>
    </row>
    <row r="39" spans="2:14" ht="25.5">
      <c r="B39" s="35" t="s">
        <v>381</v>
      </c>
      <c r="C39" s="41">
        <f>C38/C37</f>
        <v>0.14566851958162394</v>
      </c>
      <c r="D39" s="41">
        <f t="shared" ref="D39:I39" si="51">D38/D37</f>
        <v>0.12307288420907839</v>
      </c>
      <c r="E39" s="41">
        <f t="shared" si="51"/>
        <v>8.3064706344838438E-2</v>
      </c>
      <c r="F39" s="41">
        <f t="shared" si="51"/>
        <v>7.1531649035280517E-2</v>
      </c>
      <c r="G39" s="41">
        <f t="shared" si="51"/>
        <v>0.10534028877657313</v>
      </c>
      <c r="H39" s="41">
        <f t="shared" si="51"/>
        <v>7.830076709229801E-2</v>
      </c>
      <c r="I39" s="41">
        <f t="shared" si="51"/>
        <v>2.6667442399795079E-2</v>
      </c>
      <c r="J39" s="41" t="e">
        <f t="shared" ref="J39:N39" si="52">J38/J37</f>
        <v>#DIV/0!</v>
      </c>
      <c r="K39" s="41" t="e">
        <f t="shared" si="52"/>
        <v>#DIV/0!</v>
      </c>
      <c r="L39" s="41" t="e">
        <f t="shared" si="52"/>
        <v>#DIV/0!</v>
      </c>
      <c r="M39" s="41" t="e">
        <f t="shared" si="52"/>
        <v>#DIV/0!</v>
      </c>
      <c r="N39" s="41" t="e">
        <f t="shared" si="52"/>
        <v>#DIV/0!</v>
      </c>
    </row>
    <row r="40" spans="2:14" ht="25.5">
      <c r="B40" s="43" t="s">
        <v>295</v>
      </c>
      <c r="C40" s="44">
        <f>+C133</f>
        <v>77850000</v>
      </c>
      <c r="D40" s="44">
        <f t="shared" ref="D40:I40" si="53">+D133</f>
        <v>96785000</v>
      </c>
      <c r="E40" s="44">
        <f t="shared" si="53"/>
        <v>62573000</v>
      </c>
      <c r="F40" s="44">
        <f t="shared" si="53"/>
        <v>47269000</v>
      </c>
      <c r="G40" s="44">
        <f t="shared" si="53"/>
        <v>97194000</v>
      </c>
      <c r="H40" s="44">
        <f t="shared" si="53"/>
        <v>89777000</v>
      </c>
      <c r="I40" s="44">
        <f t="shared" si="53"/>
        <v>23738000</v>
      </c>
      <c r="J40" s="44">
        <f t="shared" ref="J40:N40" si="54">+J133</f>
        <v>0</v>
      </c>
      <c r="K40" s="44">
        <f t="shared" si="54"/>
        <v>0</v>
      </c>
      <c r="L40" s="44">
        <f t="shared" si="54"/>
        <v>0</v>
      </c>
      <c r="M40" s="44">
        <f t="shared" si="54"/>
        <v>0</v>
      </c>
      <c r="N40" s="44">
        <f t="shared" si="54"/>
        <v>0</v>
      </c>
    </row>
    <row r="41" spans="2:14" ht="25.5">
      <c r="B41" s="30" t="s">
        <v>296</v>
      </c>
      <c r="C41" s="45">
        <f>C40/C37</f>
        <v>9.0837172181072262E-2</v>
      </c>
      <c r="D41" s="45">
        <f t="shared" ref="D41:I41" si="55">D40/D37</f>
        <v>8.1177695152319831E-2</v>
      </c>
      <c r="E41" s="45">
        <f t="shared" si="55"/>
        <v>5.3474432294034598E-2</v>
      </c>
      <c r="F41" s="45">
        <f t="shared" si="55"/>
        <v>4.4936268433100869E-2</v>
      </c>
      <c r="G41" s="45">
        <f t="shared" si="55"/>
        <v>6.6871605471700971E-2</v>
      </c>
      <c r="H41" s="45">
        <f t="shared" si="55"/>
        <v>4.767548995398508E-2</v>
      </c>
      <c r="I41" s="45">
        <f t="shared" si="55"/>
        <v>9.5908088553168826E-3</v>
      </c>
      <c r="J41" s="45" t="e">
        <f t="shared" ref="J41:N41" si="56">J40/J37</f>
        <v>#DIV/0!</v>
      </c>
      <c r="K41" s="45" t="e">
        <f t="shared" si="56"/>
        <v>#DIV/0!</v>
      </c>
      <c r="L41" s="45" t="e">
        <f t="shared" si="56"/>
        <v>#DIV/0!</v>
      </c>
      <c r="M41" s="45" t="e">
        <f t="shared" si="56"/>
        <v>#DIV/0!</v>
      </c>
      <c r="N41" s="45" t="e">
        <f t="shared" si="56"/>
        <v>#DIV/0!</v>
      </c>
    </row>
    <row r="42" spans="2:14" ht="25.5">
      <c r="B42" s="46" t="s">
        <v>658</v>
      </c>
      <c r="C42" s="121">
        <f>+C134</f>
        <v>0.59</v>
      </c>
      <c r="D42" s="121">
        <f t="shared" ref="D42:I42" si="57">+D134</f>
        <v>0.73</v>
      </c>
      <c r="E42" s="121">
        <f t="shared" si="57"/>
        <v>0.47</v>
      </c>
      <c r="F42" s="121">
        <f t="shared" si="57"/>
        <v>0.36</v>
      </c>
      <c r="G42" s="121">
        <f t="shared" si="57"/>
        <v>0.73</v>
      </c>
      <c r="H42" s="121">
        <f t="shared" si="57"/>
        <v>0.68</v>
      </c>
      <c r="I42" s="121">
        <f t="shared" si="57"/>
        <v>0.18</v>
      </c>
      <c r="J42" s="121">
        <f t="shared" ref="J42:N42" si="58">+J134</f>
        <v>0</v>
      </c>
      <c r="K42" s="121">
        <f t="shared" si="58"/>
        <v>0</v>
      </c>
      <c r="L42" s="121">
        <f t="shared" si="58"/>
        <v>0</v>
      </c>
      <c r="M42" s="121">
        <f t="shared" si="58"/>
        <v>0</v>
      </c>
      <c r="N42" s="121">
        <f t="shared" si="58"/>
        <v>0</v>
      </c>
    </row>
    <row r="43" spans="2:14" ht="25.5">
      <c r="B43" s="46" t="s">
        <v>659</v>
      </c>
      <c r="C43" s="181">
        <f>+C42*C44</f>
        <v>394.59199999999993</v>
      </c>
      <c r="D43" s="181">
        <f t="shared" ref="D43:I43" si="59">+D42*D44</f>
        <v>496.4</v>
      </c>
      <c r="E43" s="181">
        <f t="shared" si="59"/>
        <v>326.18</v>
      </c>
      <c r="F43" s="181">
        <f t="shared" si="59"/>
        <v>275.03999999999996</v>
      </c>
      <c r="G43" s="181">
        <f t="shared" si="59"/>
        <v>621.96</v>
      </c>
      <c r="H43" s="181">
        <f t="shared" si="59"/>
        <v>576.81000000000006</v>
      </c>
      <c r="I43" s="181">
        <f t="shared" si="59"/>
        <v>159.22620000000001</v>
      </c>
      <c r="J43" s="181">
        <f t="shared" ref="J43:N43" si="60">+J42*J44</f>
        <v>0</v>
      </c>
      <c r="K43" s="181">
        <f t="shared" si="60"/>
        <v>0</v>
      </c>
      <c r="L43" s="181">
        <f t="shared" si="60"/>
        <v>0</v>
      </c>
      <c r="M43" s="181">
        <f t="shared" si="60"/>
        <v>0</v>
      </c>
      <c r="N43" s="181">
        <f t="shared" si="60"/>
        <v>0</v>
      </c>
    </row>
    <row r="44" spans="2:14" ht="25.5">
      <c r="B44" s="79" t="s">
        <v>600</v>
      </c>
      <c r="C44" s="173">
        <v>668.8</v>
      </c>
      <c r="D44" s="173">
        <v>680</v>
      </c>
      <c r="E44" s="173">
        <v>694</v>
      </c>
      <c r="F44" s="173">
        <v>764</v>
      </c>
      <c r="G44" s="173">
        <v>852</v>
      </c>
      <c r="H44" s="173">
        <v>848.25</v>
      </c>
      <c r="I44" s="173">
        <v>884.59</v>
      </c>
      <c r="J44" s="174"/>
      <c r="K44" s="174"/>
      <c r="L44" s="174"/>
      <c r="M44" s="174"/>
      <c r="N44" s="174"/>
    </row>
    <row r="45" spans="2:14" ht="25.5">
      <c r="B45" s="48" t="s">
        <v>160</v>
      </c>
      <c r="C45" s="49">
        <f t="shared" ref="C45:I45" si="61">C40/C16</f>
        <v>0.12293916998294485</v>
      </c>
      <c r="D45" s="49">
        <f t="shared" si="61"/>
        <v>0.13886477668431918</v>
      </c>
      <c r="E45" s="49">
        <f t="shared" si="61"/>
        <v>8.53602638852132E-2</v>
      </c>
      <c r="F45" s="49">
        <f t="shared" si="61"/>
        <v>6.2661645144912265E-2</v>
      </c>
      <c r="G45" s="49">
        <f t="shared" si="61"/>
        <v>0.1229679618320321</v>
      </c>
      <c r="H45" s="49">
        <f t="shared" si="61"/>
        <v>0.10613004852733431</v>
      </c>
      <c r="I45" s="49">
        <f t="shared" si="61"/>
        <v>2.7510931707107899E-2</v>
      </c>
      <c r="J45" s="49" t="e">
        <f t="shared" ref="J45:N45" si="62">J40/J16</f>
        <v>#DIV/0!</v>
      </c>
      <c r="K45" s="49" t="e">
        <f t="shared" si="62"/>
        <v>#DIV/0!</v>
      </c>
      <c r="L45" s="49" t="e">
        <f t="shared" si="62"/>
        <v>#DIV/0!</v>
      </c>
      <c r="M45" s="49" t="e">
        <f t="shared" si="62"/>
        <v>#DIV/0!</v>
      </c>
      <c r="N45" s="49" t="e">
        <f t="shared" si="62"/>
        <v>#DIV/0!</v>
      </c>
    </row>
    <row r="46" spans="2:14" ht="25.5">
      <c r="B46" s="48" t="s">
        <v>382</v>
      </c>
      <c r="C46" s="49">
        <f>AVERAGE(G45:I45)</f>
        <v>8.5536314022158097E-2</v>
      </c>
      <c r="D46" s="49"/>
      <c r="E46" s="49"/>
      <c r="F46" s="49"/>
      <c r="G46" s="49"/>
      <c r="H46" s="49"/>
      <c r="I46" s="49"/>
      <c r="J46" s="49"/>
      <c r="K46" s="49"/>
      <c r="L46" s="49"/>
      <c r="M46" s="49"/>
      <c r="N46" s="49"/>
    </row>
    <row r="47" spans="2:14" ht="25.5">
      <c r="B47" s="48" t="s">
        <v>298</v>
      </c>
      <c r="C47" s="50">
        <f>+C146</f>
        <v>97552000</v>
      </c>
      <c r="D47" s="50">
        <f t="shared" ref="D47:I47" si="63">+D146</f>
        <v>-49466000</v>
      </c>
      <c r="E47" s="50">
        <f t="shared" si="63"/>
        <v>41672000</v>
      </c>
      <c r="F47" s="50">
        <f t="shared" si="63"/>
        <v>85674000</v>
      </c>
      <c r="G47" s="50">
        <f t="shared" si="63"/>
        <v>-334266000</v>
      </c>
      <c r="H47" s="50">
        <f t="shared" si="63"/>
        <v>151656000</v>
      </c>
      <c r="I47" s="50">
        <f t="shared" si="63"/>
        <v>35430000</v>
      </c>
      <c r="J47" s="50">
        <f t="shared" ref="J47:N47" si="64">+J146</f>
        <v>0</v>
      </c>
      <c r="K47" s="50">
        <f t="shared" si="64"/>
        <v>0</v>
      </c>
      <c r="L47" s="50">
        <f t="shared" si="64"/>
        <v>0</v>
      </c>
      <c r="M47" s="50">
        <f t="shared" si="64"/>
        <v>0</v>
      </c>
      <c r="N47" s="50">
        <f t="shared" si="64"/>
        <v>0</v>
      </c>
    </row>
    <row r="48" spans="2:14" ht="25.5">
      <c r="B48" s="51" t="s">
        <v>119</v>
      </c>
      <c r="C48" s="51">
        <f>SUM(C50:C53)</f>
        <v>207.76299999999998</v>
      </c>
      <c r="D48" s="51">
        <f t="shared" ref="D48:F48" si="65">SUM(D50:D53)</f>
        <v>179.61599999999999</v>
      </c>
      <c r="E48" s="51">
        <f t="shared" si="65"/>
        <v>196.83799999999999</v>
      </c>
      <c r="F48" s="51">
        <f t="shared" si="65"/>
        <v>214.12799999999999</v>
      </c>
      <c r="G48" s="51">
        <f>SUM(G50:G53)</f>
        <v>313.11199999999997</v>
      </c>
      <c r="H48" s="51">
        <f>SUM(H50:H53)</f>
        <v>251.126</v>
      </c>
      <c r="I48" s="51">
        <f t="shared" ref="I48:N48" si="66">SUM(I50:I52)</f>
        <v>158.328</v>
      </c>
      <c r="J48" s="51">
        <f t="shared" si="66"/>
        <v>89.652999999999992</v>
      </c>
      <c r="K48" s="51">
        <f t="shared" si="66"/>
        <v>0</v>
      </c>
      <c r="L48" s="51">
        <f t="shared" si="66"/>
        <v>0</v>
      </c>
      <c r="M48" s="51">
        <f t="shared" si="66"/>
        <v>0</v>
      </c>
      <c r="N48" s="51">
        <f t="shared" si="66"/>
        <v>0</v>
      </c>
    </row>
    <row r="49" spans="2:16" ht="25.5">
      <c r="B49" s="51" t="s">
        <v>383</v>
      </c>
      <c r="C49" s="51">
        <f>+C50+C51</f>
        <v>202.71199999999999</v>
      </c>
      <c r="D49" s="51">
        <f t="shared" ref="D49:I49" si="67">+D50+D51</f>
        <v>104.38</v>
      </c>
      <c r="E49" s="51">
        <f t="shared" si="67"/>
        <v>147.62299999999999</v>
      </c>
      <c r="F49" s="51">
        <f t="shared" si="67"/>
        <v>214.12799999999999</v>
      </c>
      <c r="G49" s="51">
        <f t="shared" si="67"/>
        <v>248.13499999999999</v>
      </c>
      <c r="H49" s="51">
        <f t="shared" si="67"/>
        <v>103.291</v>
      </c>
      <c r="I49" s="51">
        <f t="shared" si="67"/>
        <v>81.143000000000001</v>
      </c>
      <c r="J49" s="51">
        <f t="shared" ref="J49:N49" si="68">+J50+J51</f>
        <v>51.064</v>
      </c>
      <c r="K49" s="51">
        <f t="shared" si="68"/>
        <v>0</v>
      </c>
      <c r="L49" s="51">
        <f t="shared" si="68"/>
        <v>0</v>
      </c>
      <c r="M49" s="51">
        <f t="shared" si="68"/>
        <v>0</v>
      </c>
      <c r="N49" s="51">
        <f t="shared" si="68"/>
        <v>0</v>
      </c>
    </row>
    <row r="50" spans="2:16" ht="18">
      <c r="B50" s="135" t="s">
        <v>121</v>
      </c>
      <c r="C50" s="94">
        <v>202.71199999999999</v>
      </c>
      <c r="D50" s="94">
        <v>104.38</v>
      </c>
      <c r="E50" s="94">
        <v>147.62299999999999</v>
      </c>
      <c r="F50" s="94">
        <f>93.24+120.888</f>
        <v>214.12799999999999</v>
      </c>
      <c r="G50" s="94">
        <f>173.752+74.383</f>
        <v>248.13499999999999</v>
      </c>
      <c r="H50" s="94">
        <v>15.734999999999999</v>
      </c>
      <c r="I50" s="155">
        <v>81.143000000000001</v>
      </c>
      <c r="J50" s="155">
        <v>51.064</v>
      </c>
      <c r="K50" s="155"/>
      <c r="L50" s="155"/>
      <c r="M50" s="155"/>
      <c r="N50" s="155"/>
    </row>
    <row r="51" spans="2:16" ht="18">
      <c r="B51" s="135" t="s">
        <v>122</v>
      </c>
      <c r="C51" s="94"/>
      <c r="D51" s="94"/>
      <c r="E51" s="94"/>
      <c r="F51" s="94"/>
      <c r="G51" s="94"/>
      <c r="H51" s="94">
        <v>87.555999999999997</v>
      </c>
      <c r="I51" s="155"/>
      <c r="J51" s="155"/>
      <c r="K51" s="155"/>
      <c r="L51" s="155"/>
      <c r="M51" s="155"/>
      <c r="N51" s="155"/>
    </row>
    <row r="52" spans="2:16" ht="18">
      <c r="B52" s="135" t="s">
        <v>123</v>
      </c>
      <c r="C52" s="94">
        <v>5.0510000000000002</v>
      </c>
      <c r="D52" s="94">
        <v>75.236000000000004</v>
      </c>
      <c r="E52" s="94">
        <v>49.215000000000003</v>
      </c>
      <c r="F52" s="94"/>
      <c r="G52" s="94">
        <v>64.977000000000004</v>
      </c>
      <c r="H52" s="94">
        <v>147.83500000000001</v>
      </c>
      <c r="I52" s="155">
        <v>77.185000000000002</v>
      </c>
      <c r="J52" s="155">
        <v>38.588999999999999</v>
      </c>
      <c r="K52" s="155"/>
      <c r="L52" s="155"/>
      <c r="M52" s="155"/>
      <c r="N52" s="155"/>
    </row>
    <row r="53" spans="2:16" ht="18">
      <c r="B53" s="135" t="s">
        <v>124</v>
      </c>
      <c r="C53" s="94"/>
      <c r="D53" s="94"/>
      <c r="E53" s="94"/>
      <c r="F53" s="94"/>
      <c r="G53" s="94"/>
      <c r="H53" s="94"/>
      <c r="I53" s="94"/>
      <c r="J53" s="94"/>
      <c r="K53" s="94"/>
      <c r="L53" s="94"/>
      <c r="M53" s="94"/>
      <c r="N53" s="94"/>
    </row>
    <row r="54" spans="2:16" ht="25.5">
      <c r="B54" s="541" t="s">
        <v>167</v>
      </c>
      <c r="C54" s="99">
        <f>(C51+C52+D50)/C43</f>
        <v>0.27732696050604172</v>
      </c>
      <c r="D54" s="99">
        <f t="shared" ref="D54:N54" si="69">(D51+D52+E50)/D43</f>
        <v>0.44895044319097499</v>
      </c>
      <c r="E54" s="99">
        <f t="shared" si="69"/>
        <v>0.80735483475381675</v>
      </c>
      <c r="F54" s="99">
        <f t="shared" si="69"/>
        <v>0.90217786503781272</v>
      </c>
      <c r="G54" s="99">
        <f t="shared" si="69"/>
        <v>0.12977040324136599</v>
      </c>
      <c r="H54" s="99">
        <f t="shared" si="69"/>
        <v>0.54876649156568014</v>
      </c>
      <c r="I54" s="99">
        <f t="shared" si="69"/>
        <v>0.80545161537485654</v>
      </c>
      <c r="J54" s="99" t="e">
        <f t="shared" si="69"/>
        <v>#DIV/0!</v>
      </c>
      <c r="K54" s="99" t="e">
        <f t="shared" si="69"/>
        <v>#DIV/0!</v>
      </c>
      <c r="L54" s="99" t="e">
        <f t="shared" si="69"/>
        <v>#DIV/0!</v>
      </c>
      <c r="M54" s="99" t="e">
        <f t="shared" si="69"/>
        <v>#DIV/0!</v>
      </c>
      <c r="N54" s="99" t="e">
        <f t="shared" si="69"/>
        <v>#DIV/0!</v>
      </c>
    </row>
    <row r="55" spans="2:16" ht="28.5">
      <c r="B55" s="540" t="s">
        <v>303</v>
      </c>
      <c r="C55" s="54">
        <f>AVERAGE(G54:I54)</f>
        <v>0.49466283672730088</v>
      </c>
      <c r="D55" s="54"/>
      <c r="E55" s="54"/>
      <c r="F55" s="54"/>
      <c r="G55" s="54"/>
      <c r="H55" s="54"/>
      <c r="I55" s="54"/>
      <c r="J55" s="54"/>
      <c r="K55" s="54"/>
      <c r="L55" s="54"/>
      <c r="M55" s="54"/>
      <c r="N55" s="54"/>
    </row>
    <row r="56" spans="2:16" ht="25.5">
      <c r="B56" s="541" t="s">
        <v>299</v>
      </c>
      <c r="C56" s="99">
        <f t="shared" ref="C56:I56" si="70">+C48/C21</f>
        <v>2.5031686746987948E-2</v>
      </c>
      <c r="D56" s="99">
        <f t="shared" si="70"/>
        <v>2.1640481927710842E-2</v>
      </c>
      <c r="E56" s="99">
        <f t="shared" si="70"/>
        <v>2.4887849285623972E-2</v>
      </c>
      <c r="F56" s="99">
        <f t="shared" si="70"/>
        <v>4.0068862275449098E-2</v>
      </c>
      <c r="G56" s="99">
        <f t="shared" si="70"/>
        <v>7.6368780487804863E-2</v>
      </c>
      <c r="H56" s="99">
        <f t="shared" si="70"/>
        <v>7.3860588235294122E-2</v>
      </c>
      <c r="I56" s="99">
        <f t="shared" si="70"/>
        <v>4.2220800000000003E-2</v>
      </c>
      <c r="J56" s="99" t="e">
        <f t="shared" ref="J56:N56" si="71">+J48/J21</f>
        <v>#DIV/0!</v>
      </c>
      <c r="K56" s="99" t="e">
        <f t="shared" si="71"/>
        <v>#DIV/0!</v>
      </c>
      <c r="L56" s="99" t="e">
        <f t="shared" si="71"/>
        <v>#DIV/0!</v>
      </c>
      <c r="M56" s="99" t="e">
        <f t="shared" si="71"/>
        <v>#DIV/0!</v>
      </c>
      <c r="N56" s="99" t="e">
        <f t="shared" si="71"/>
        <v>#DIV/0!</v>
      </c>
    </row>
    <row r="57" spans="2:16" ht="25.5">
      <c r="B57" s="542" t="s">
        <v>384</v>
      </c>
      <c r="C57" s="534">
        <f>AVERAGE(G56:I56)</f>
        <v>6.4150056241032996E-2</v>
      </c>
      <c r="D57" s="534"/>
      <c r="E57" s="534"/>
      <c r="F57" s="534"/>
      <c r="G57" s="534"/>
      <c r="H57" s="534"/>
      <c r="I57" s="534"/>
      <c r="J57" s="534"/>
      <c r="K57" s="534"/>
      <c r="L57" s="534"/>
      <c r="M57" s="534"/>
      <c r="N57" s="534"/>
      <c r="O57" s="534"/>
      <c r="P57" s="534"/>
    </row>
    <row r="58" spans="2:16" ht="25.5">
      <c r="B58" s="543" t="s">
        <v>176</v>
      </c>
      <c r="C58" s="355">
        <f>+C45*(100%-C54)</f>
        <v>8.8844823644439144E-2</v>
      </c>
      <c r="D58" s="355">
        <f t="shared" ref="D58:I58" si="72">+D45*(100%-D54)</f>
        <v>7.652137364827831E-2</v>
      </c>
      <c r="E58" s="355">
        <f t="shared" si="72"/>
        <v>1.6444242141624706E-2</v>
      </c>
      <c r="F58" s="549">
        <f t="shared" si="72"/>
        <v>6.1296959083182948E-3</v>
      </c>
      <c r="G58" s="355">
        <f t="shared" si="72"/>
        <v>0.10701035983932039</v>
      </c>
      <c r="H58" s="355">
        <f t="shared" si="72"/>
        <v>4.7889434147293679E-2</v>
      </c>
      <c r="I58" s="355">
        <f t="shared" si="72"/>
        <v>5.3522073231504824E-3</v>
      </c>
      <c r="J58" s="355" t="e">
        <f t="shared" ref="J58:N58" si="73">+J45*(100%-J54)</f>
        <v>#DIV/0!</v>
      </c>
      <c r="K58" s="355" t="e">
        <f t="shared" si="73"/>
        <v>#DIV/0!</v>
      </c>
      <c r="L58" s="355" t="e">
        <f t="shared" si="73"/>
        <v>#DIV/0!</v>
      </c>
      <c r="M58" s="355" t="e">
        <f t="shared" si="73"/>
        <v>#DIV/0!</v>
      </c>
      <c r="N58" s="355" t="e">
        <f t="shared" si="73"/>
        <v>#DIV/0!</v>
      </c>
    </row>
    <row r="59" spans="2:16" ht="25.5">
      <c r="B59" s="542" t="s">
        <v>306</v>
      </c>
      <c r="C59" s="534">
        <f>AVERAGE(G58:I58)</f>
        <v>5.341733376992152E-2</v>
      </c>
      <c r="D59" s="534"/>
      <c r="E59" s="534"/>
      <c r="F59" s="534"/>
      <c r="G59" s="534"/>
      <c r="H59" s="534"/>
      <c r="I59" s="534"/>
      <c r="J59" s="534"/>
      <c r="K59" s="534"/>
      <c r="L59" s="534"/>
      <c r="M59" s="534"/>
      <c r="N59" s="534"/>
      <c r="O59" s="534"/>
    </row>
    <row r="61" spans="2:16">
      <c r="B61" s="75" t="s">
        <v>307</v>
      </c>
    </row>
    <row r="62" spans="2:16" ht="14.65" thickBot="1"/>
    <row r="63" spans="2:16">
      <c r="B63" s="57" t="s">
        <v>385</v>
      </c>
      <c r="C63" s="158">
        <v>2017</v>
      </c>
      <c r="D63" s="158">
        <v>2018</v>
      </c>
      <c r="E63" s="158">
        <v>2019</v>
      </c>
      <c r="F63" s="158">
        <v>2020</v>
      </c>
      <c r="G63" s="158">
        <v>2021</v>
      </c>
      <c r="H63" s="158">
        <v>2022</v>
      </c>
      <c r="I63" s="158">
        <v>2023</v>
      </c>
      <c r="J63" s="158">
        <v>2024</v>
      </c>
      <c r="K63" s="158">
        <v>2025</v>
      </c>
      <c r="L63" s="158">
        <v>2026</v>
      </c>
      <c r="M63" s="158">
        <v>2027</v>
      </c>
      <c r="N63" s="158">
        <v>2028</v>
      </c>
    </row>
    <row r="64" spans="2:16">
      <c r="B64" s="157" t="s">
        <v>309</v>
      </c>
      <c r="C64" s="66"/>
      <c r="D64" s="66"/>
      <c r="E64" s="66"/>
      <c r="F64" s="66"/>
      <c r="G64" s="66"/>
      <c r="H64" s="66"/>
      <c r="I64" s="66"/>
      <c r="J64" s="66"/>
      <c r="K64" s="66"/>
      <c r="L64" s="66"/>
      <c r="M64" s="66"/>
      <c r="N64" s="66"/>
    </row>
    <row r="65" spans="2:14">
      <c r="B65" s="58" t="s">
        <v>310</v>
      </c>
      <c r="C65" s="64">
        <v>868739000</v>
      </c>
      <c r="D65" s="64">
        <v>822522000</v>
      </c>
      <c r="E65" s="64">
        <v>755637000</v>
      </c>
      <c r="F65" s="159">
        <v>716540000</v>
      </c>
      <c r="G65" s="64">
        <v>1177957000</v>
      </c>
      <c r="H65" s="141">
        <v>1377794000</v>
      </c>
      <c r="I65" s="64">
        <v>1329028000</v>
      </c>
      <c r="J65" s="64"/>
      <c r="K65" s="64"/>
      <c r="L65" s="64"/>
      <c r="M65" s="64"/>
      <c r="N65" s="64"/>
    </row>
    <row r="66" spans="2:14">
      <c r="B66" s="59" t="s">
        <v>386</v>
      </c>
      <c r="C66" s="66">
        <v>242853000</v>
      </c>
      <c r="D66" s="66">
        <v>192584000</v>
      </c>
      <c r="E66" s="66">
        <v>199824000</v>
      </c>
      <c r="F66" s="66">
        <v>210800000</v>
      </c>
      <c r="G66" s="66">
        <v>155170000</v>
      </c>
      <c r="H66" s="160">
        <v>170235000</v>
      </c>
      <c r="I66" s="66">
        <v>375165000</v>
      </c>
      <c r="J66" s="66"/>
      <c r="K66" s="66"/>
      <c r="L66" s="66"/>
      <c r="M66" s="66"/>
      <c r="N66" s="66"/>
    </row>
    <row r="67" spans="2:14">
      <c r="B67" s="59" t="s">
        <v>387</v>
      </c>
      <c r="C67" s="66"/>
      <c r="D67" s="66"/>
      <c r="E67" s="66"/>
      <c r="F67" s="66"/>
      <c r="G67" s="66"/>
      <c r="H67" s="160"/>
      <c r="I67" s="66"/>
      <c r="J67" s="66"/>
      <c r="K67" s="66"/>
      <c r="L67" s="66"/>
      <c r="M67" s="66"/>
      <c r="N67" s="66"/>
    </row>
    <row r="68" spans="2:14">
      <c r="B68" s="59" t="s">
        <v>388</v>
      </c>
      <c r="C68" s="66"/>
      <c r="D68" s="66"/>
      <c r="E68" s="66"/>
      <c r="F68" s="66"/>
      <c r="G68" s="66"/>
      <c r="H68" s="160"/>
      <c r="I68" s="66"/>
      <c r="J68" s="66"/>
      <c r="K68" s="66"/>
      <c r="L68" s="66"/>
      <c r="M68" s="66"/>
      <c r="N68" s="66"/>
    </row>
    <row r="69" spans="2:14">
      <c r="B69" s="59" t="s">
        <v>389</v>
      </c>
      <c r="C69" s="66">
        <v>131664000</v>
      </c>
      <c r="D69" s="66">
        <v>143652000</v>
      </c>
      <c r="E69" s="66">
        <v>139757000</v>
      </c>
      <c r="F69" s="66">
        <v>125783000</v>
      </c>
      <c r="G69" s="66">
        <v>217338000</v>
      </c>
      <c r="H69" s="160">
        <v>207571000</v>
      </c>
      <c r="I69" s="66">
        <v>238094000</v>
      </c>
      <c r="J69" s="66"/>
      <c r="K69" s="66"/>
      <c r="L69" s="66"/>
      <c r="M69" s="66"/>
      <c r="N69" s="66"/>
    </row>
    <row r="70" spans="2:14">
      <c r="B70" s="59" t="s">
        <v>390</v>
      </c>
      <c r="C70" s="66"/>
      <c r="D70" s="66"/>
      <c r="E70" s="66"/>
      <c r="F70" s="66"/>
      <c r="G70" s="66"/>
      <c r="H70" s="160"/>
      <c r="I70" s="66"/>
      <c r="J70" s="66"/>
      <c r="K70" s="66"/>
      <c r="L70" s="66"/>
      <c r="M70" s="66"/>
      <c r="N70" s="66"/>
    </row>
    <row r="71" spans="2:14">
      <c r="B71" s="59" t="s">
        <v>391</v>
      </c>
      <c r="C71" s="161">
        <v>298975000</v>
      </c>
      <c r="D71" s="66">
        <v>448787000</v>
      </c>
      <c r="E71" s="66">
        <v>389579000</v>
      </c>
      <c r="F71" s="66">
        <v>351206000</v>
      </c>
      <c r="G71" s="66">
        <v>786545000</v>
      </c>
      <c r="H71" s="160">
        <v>961044000</v>
      </c>
      <c r="I71" s="66">
        <v>668361000</v>
      </c>
      <c r="J71" s="66"/>
      <c r="K71" s="66"/>
      <c r="L71" s="66"/>
      <c r="M71" s="66"/>
      <c r="N71" s="66"/>
    </row>
    <row r="72" spans="2:14">
      <c r="B72" s="59" t="s">
        <v>392</v>
      </c>
      <c r="C72" s="66"/>
      <c r="D72" s="66"/>
      <c r="E72" s="66"/>
      <c r="F72" s="66"/>
      <c r="G72" s="66"/>
      <c r="H72" s="160"/>
      <c r="I72" s="66"/>
      <c r="J72" s="66"/>
      <c r="K72" s="66"/>
      <c r="L72" s="66"/>
      <c r="M72" s="66"/>
      <c r="N72" s="66"/>
    </row>
    <row r="73" spans="2:14">
      <c r="B73" s="59" t="s">
        <v>318</v>
      </c>
      <c r="C73" s="66">
        <f t="shared" ref="C73:I73" si="74">+C65-C66-C71-C72-C70-C69-C68-C67</f>
        <v>195247000</v>
      </c>
      <c r="D73" s="66">
        <f t="shared" si="74"/>
        <v>37499000</v>
      </c>
      <c r="E73" s="66">
        <f t="shared" si="74"/>
        <v>26477000</v>
      </c>
      <c r="F73" s="66">
        <f t="shared" si="74"/>
        <v>28751000</v>
      </c>
      <c r="G73" s="66">
        <f t="shared" si="74"/>
        <v>18904000</v>
      </c>
      <c r="H73" s="66">
        <f t="shared" si="74"/>
        <v>38944000</v>
      </c>
      <c r="I73" s="66">
        <f t="shared" si="74"/>
        <v>47408000</v>
      </c>
      <c r="J73" s="66"/>
      <c r="K73" s="66"/>
      <c r="L73" s="66"/>
      <c r="M73" s="66"/>
      <c r="N73" s="66"/>
    </row>
    <row r="74" spans="2:14">
      <c r="B74" s="58" t="s">
        <v>319</v>
      </c>
      <c r="C74" s="64">
        <v>571475000</v>
      </c>
      <c r="D74" s="64">
        <v>538583000</v>
      </c>
      <c r="E74" s="64">
        <v>563546000</v>
      </c>
      <c r="F74" s="159">
        <v>593337000</v>
      </c>
      <c r="G74" s="64">
        <v>569945000</v>
      </c>
      <c r="H74" s="141">
        <v>597099000</v>
      </c>
      <c r="I74" s="64">
        <v>639952000</v>
      </c>
      <c r="J74" s="64"/>
      <c r="K74" s="64"/>
      <c r="L74" s="64"/>
      <c r="M74" s="64"/>
      <c r="N74" s="64"/>
    </row>
    <row r="75" spans="2:14">
      <c r="B75" s="59" t="s">
        <v>393</v>
      </c>
      <c r="C75" s="66"/>
      <c r="D75" s="66"/>
      <c r="E75" s="66">
        <v>301000</v>
      </c>
      <c r="F75" s="66">
        <v>190000</v>
      </c>
      <c r="G75" s="66">
        <v>443000</v>
      </c>
      <c r="H75" s="160">
        <v>24951000</v>
      </c>
      <c r="I75" s="66">
        <v>97249000</v>
      </c>
      <c r="J75" s="66"/>
      <c r="K75" s="66"/>
      <c r="L75" s="66"/>
      <c r="M75" s="66"/>
      <c r="N75" s="66"/>
    </row>
    <row r="76" spans="2:14">
      <c r="B76" s="59" t="s">
        <v>394</v>
      </c>
      <c r="C76" s="66"/>
      <c r="D76" s="66"/>
      <c r="E76" s="66"/>
      <c r="F76" s="66"/>
      <c r="G76" s="66"/>
      <c r="H76" s="160"/>
      <c r="I76" s="66"/>
      <c r="J76" s="66"/>
      <c r="K76" s="66"/>
      <c r="L76" s="66"/>
      <c r="M76" s="66"/>
      <c r="N76" s="66"/>
    </row>
    <row r="77" spans="2:14">
      <c r="B77" s="59" t="s">
        <v>395</v>
      </c>
      <c r="C77" s="66"/>
      <c r="D77" s="66"/>
      <c r="E77" s="66"/>
      <c r="F77" s="66"/>
      <c r="G77" s="66"/>
      <c r="H77" s="160"/>
      <c r="I77" s="66"/>
      <c r="J77" s="66"/>
      <c r="K77" s="66"/>
      <c r="L77" s="66"/>
      <c r="M77" s="66"/>
      <c r="N77" s="66"/>
    </row>
    <row r="78" spans="2:14">
      <c r="B78" s="59" t="s">
        <v>396</v>
      </c>
      <c r="C78" s="66"/>
      <c r="D78" s="66"/>
      <c r="E78" s="66"/>
      <c r="F78" s="66"/>
      <c r="G78" s="66"/>
      <c r="H78" s="160"/>
      <c r="I78" s="66"/>
      <c r="J78" s="66"/>
      <c r="K78" s="66"/>
      <c r="L78" s="66"/>
      <c r="M78" s="66"/>
      <c r="N78" s="66"/>
    </row>
    <row r="79" spans="2:14">
      <c r="B79" s="59" t="s">
        <v>397</v>
      </c>
      <c r="C79" s="66"/>
      <c r="D79" s="66"/>
      <c r="E79" s="66"/>
      <c r="F79" s="66"/>
      <c r="G79" s="66"/>
      <c r="H79" s="160"/>
      <c r="I79" s="66"/>
      <c r="J79" s="66"/>
      <c r="K79" s="66"/>
      <c r="L79" s="66"/>
      <c r="M79" s="66"/>
      <c r="N79" s="66"/>
    </row>
    <row r="80" spans="2:14">
      <c r="B80" s="59" t="s">
        <v>398</v>
      </c>
      <c r="C80" s="66">
        <v>425584000</v>
      </c>
      <c r="D80" s="66">
        <v>430915000</v>
      </c>
      <c r="E80" s="66">
        <v>456828000</v>
      </c>
      <c r="F80" s="66">
        <v>454821000</v>
      </c>
      <c r="G80" s="66">
        <v>455652000</v>
      </c>
      <c r="H80" s="160">
        <v>466744000</v>
      </c>
      <c r="I80" s="66">
        <v>460884000</v>
      </c>
      <c r="J80" s="66"/>
      <c r="K80" s="66"/>
      <c r="L80" s="66"/>
      <c r="M80" s="66"/>
      <c r="N80" s="66"/>
    </row>
    <row r="81" spans="2:14">
      <c r="B81" s="59" t="s">
        <v>399</v>
      </c>
      <c r="C81" s="66"/>
      <c r="D81" s="66"/>
      <c r="E81" s="66"/>
      <c r="F81" s="66"/>
      <c r="G81" s="66"/>
      <c r="H81" s="160"/>
      <c r="I81" s="66"/>
      <c r="J81" s="66"/>
      <c r="K81" s="66"/>
      <c r="L81" s="66"/>
      <c r="M81" s="66"/>
      <c r="N81" s="66"/>
    </row>
    <row r="82" spans="2:14">
      <c r="B82" s="59" t="s">
        <v>400</v>
      </c>
      <c r="C82" s="66"/>
      <c r="D82" s="66"/>
      <c r="E82" s="66"/>
      <c r="F82" s="161"/>
      <c r="G82" s="66"/>
      <c r="H82" s="160"/>
      <c r="I82" s="66"/>
      <c r="J82" s="66"/>
      <c r="K82" s="66"/>
      <c r="L82" s="66"/>
      <c r="M82" s="66"/>
      <c r="N82" s="66"/>
    </row>
    <row r="83" spans="2:14">
      <c r="B83" s="59" t="s">
        <v>401</v>
      </c>
      <c r="C83" s="66"/>
      <c r="D83" s="66"/>
      <c r="E83" s="66">
        <v>15086000</v>
      </c>
      <c r="F83" s="66">
        <v>18934000</v>
      </c>
      <c r="G83" s="66"/>
      <c r="H83" s="160"/>
      <c r="I83" s="66"/>
      <c r="J83" s="66"/>
      <c r="K83" s="66"/>
      <c r="L83" s="66"/>
      <c r="M83" s="66"/>
      <c r="N83" s="66"/>
    </row>
    <row r="84" spans="2:14">
      <c r="B84" s="59" t="s">
        <v>328</v>
      </c>
      <c r="C84" s="66">
        <f t="shared" ref="C84:I84" si="75">+C74-C81-C82-C80-C75-C83-C79-C78-C77-C76</f>
        <v>145891000</v>
      </c>
      <c r="D84" s="66">
        <f t="shared" si="75"/>
        <v>107668000</v>
      </c>
      <c r="E84" s="66">
        <f t="shared" si="75"/>
        <v>91331000</v>
      </c>
      <c r="F84" s="66">
        <f t="shared" si="75"/>
        <v>119392000</v>
      </c>
      <c r="G84" s="66">
        <f t="shared" si="75"/>
        <v>113850000</v>
      </c>
      <c r="H84" s="66">
        <f t="shared" si="75"/>
        <v>105404000</v>
      </c>
      <c r="I84" s="66">
        <f t="shared" si="75"/>
        <v>81819000</v>
      </c>
      <c r="J84" s="66"/>
      <c r="K84" s="66"/>
      <c r="L84" s="66"/>
      <c r="M84" s="66"/>
      <c r="N84" s="66"/>
    </row>
    <row r="85" spans="2:14" ht="14.65" thickBot="1">
      <c r="B85" s="60" t="s">
        <v>329</v>
      </c>
      <c r="C85" s="70">
        <f t="shared" ref="C85:I85" si="76">+C74+C65</f>
        <v>1440214000</v>
      </c>
      <c r="D85" s="70">
        <f t="shared" si="76"/>
        <v>1361105000</v>
      </c>
      <c r="E85" s="70">
        <f t="shared" si="76"/>
        <v>1319183000</v>
      </c>
      <c r="F85" s="70">
        <f t="shared" si="76"/>
        <v>1309877000</v>
      </c>
      <c r="G85" s="70">
        <f t="shared" si="76"/>
        <v>1747902000</v>
      </c>
      <c r="H85" s="162">
        <f t="shared" si="76"/>
        <v>1974893000</v>
      </c>
      <c r="I85" s="162">
        <f t="shared" si="76"/>
        <v>1968980000</v>
      </c>
      <c r="J85" s="70"/>
      <c r="K85" s="70"/>
      <c r="L85" s="70"/>
      <c r="M85" s="70"/>
      <c r="N85" s="70"/>
    </row>
    <row r="86" spans="2:14" ht="14.65" thickBot="1">
      <c r="B86" s="61"/>
      <c r="C86" s="72"/>
      <c r="D86" s="72"/>
      <c r="E86" s="72"/>
      <c r="F86" s="72"/>
      <c r="G86" s="72"/>
      <c r="H86" s="163"/>
      <c r="I86" s="72"/>
      <c r="J86" s="72"/>
      <c r="K86" s="72"/>
      <c r="L86" s="72"/>
      <c r="M86" s="72"/>
      <c r="N86" s="72"/>
    </row>
    <row r="87" spans="2:14">
      <c r="B87" s="57" t="s">
        <v>330</v>
      </c>
      <c r="C87" s="62"/>
      <c r="D87" s="62"/>
      <c r="E87" s="62"/>
      <c r="F87" s="62"/>
      <c r="G87" s="62"/>
      <c r="H87" s="164"/>
      <c r="I87" s="62"/>
      <c r="J87" s="62"/>
      <c r="K87" s="62"/>
      <c r="L87" s="62"/>
      <c r="M87" s="62"/>
      <c r="N87" s="62"/>
    </row>
    <row r="88" spans="2:14">
      <c r="B88" s="58" t="s">
        <v>310</v>
      </c>
      <c r="C88" s="64">
        <v>425717000</v>
      </c>
      <c r="D88" s="64">
        <v>309030000</v>
      </c>
      <c r="E88" s="64">
        <v>235900000</v>
      </c>
      <c r="F88" s="64">
        <v>201706000</v>
      </c>
      <c r="G88" s="64">
        <v>481807000</v>
      </c>
      <c r="H88" s="141">
        <v>616532000</v>
      </c>
      <c r="I88" s="64">
        <v>254501000</v>
      </c>
      <c r="J88" s="64"/>
      <c r="K88" s="64"/>
      <c r="L88" s="64"/>
      <c r="M88" s="64"/>
      <c r="N88" s="64"/>
    </row>
    <row r="89" spans="2:14">
      <c r="B89" s="59" t="s">
        <v>402</v>
      </c>
      <c r="C89" s="66"/>
      <c r="D89" s="66"/>
      <c r="E89" s="66"/>
      <c r="F89" s="66"/>
      <c r="G89" s="66">
        <v>224573000</v>
      </c>
      <c r="H89" s="160">
        <v>117677000</v>
      </c>
      <c r="I89" s="66">
        <v>5078000</v>
      </c>
      <c r="J89" s="66"/>
      <c r="K89" s="66"/>
      <c r="L89" s="66"/>
      <c r="M89" s="66"/>
      <c r="N89" s="66"/>
    </row>
    <row r="90" spans="2:14">
      <c r="B90" s="59" t="s">
        <v>403</v>
      </c>
      <c r="C90" s="66"/>
      <c r="D90" s="66"/>
      <c r="E90" s="66"/>
      <c r="F90" s="66"/>
      <c r="G90" s="66"/>
      <c r="H90" s="160"/>
      <c r="I90" s="66"/>
      <c r="J90" s="66"/>
      <c r="K90" s="66"/>
      <c r="L90" s="66"/>
      <c r="M90" s="66"/>
      <c r="N90" s="66"/>
    </row>
    <row r="91" spans="2:14">
      <c r="B91" s="59" t="s">
        <v>404</v>
      </c>
      <c r="C91" s="66"/>
      <c r="D91" s="66"/>
      <c r="E91" s="66"/>
      <c r="F91" s="66"/>
      <c r="G91" s="66"/>
      <c r="H91" s="160"/>
      <c r="I91" s="66"/>
      <c r="J91" s="66"/>
      <c r="K91" s="66"/>
      <c r="L91" s="66"/>
      <c r="M91" s="66"/>
      <c r="N91" s="66"/>
    </row>
    <row r="92" spans="2:14">
      <c r="B92" s="59" t="s">
        <v>405</v>
      </c>
      <c r="C92" s="66">
        <v>147346000</v>
      </c>
      <c r="D92" s="66">
        <v>154964000</v>
      </c>
      <c r="E92" s="66">
        <v>134022000</v>
      </c>
      <c r="F92" s="66">
        <v>147126000</v>
      </c>
      <c r="G92" s="66">
        <v>197646000</v>
      </c>
      <c r="H92" s="160">
        <v>447385000</v>
      </c>
      <c r="I92" s="66">
        <v>209832000</v>
      </c>
      <c r="J92" s="66"/>
      <c r="K92" s="66"/>
      <c r="L92" s="66"/>
      <c r="M92" s="66"/>
      <c r="N92" s="66"/>
    </row>
    <row r="93" spans="2:14">
      <c r="B93" s="59" t="s">
        <v>406</v>
      </c>
      <c r="C93" s="66"/>
      <c r="D93" s="66"/>
      <c r="E93" s="66"/>
      <c r="F93" s="66"/>
      <c r="G93" s="66"/>
      <c r="H93" s="160"/>
      <c r="I93" s="66"/>
      <c r="J93" s="66"/>
      <c r="K93" s="66"/>
      <c r="L93" s="66"/>
      <c r="M93" s="66"/>
      <c r="N93" s="66"/>
    </row>
    <row r="94" spans="2:14">
      <c r="B94" s="59" t="s">
        <v>407</v>
      </c>
      <c r="C94" s="66"/>
      <c r="D94" s="66"/>
      <c r="E94" s="66"/>
      <c r="F94" s="66"/>
      <c r="G94" s="66"/>
      <c r="H94" s="160"/>
      <c r="I94" s="66"/>
      <c r="J94" s="66"/>
      <c r="K94" s="66"/>
      <c r="L94" s="66"/>
      <c r="M94" s="66"/>
      <c r="N94" s="66"/>
    </row>
    <row r="95" spans="2:14">
      <c r="B95" s="59" t="s">
        <v>408</v>
      </c>
      <c r="C95" s="66"/>
      <c r="D95" s="66"/>
      <c r="E95" s="66"/>
      <c r="F95" s="66"/>
      <c r="G95" s="66"/>
      <c r="H95" s="160"/>
      <c r="I95" s="66"/>
      <c r="J95" s="66"/>
      <c r="K95" s="66"/>
      <c r="L95" s="66"/>
      <c r="M95" s="66"/>
      <c r="N95" s="66"/>
    </row>
    <row r="96" spans="2:14">
      <c r="B96" s="59" t="s">
        <v>409</v>
      </c>
      <c r="C96" s="66"/>
      <c r="D96" s="66"/>
      <c r="E96" s="66"/>
      <c r="F96" s="66"/>
      <c r="G96" s="66"/>
      <c r="H96" s="160"/>
      <c r="I96" s="66"/>
      <c r="J96" s="66"/>
      <c r="K96" s="66"/>
      <c r="L96" s="66"/>
      <c r="M96" s="66"/>
      <c r="N96" s="66"/>
    </row>
    <row r="97" spans="2:14">
      <c r="B97" s="59" t="s">
        <v>410</v>
      </c>
      <c r="C97" s="66">
        <f t="shared" ref="C97:I97" si="77">+C88-C89-C95-C96-C94-C93-C92-C91-C90</f>
        <v>278371000</v>
      </c>
      <c r="D97" s="66">
        <f t="shared" si="77"/>
        <v>154066000</v>
      </c>
      <c r="E97" s="66">
        <f t="shared" si="77"/>
        <v>101878000</v>
      </c>
      <c r="F97" s="66">
        <f t="shared" si="77"/>
        <v>54580000</v>
      </c>
      <c r="G97" s="66">
        <f t="shared" si="77"/>
        <v>59588000</v>
      </c>
      <c r="H97" s="66">
        <f t="shared" si="77"/>
        <v>51470000</v>
      </c>
      <c r="I97" s="66">
        <f t="shared" si="77"/>
        <v>39591000</v>
      </c>
      <c r="J97" s="66"/>
      <c r="K97" s="66"/>
      <c r="L97" s="66"/>
      <c r="M97" s="66"/>
      <c r="N97" s="66"/>
    </row>
    <row r="98" spans="2:14">
      <c r="B98" s="58" t="s">
        <v>319</v>
      </c>
      <c r="C98" s="64">
        <v>376814000</v>
      </c>
      <c r="D98" s="64">
        <v>351063000</v>
      </c>
      <c r="E98" s="64">
        <v>584745000</v>
      </c>
      <c r="F98" s="64">
        <v>554077000</v>
      </c>
      <c r="G98" s="64">
        <v>474367000</v>
      </c>
      <c r="H98" s="141">
        <v>511144000</v>
      </c>
      <c r="I98" s="64">
        <v>850396000</v>
      </c>
      <c r="J98" s="64"/>
      <c r="K98" s="64"/>
      <c r="L98" s="64"/>
      <c r="M98" s="64"/>
      <c r="N98" s="64"/>
    </row>
    <row r="99" spans="2:14">
      <c r="B99" s="59" t="s">
        <v>411</v>
      </c>
      <c r="C99" s="66"/>
      <c r="D99" s="66"/>
      <c r="E99" s="66"/>
      <c r="F99" s="66"/>
      <c r="G99" s="66"/>
      <c r="H99" s="160"/>
      <c r="I99" s="66"/>
      <c r="J99" s="66"/>
      <c r="K99" s="66"/>
      <c r="L99" s="66"/>
      <c r="M99" s="66"/>
      <c r="N99" s="66"/>
    </row>
    <row r="100" spans="2:14">
      <c r="B100" s="59" t="s">
        <v>412</v>
      </c>
      <c r="C100" s="66"/>
      <c r="D100" s="66"/>
      <c r="E100" s="66"/>
      <c r="F100" s="66"/>
      <c r="G100" s="66"/>
      <c r="H100" s="160"/>
      <c r="I100" s="66"/>
      <c r="J100" s="66"/>
      <c r="K100" s="66"/>
      <c r="L100" s="66"/>
      <c r="M100" s="66"/>
      <c r="N100" s="66"/>
    </row>
    <row r="101" spans="2:14">
      <c r="B101" s="59" t="s">
        <v>413</v>
      </c>
      <c r="C101" s="66"/>
      <c r="D101" s="66"/>
      <c r="E101" s="66"/>
      <c r="F101" s="66"/>
      <c r="G101" s="66"/>
      <c r="H101" s="160"/>
      <c r="I101" s="66"/>
      <c r="J101" s="66"/>
      <c r="K101" s="66"/>
      <c r="L101" s="66"/>
      <c r="M101" s="66"/>
      <c r="N101" s="66"/>
    </row>
    <row r="102" spans="2:14">
      <c r="B102" s="59" t="s">
        <v>414</v>
      </c>
      <c r="C102" s="66"/>
      <c r="D102" s="66"/>
      <c r="E102" s="66"/>
      <c r="F102" s="66"/>
      <c r="G102" s="66"/>
      <c r="H102" s="160"/>
      <c r="I102" s="66"/>
      <c r="J102" s="66"/>
      <c r="K102" s="66"/>
      <c r="L102" s="66"/>
      <c r="M102" s="66"/>
      <c r="N102" s="66"/>
    </row>
    <row r="103" spans="2:14">
      <c r="B103" s="59" t="s">
        <v>341</v>
      </c>
      <c r="C103" s="66">
        <f t="shared" ref="C103:I103" si="78">+C98-C99-C101-C102-C100</f>
        <v>376814000</v>
      </c>
      <c r="D103" s="66">
        <f t="shared" si="78"/>
        <v>351063000</v>
      </c>
      <c r="E103" s="66">
        <f t="shared" si="78"/>
        <v>584745000</v>
      </c>
      <c r="F103" s="66">
        <f t="shared" si="78"/>
        <v>554077000</v>
      </c>
      <c r="G103" s="66">
        <f t="shared" si="78"/>
        <v>474367000</v>
      </c>
      <c r="H103" s="66">
        <f t="shared" si="78"/>
        <v>511144000</v>
      </c>
      <c r="I103" s="66">
        <f t="shared" si="78"/>
        <v>850396000</v>
      </c>
      <c r="J103" s="66"/>
      <c r="K103" s="66"/>
      <c r="L103" s="66"/>
      <c r="M103" s="66"/>
      <c r="N103" s="66"/>
    </row>
    <row r="104" spans="2:14" ht="14.65" thickBot="1">
      <c r="B104" s="60" t="s">
        <v>342</v>
      </c>
      <c r="C104" s="70">
        <f t="shared" ref="C104:H104" si="79">+C98+C88</f>
        <v>802531000</v>
      </c>
      <c r="D104" s="70">
        <f t="shared" si="79"/>
        <v>660093000</v>
      </c>
      <c r="E104" s="70">
        <f t="shared" si="79"/>
        <v>820645000</v>
      </c>
      <c r="F104" s="70">
        <f t="shared" si="79"/>
        <v>755783000</v>
      </c>
      <c r="G104" s="70">
        <f t="shared" si="79"/>
        <v>956174000</v>
      </c>
      <c r="H104" s="162">
        <f t="shared" si="79"/>
        <v>1127676000</v>
      </c>
      <c r="I104" s="70">
        <v>1104897000</v>
      </c>
      <c r="J104" s="70"/>
      <c r="K104" s="70"/>
      <c r="L104" s="70"/>
      <c r="M104" s="70"/>
      <c r="N104" s="70"/>
    </row>
    <row r="105" spans="2:14" ht="14.65" thickBot="1">
      <c r="B105" s="61"/>
      <c r="C105" s="61"/>
      <c r="D105" s="61"/>
      <c r="E105" s="61"/>
      <c r="F105" s="61"/>
      <c r="G105" s="61"/>
      <c r="H105" s="61"/>
      <c r="I105" s="61"/>
      <c r="J105" s="61"/>
      <c r="K105" s="61"/>
      <c r="L105" s="61"/>
      <c r="M105" s="61"/>
      <c r="N105" s="61"/>
    </row>
    <row r="106" spans="2:14">
      <c r="B106" s="57" t="s">
        <v>343</v>
      </c>
      <c r="C106" s="62"/>
      <c r="D106" s="62"/>
      <c r="E106" s="62"/>
      <c r="F106" s="62"/>
      <c r="G106" s="62"/>
      <c r="H106" s="164"/>
      <c r="I106" s="62"/>
      <c r="J106" s="62"/>
      <c r="K106" s="62"/>
      <c r="L106" s="62"/>
      <c r="M106" s="62"/>
      <c r="N106" s="62"/>
    </row>
    <row r="107" spans="2:14">
      <c r="B107" s="59" t="s">
        <v>415</v>
      </c>
      <c r="C107" s="160">
        <v>501952000</v>
      </c>
      <c r="D107" s="160">
        <v>501952000</v>
      </c>
      <c r="E107" s="160">
        <v>501952000</v>
      </c>
      <c r="F107" s="160">
        <v>501952000</v>
      </c>
      <c r="G107" s="160">
        <v>501952000</v>
      </c>
      <c r="H107" s="160">
        <v>501952000</v>
      </c>
      <c r="I107" s="160">
        <v>501952000</v>
      </c>
      <c r="J107" s="160"/>
      <c r="K107" s="160"/>
      <c r="L107" s="160"/>
      <c r="M107" s="160"/>
      <c r="N107" s="160"/>
    </row>
    <row r="108" spans="2:14">
      <c r="B108" s="59" t="s">
        <v>416</v>
      </c>
      <c r="C108" s="66">
        <v>153748000</v>
      </c>
      <c r="D108" s="66">
        <v>211820000</v>
      </c>
      <c r="E108" s="66">
        <v>249363000</v>
      </c>
      <c r="F108" s="66">
        <v>269537000</v>
      </c>
      <c r="G108" s="66">
        <v>320183000</v>
      </c>
      <c r="H108" s="160">
        <v>359727000</v>
      </c>
      <c r="I108" s="66">
        <v>369979000</v>
      </c>
      <c r="J108" s="66"/>
      <c r="K108" s="66"/>
      <c r="L108" s="66"/>
      <c r="M108" s="66"/>
      <c r="N108" s="66"/>
    </row>
    <row r="109" spans="2:14">
      <c r="B109" s="59" t="s">
        <v>345</v>
      </c>
      <c r="C109" s="66">
        <v>-22460000</v>
      </c>
      <c r="D109" s="66">
        <v>-16799000</v>
      </c>
      <c r="E109" s="66">
        <v>-18269000</v>
      </c>
      <c r="F109" s="66">
        <v>-17136000</v>
      </c>
      <c r="G109" s="66">
        <v>-31734000</v>
      </c>
      <c r="H109" s="160">
        <v>-15764000</v>
      </c>
      <c r="I109" s="66">
        <v>-9074000</v>
      </c>
      <c r="J109" s="66"/>
      <c r="K109" s="66"/>
      <c r="L109" s="66"/>
      <c r="M109" s="66"/>
      <c r="N109" s="66"/>
    </row>
    <row r="110" spans="2:14">
      <c r="B110" s="59" t="s">
        <v>419</v>
      </c>
      <c r="C110" s="66">
        <v>4443000</v>
      </c>
      <c r="D110" s="66">
        <v>4039000</v>
      </c>
      <c r="E110" s="66">
        <v>1392000</v>
      </c>
      <c r="F110" s="66">
        <v>1447000</v>
      </c>
      <c r="G110" s="66">
        <v>1327000</v>
      </c>
      <c r="H110" s="160">
        <v>1302000</v>
      </c>
      <c r="I110" s="66">
        <v>1226000</v>
      </c>
      <c r="J110" s="66"/>
      <c r="K110" s="66"/>
      <c r="L110" s="66"/>
      <c r="M110" s="66"/>
      <c r="N110" s="66"/>
    </row>
    <row r="111" spans="2:14" ht="14.65" thickBot="1">
      <c r="B111" s="60" t="s">
        <v>420</v>
      </c>
      <c r="C111" s="70">
        <f t="shared" ref="C111:F111" si="80">+C107+C109+C108</f>
        <v>633240000</v>
      </c>
      <c r="D111" s="70">
        <f t="shared" si="80"/>
        <v>696973000</v>
      </c>
      <c r="E111" s="70">
        <f t="shared" si="80"/>
        <v>733046000</v>
      </c>
      <c r="F111" s="70">
        <f t="shared" si="80"/>
        <v>754353000</v>
      </c>
      <c r="G111" s="70">
        <f>+G107+G109+G108</f>
        <v>790401000</v>
      </c>
      <c r="H111" s="70">
        <f>+H107+H109+H108</f>
        <v>845915000</v>
      </c>
      <c r="I111" s="70">
        <f>+I107+I109+I108</f>
        <v>862857000</v>
      </c>
      <c r="J111" s="70"/>
      <c r="K111" s="70"/>
      <c r="L111" s="70"/>
      <c r="M111" s="70"/>
      <c r="N111" s="70"/>
    </row>
    <row r="112" spans="2:14" ht="14.65" thickBot="1">
      <c r="B112" s="60" t="s">
        <v>347</v>
      </c>
      <c r="C112" s="70">
        <f>+C111+C110</f>
        <v>637683000</v>
      </c>
      <c r="D112" s="70">
        <f t="shared" ref="D112:I112" si="81">+D111+D110</f>
        <v>701012000</v>
      </c>
      <c r="E112" s="70">
        <f t="shared" si="81"/>
        <v>734438000</v>
      </c>
      <c r="F112" s="70">
        <f t="shared" si="81"/>
        <v>755800000</v>
      </c>
      <c r="G112" s="70">
        <f t="shared" si="81"/>
        <v>791728000</v>
      </c>
      <c r="H112" s="70">
        <f t="shared" si="81"/>
        <v>847217000</v>
      </c>
      <c r="I112" s="70">
        <f t="shared" si="81"/>
        <v>864083000</v>
      </c>
      <c r="J112" s="70">
        <f t="shared" ref="J112:N112" si="82">+J111+J110</f>
        <v>0</v>
      </c>
      <c r="K112" s="70">
        <f t="shared" si="82"/>
        <v>0</v>
      </c>
      <c r="L112" s="70">
        <f t="shared" si="82"/>
        <v>0</v>
      </c>
      <c r="M112" s="70">
        <f t="shared" si="82"/>
        <v>0</v>
      </c>
      <c r="N112" s="70">
        <f t="shared" si="82"/>
        <v>0</v>
      </c>
    </row>
    <row r="114" spans="2:14" ht="14.65" thickBot="1">
      <c r="B114" s="75" t="s">
        <v>348</v>
      </c>
    </row>
    <row r="115" spans="2:14" ht="14.65" thickBot="1">
      <c r="B115" s="82" t="s">
        <v>308</v>
      </c>
      <c r="C115" s="88">
        <v>2017</v>
      </c>
      <c r="D115" s="88">
        <v>2018</v>
      </c>
      <c r="E115" s="88">
        <v>2019</v>
      </c>
      <c r="F115" s="88">
        <v>2020</v>
      </c>
      <c r="G115" s="88">
        <v>2021</v>
      </c>
      <c r="H115" s="88">
        <v>2022</v>
      </c>
      <c r="I115" s="88">
        <v>2023</v>
      </c>
      <c r="J115" s="88">
        <v>2024</v>
      </c>
      <c r="K115" s="88">
        <v>2025</v>
      </c>
      <c r="L115" s="88">
        <v>2026</v>
      </c>
      <c r="M115" s="88">
        <v>2027</v>
      </c>
      <c r="N115" s="88">
        <v>2028</v>
      </c>
    </row>
    <row r="116" spans="2:14">
      <c r="B116" s="83" t="s">
        <v>349</v>
      </c>
      <c r="C116" s="90">
        <v>857028000</v>
      </c>
      <c r="D116" s="90">
        <v>1192261000</v>
      </c>
      <c r="E116" s="90">
        <v>1170148000</v>
      </c>
      <c r="F116" s="90">
        <v>1051912000</v>
      </c>
      <c r="G116" s="90">
        <v>1453442000</v>
      </c>
      <c r="H116" s="90">
        <v>1883085000</v>
      </c>
      <c r="I116" s="90">
        <v>2475078000</v>
      </c>
      <c r="J116" s="90"/>
      <c r="K116" s="90"/>
      <c r="L116" s="90"/>
      <c r="M116" s="90"/>
      <c r="N116" s="90"/>
    </row>
    <row r="117" spans="2:14">
      <c r="B117" s="85" t="s">
        <v>534</v>
      </c>
      <c r="C117" s="66">
        <v>-661531000</v>
      </c>
      <c r="D117" s="66">
        <v>-966979000</v>
      </c>
      <c r="E117" s="66">
        <v>-1012274000</v>
      </c>
      <c r="F117" s="66">
        <v>-909997000</v>
      </c>
      <c r="G117" s="66">
        <v>-1219458000</v>
      </c>
      <c r="H117" s="66">
        <v>-1661731000</v>
      </c>
      <c r="I117" s="66">
        <v>-2316207000</v>
      </c>
      <c r="J117" s="66"/>
      <c r="K117" s="66"/>
      <c r="L117" s="66"/>
      <c r="M117" s="66"/>
      <c r="N117" s="66"/>
    </row>
    <row r="118" spans="2:14">
      <c r="B118" s="86" t="s">
        <v>422</v>
      </c>
      <c r="C118" s="64">
        <f t="shared" ref="C118:F118" si="83">+C116+C117</f>
        <v>195497000</v>
      </c>
      <c r="D118" s="64">
        <f>+D116+D117</f>
        <v>225282000</v>
      </c>
      <c r="E118" s="64">
        <f t="shared" si="83"/>
        <v>157874000</v>
      </c>
      <c r="F118" s="64">
        <f t="shared" si="83"/>
        <v>141915000</v>
      </c>
      <c r="G118" s="64">
        <f>+G116+G117</f>
        <v>233984000</v>
      </c>
      <c r="H118" s="64">
        <f t="shared" ref="H118:M118" si="84">+H116+H117</f>
        <v>221354000</v>
      </c>
      <c r="I118" s="64">
        <f t="shared" si="84"/>
        <v>158871000</v>
      </c>
      <c r="J118" s="64">
        <f t="shared" si="84"/>
        <v>0</v>
      </c>
      <c r="K118" s="64">
        <f t="shared" si="84"/>
        <v>0</v>
      </c>
      <c r="L118" s="64">
        <f t="shared" si="84"/>
        <v>0</v>
      </c>
      <c r="M118" s="64">
        <f t="shared" si="84"/>
        <v>0</v>
      </c>
      <c r="N118" s="64"/>
    </row>
    <row r="119" spans="2:14">
      <c r="B119" s="85" t="s">
        <v>592</v>
      </c>
      <c r="C119" s="117">
        <v>1332000</v>
      </c>
      <c r="D119" s="117">
        <v>1306000</v>
      </c>
      <c r="E119" s="117">
        <v>1198000</v>
      </c>
      <c r="F119" s="117">
        <v>2267000</v>
      </c>
      <c r="G119" s="117">
        <v>2788000</v>
      </c>
      <c r="H119" s="117">
        <v>9713000</v>
      </c>
      <c r="I119" s="117">
        <v>3042000</v>
      </c>
      <c r="J119" s="117"/>
      <c r="K119" s="117"/>
      <c r="L119" s="117"/>
      <c r="M119" s="117"/>
      <c r="N119" s="117"/>
    </row>
    <row r="120" spans="2:14">
      <c r="B120" s="85" t="s">
        <v>536</v>
      </c>
      <c r="C120" s="117">
        <v>-11307000</v>
      </c>
      <c r="D120" s="117">
        <v>-13327000</v>
      </c>
      <c r="E120" s="117">
        <v>-14229000</v>
      </c>
      <c r="F120" s="117">
        <v>-15963000</v>
      </c>
      <c r="G120" s="117">
        <v>-17690000</v>
      </c>
      <c r="H120" s="117">
        <v>-20671000</v>
      </c>
      <c r="I120" s="117">
        <v>-23455000</v>
      </c>
      <c r="J120" s="117"/>
      <c r="K120" s="117"/>
      <c r="L120" s="117"/>
      <c r="M120" s="117"/>
      <c r="N120" s="117"/>
    </row>
    <row r="121" spans="2:14">
      <c r="B121" s="85" t="s">
        <v>537</v>
      </c>
      <c r="C121" s="117">
        <v>-52765000</v>
      </c>
      <c r="D121" s="117">
        <v>-56727000</v>
      </c>
      <c r="E121" s="117">
        <v>-50523000</v>
      </c>
      <c r="F121" s="117">
        <v>-46347000</v>
      </c>
      <c r="G121" s="117">
        <v>-57591000</v>
      </c>
      <c r="H121" s="117">
        <v>-54117000</v>
      </c>
      <c r="I121" s="117">
        <v>-53891000</v>
      </c>
      <c r="J121" s="117"/>
      <c r="K121" s="117"/>
      <c r="L121" s="117"/>
      <c r="M121" s="117"/>
      <c r="N121" s="117"/>
    </row>
    <row r="122" spans="2:14">
      <c r="B122" s="85" t="s">
        <v>427</v>
      </c>
      <c r="C122" s="117">
        <f>-8331000+416000</f>
        <v>-7915000</v>
      </c>
      <c r="D122" s="117">
        <f>-8336000-1463000</f>
        <v>-9799000</v>
      </c>
      <c r="E122" s="117">
        <f>-7867000+10745000</f>
        <v>2878000</v>
      </c>
      <c r="F122" s="117">
        <f>-6600000-27000</f>
        <v>-6627000</v>
      </c>
      <c r="G122" s="117">
        <f>-6165000-2220000</f>
        <v>-8385000</v>
      </c>
      <c r="H122" s="117">
        <f>-7142000-1690000</f>
        <v>-8832000</v>
      </c>
      <c r="I122" s="117">
        <f>-7685000-10878000</f>
        <v>-18563000</v>
      </c>
      <c r="J122" s="117"/>
      <c r="K122" s="117"/>
      <c r="L122" s="117"/>
      <c r="M122" s="117"/>
      <c r="N122" s="117"/>
    </row>
    <row r="123" spans="2:14">
      <c r="B123" s="86" t="s">
        <v>428</v>
      </c>
      <c r="C123" s="64">
        <f t="shared" ref="C123:G123" si="85">+C118+C122+C119+C120+C121</f>
        <v>124842000</v>
      </c>
      <c r="D123" s="64">
        <f t="shared" si="85"/>
        <v>146735000</v>
      </c>
      <c r="E123" s="64">
        <f t="shared" si="85"/>
        <v>97198000</v>
      </c>
      <c r="F123" s="64">
        <f t="shared" si="85"/>
        <v>75245000</v>
      </c>
      <c r="G123" s="64">
        <f t="shared" si="85"/>
        <v>153106000</v>
      </c>
      <c r="H123" s="64">
        <f>+H118+H122+H119+H120+H121</f>
        <v>147447000</v>
      </c>
      <c r="I123" s="64">
        <f>+I118+I122+I119+I120+I121</f>
        <v>66004000</v>
      </c>
      <c r="J123" s="64">
        <f t="shared" ref="J123:M123" si="86">+J118+J122+J119+J120+J121</f>
        <v>0</v>
      </c>
      <c r="K123" s="64">
        <f t="shared" si="86"/>
        <v>0</v>
      </c>
      <c r="L123" s="64">
        <f t="shared" si="86"/>
        <v>0</v>
      </c>
      <c r="M123" s="64">
        <f t="shared" si="86"/>
        <v>0</v>
      </c>
      <c r="N123" s="64"/>
    </row>
    <row r="124" spans="2:14">
      <c r="B124" s="85" t="s">
        <v>429</v>
      </c>
      <c r="C124" s="66">
        <v>9439000</v>
      </c>
      <c r="D124" s="66">
        <v>10274000</v>
      </c>
      <c r="E124" s="66">
        <v>6640000</v>
      </c>
      <c r="F124" s="66">
        <v>1468000</v>
      </c>
      <c r="G124" s="131">
        <v>516000</v>
      </c>
      <c r="H124" s="131">
        <v>4166000</v>
      </c>
      <c r="I124" s="131">
        <v>16700000</v>
      </c>
      <c r="J124" s="131"/>
      <c r="K124" s="131"/>
      <c r="L124" s="131"/>
      <c r="M124" s="131"/>
      <c r="N124" s="131"/>
    </row>
    <row r="125" spans="2:14">
      <c r="B125" s="85" t="s">
        <v>430</v>
      </c>
      <c r="C125" s="66">
        <v>-23067000</v>
      </c>
      <c r="D125" s="66">
        <v>-21922000</v>
      </c>
      <c r="E125" s="66">
        <v>-19094000</v>
      </c>
      <c r="F125" s="66">
        <v>-13596000</v>
      </c>
      <c r="G125" s="131">
        <v>-13868000</v>
      </c>
      <c r="H125" s="131">
        <v>-24779000</v>
      </c>
      <c r="I125" s="131">
        <v>-54222000</v>
      </c>
      <c r="J125" s="131"/>
      <c r="K125" s="131"/>
      <c r="L125" s="131"/>
      <c r="M125" s="131"/>
      <c r="N125" s="131"/>
    </row>
    <row r="126" spans="2:14">
      <c r="B126" s="85" t="s">
        <v>431</v>
      </c>
      <c r="C126" s="66">
        <v>-1932000</v>
      </c>
      <c r="D126" s="66">
        <v>-982000</v>
      </c>
      <c r="E126" s="66"/>
      <c r="F126" s="66"/>
      <c r="G126" s="131">
        <v>-1801000</v>
      </c>
      <c r="H126" s="131">
        <v>1495000</v>
      </c>
      <c r="I126" s="131">
        <v>-1912000</v>
      </c>
      <c r="J126" s="131"/>
      <c r="K126" s="131"/>
      <c r="L126" s="131"/>
      <c r="M126" s="131"/>
      <c r="N126" s="131"/>
    </row>
    <row r="127" spans="2:14">
      <c r="B127" s="85" t="s">
        <v>432</v>
      </c>
      <c r="C127" s="66">
        <v>-2699000</v>
      </c>
      <c r="D127" s="66">
        <v>-1365000</v>
      </c>
      <c r="E127" s="66">
        <v>-1090000</v>
      </c>
      <c r="F127" s="66">
        <v>415000</v>
      </c>
      <c r="G127" s="131"/>
      <c r="H127" s="131"/>
      <c r="I127" s="131"/>
      <c r="J127" s="131"/>
      <c r="K127" s="131"/>
      <c r="L127" s="131"/>
      <c r="M127" s="131"/>
      <c r="N127" s="131"/>
    </row>
    <row r="128" spans="2:14">
      <c r="B128" s="85" t="s">
        <v>433</v>
      </c>
      <c r="C128" s="66"/>
      <c r="D128" s="66"/>
      <c r="E128" s="66"/>
      <c r="F128" s="66"/>
      <c r="G128" s="131"/>
      <c r="H128" s="131"/>
      <c r="I128" s="131"/>
      <c r="J128" s="131"/>
      <c r="K128" s="131"/>
      <c r="L128" s="131"/>
      <c r="M128" s="131"/>
      <c r="N128" s="131"/>
    </row>
    <row r="129" spans="2:14">
      <c r="B129" s="86" t="s">
        <v>362</v>
      </c>
      <c r="C129" s="64">
        <f t="shared" ref="C129:E129" si="87">+C123+C124+C125+C126+C127+C128</f>
        <v>106583000</v>
      </c>
      <c r="D129" s="64">
        <f t="shared" si="87"/>
        <v>132740000</v>
      </c>
      <c r="E129" s="64">
        <f t="shared" si="87"/>
        <v>83654000</v>
      </c>
      <c r="F129" s="64">
        <f>+F123+F124+F125+F126+F127+F128</f>
        <v>63532000</v>
      </c>
      <c r="G129" s="64">
        <f t="shared" ref="G129:I129" si="88">+G123+G124+G125+G126+G127+G128</f>
        <v>137953000</v>
      </c>
      <c r="H129" s="64">
        <f t="shared" si="88"/>
        <v>128329000</v>
      </c>
      <c r="I129" s="64">
        <f t="shared" si="88"/>
        <v>26570000</v>
      </c>
      <c r="J129" s="64"/>
      <c r="K129" s="64"/>
      <c r="L129" s="64"/>
      <c r="M129" s="64"/>
      <c r="N129" s="64"/>
    </row>
    <row r="130" spans="2:14">
      <c r="B130" s="85" t="s">
        <v>363</v>
      </c>
      <c r="C130" s="66">
        <v>-27709000</v>
      </c>
      <c r="D130" s="66">
        <v>-34792000</v>
      </c>
      <c r="E130" s="66">
        <v>-20445000</v>
      </c>
      <c r="F130" s="66">
        <v>-15767000</v>
      </c>
      <c r="G130" s="91">
        <v>-39472000</v>
      </c>
      <c r="H130" s="91">
        <v>-37223000</v>
      </c>
      <c r="I130" s="91">
        <v>-1754000</v>
      </c>
      <c r="J130" s="91"/>
      <c r="K130" s="91"/>
      <c r="L130" s="91"/>
      <c r="M130" s="91"/>
      <c r="N130" s="91"/>
    </row>
    <row r="131" spans="2:14">
      <c r="B131" s="84" t="s">
        <v>365</v>
      </c>
      <c r="C131" s="130">
        <f t="shared" ref="C131:G131" si="89">+C129+C130</f>
        <v>78874000</v>
      </c>
      <c r="D131" s="130">
        <f t="shared" si="89"/>
        <v>97948000</v>
      </c>
      <c r="E131" s="130">
        <f t="shared" si="89"/>
        <v>63209000</v>
      </c>
      <c r="F131" s="130">
        <f t="shared" si="89"/>
        <v>47765000</v>
      </c>
      <c r="G131" s="130">
        <f t="shared" si="89"/>
        <v>98481000</v>
      </c>
      <c r="H131" s="130">
        <f>+H129+H130</f>
        <v>91106000</v>
      </c>
      <c r="I131" s="130">
        <f>+I129+I130</f>
        <v>24816000</v>
      </c>
      <c r="J131" s="130">
        <f t="shared" ref="J131:M131" si="90">+J129+J130</f>
        <v>0</v>
      </c>
      <c r="K131" s="130">
        <f t="shared" si="90"/>
        <v>0</v>
      </c>
      <c r="L131" s="130">
        <f t="shared" si="90"/>
        <v>0</v>
      </c>
      <c r="M131" s="130">
        <f t="shared" si="90"/>
        <v>0</v>
      </c>
      <c r="N131" s="130"/>
    </row>
    <row r="132" spans="2:14" ht="28.5">
      <c r="B132" s="87" t="s">
        <v>435</v>
      </c>
      <c r="C132" s="66">
        <v>1024000</v>
      </c>
      <c r="D132" s="66">
        <v>1163000</v>
      </c>
      <c r="E132" s="66">
        <v>636000</v>
      </c>
      <c r="F132" s="66">
        <v>496000</v>
      </c>
      <c r="G132" s="91">
        <v>1287000</v>
      </c>
      <c r="H132" s="91">
        <v>1329000</v>
      </c>
      <c r="I132" s="91">
        <v>1078000</v>
      </c>
      <c r="J132" s="91"/>
      <c r="K132" s="91"/>
      <c r="L132" s="91"/>
      <c r="M132" s="91"/>
      <c r="N132" s="91"/>
    </row>
    <row r="133" spans="2:14">
      <c r="B133" s="84" t="s">
        <v>436</v>
      </c>
      <c r="C133" s="66">
        <f>+C131-C132</f>
        <v>77850000</v>
      </c>
      <c r="D133" s="66">
        <f t="shared" ref="D133:I133" si="91">+D131-D132</f>
        <v>96785000</v>
      </c>
      <c r="E133" s="66">
        <f t="shared" si="91"/>
        <v>62573000</v>
      </c>
      <c r="F133" s="66">
        <f t="shared" si="91"/>
        <v>47269000</v>
      </c>
      <c r="G133" s="66">
        <f t="shared" si="91"/>
        <v>97194000</v>
      </c>
      <c r="H133" s="66">
        <f t="shared" si="91"/>
        <v>89777000</v>
      </c>
      <c r="I133" s="66">
        <f t="shared" si="91"/>
        <v>23738000</v>
      </c>
      <c r="J133" s="66">
        <f t="shared" ref="J133:N133" si="92">+J131-J132</f>
        <v>0</v>
      </c>
      <c r="K133" s="66">
        <f t="shared" si="92"/>
        <v>0</v>
      </c>
      <c r="L133" s="66">
        <f t="shared" si="92"/>
        <v>0</v>
      </c>
      <c r="M133" s="66">
        <f t="shared" si="92"/>
        <v>0</v>
      </c>
      <c r="N133" s="66">
        <f t="shared" si="92"/>
        <v>0</v>
      </c>
    </row>
    <row r="134" spans="2:14">
      <c r="B134" s="84" t="s">
        <v>366</v>
      </c>
      <c r="C134" s="111">
        <v>0.59</v>
      </c>
      <c r="D134" s="111">
        <v>0.73</v>
      </c>
      <c r="E134" s="111">
        <v>0.47</v>
      </c>
      <c r="F134" s="134">
        <v>0.36</v>
      </c>
      <c r="G134" s="134">
        <v>0.73</v>
      </c>
      <c r="H134" s="134">
        <v>0.68</v>
      </c>
      <c r="I134" s="134">
        <v>0.18</v>
      </c>
      <c r="J134" s="134"/>
      <c r="K134" s="134"/>
      <c r="L134" s="134"/>
      <c r="M134" s="134"/>
      <c r="N134" s="134"/>
    </row>
    <row r="136" spans="2:14" ht="14.65" thickBot="1">
      <c r="B136" s="75" t="s">
        <v>367</v>
      </c>
    </row>
    <row r="137" spans="2:14" ht="14.65" thickBot="1">
      <c r="B137" s="82" t="s">
        <v>308</v>
      </c>
      <c r="C137" s="88">
        <v>2017</v>
      </c>
      <c r="D137" s="88">
        <v>2018</v>
      </c>
      <c r="E137" s="88">
        <v>2019</v>
      </c>
      <c r="F137" s="88">
        <v>2020</v>
      </c>
      <c r="G137" s="88">
        <v>2021</v>
      </c>
      <c r="H137" s="88">
        <v>2022</v>
      </c>
      <c r="I137" s="88">
        <v>2023</v>
      </c>
      <c r="J137" s="88">
        <v>2024</v>
      </c>
      <c r="K137" s="88">
        <v>2025</v>
      </c>
      <c r="L137" s="88">
        <v>2026</v>
      </c>
      <c r="M137" s="88">
        <v>2027</v>
      </c>
      <c r="N137" s="88">
        <v>2028</v>
      </c>
    </row>
    <row r="138" spans="2:14">
      <c r="B138" s="83" t="s">
        <v>368</v>
      </c>
      <c r="C138" s="90">
        <v>135686000</v>
      </c>
      <c r="D138" s="90">
        <v>9624000</v>
      </c>
      <c r="E138" s="90">
        <v>114933000</v>
      </c>
      <c r="F138" s="90">
        <v>129463000</v>
      </c>
      <c r="G138" s="90">
        <v>-294770000</v>
      </c>
      <c r="H138" s="90">
        <v>213145000</v>
      </c>
      <c r="I138" s="90">
        <v>117859000</v>
      </c>
      <c r="J138" s="90"/>
      <c r="K138" s="90"/>
      <c r="L138" s="90"/>
      <c r="M138" s="90"/>
      <c r="N138" s="90"/>
    </row>
    <row r="139" spans="2:14">
      <c r="B139" s="86" t="s">
        <v>369</v>
      </c>
      <c r="C139" s="91">
        <v>56999000</v>
      </c>
      <c r="D139" s="91">
        <v>125411000</v>
      </c>
      <c r="E139" s="93">
        <v>-15879000</v>
      </c>
      <c r="F139" s="66">
        <v>-30257000</v>
      </c>
      <c r="G139" s="93">
        <v>-33344000</v>
      </c>
      <c r="H139" s="66">
        <v>-39848000</v>
      </c>
      <c r="I139" s="66">
        <v>-26853000</v>
      </c>
      <c r="J139" s="66"/>
      <c r="K139" s="66"/>
      <c r="L139" s="66"/>
      <c r="M139" s="66"/>
      <c r="N139" s="66"/>
    </row>
    <row r="140" spans="2:14">
      <c r="B140" s="85" t="s">
        <v>370</v>
      </c>
      <c r="C140" s="93">
        <v>-17779000</v>
      </c>
      <c r="D140" s="93">
        <v>-41961000</v>
      </c>
      <c r="E140" s="93">
        <v>-58191000</v>
      </c>
      <c r="F140" s="93">
        <v>-32467000</v>
      </c>
      <c r="G140" s="93">
        <v>-32198000</v>
      </c>
      <c r="H140" s="93">
        <v>-41794000</v>
      </c>
      <c r="I140" s="93">
        <v>-38491000</v>
      </c>
      <c r="J140" s="93"/>
      <c r="K140" s="93"/>
      <c r="L140" s="93"/>
      <c r="M140" s="93"/>
      <c r="N140" s="93"/>
    </row>
    <row r="141" spans="2:14">
      <c r="B141" s="86" t="s">
        <v>372</v>
      </c>
      <c r="C141" s="120">
        <v>-234543000</v>
      </c>
      <c r="D141" s="120">
        <v>-188247000</v>
      </c>
      <c r="E141" s="64">
        <v>-92922000</v>
      </c>
      <c r="F141" s="120">
        <v>-87781000</v>
      </c>
      <c r="G141" s="114">
        <v>275746000</v>
      </c>
      <c r="H141" s="120">
        <v>-156006000</v>
      </c>
      <c r="I141" s="120">
        <v>121253000</v>
      </c>
      <c r="J141" s="120"/>
      <c r="K141" s="120"/>
      <c r="L141" s="120"/>
      <c r="M141" s="120"/>
      <c r="N141" s="120"/>
    </row>
    <row r="142" spans="2:14">
      <c r="B142" s="85" t="s">
        <v>373</v>
      </c>
      <c r="C142" s="93">
        <v>-44100000</v>
      </c>
      <c r="D142" s="93">
        <v>-40943000</v>
      </c>
      <c r="E142" s="66">
        <v>-39603000</v>
      </c>
      <c r="F142" s="93">
        <v>-33742000</v>
      </c>
      <c r="G142" s="93">
        <v>-53645000</v>
      </c>
      <c r="H142" s="93">
        <v>-41079000</v>
      </c>
      <c r="I142" s="93">
        <v>-28073000</v>
      </c>
      <c r="J142" s="93"/>
      <c r="K142" s="93"/>
      <c r="L142" s="93"/>
      <c r="M142" s="93"/>
      <c r="N142" s="93"/>
    </row>
    <row r="143" spans="2:14">
      <c r="B143" s="85" t="s">
        <v>437</v>
      </c>
      <c r="C143" s="93">
        <v>-20355000</v>
      </c>
      <c r="D143" s="93">
        <v>-17129000</v>
      </c>
      <c r="E143" s="66">
        <v>-15070000</v>
      </c>
      <c r="F143" s="93">
        <v>-11322000</v>
      </c>
      <c r="G143" s="93">
        <v>-7298000</v>
      </c>
      <c r="H143" s="93">
        <v>-19695000</v>
      </c>
      <c r="I143" s="93">
        <v>-43938000</v>
      </c>
      <c r="J143" s="93"/>
      <c r="K143" s="93"/>
      <c r="L143" s="93"/>
      <c r="M143" s="93"/>
      <c r="N143" s="93"/>
    </row>
    <row r="144" spans="2:14">
      <c r="B144" s="86" t="s">
        <v>375</v>
      </c>
      <c r="C144" s="64">
        <v>242853000</v>
      </c>
      <c r="D144" s="64">
        <v>192584000</v>
      </c>
      <c r="E144" s="64">
        <v>199824000</v>
      </c>
      <c r="F144" s="64">
        <v>210800000</v>
      </c>
      <c r="G144" s="64">
        <v>155170000</v>
      </c>
      <c r="H144" s="64">
        <v>170235000</v>
      </c>
      <c r="I144" s="64">
        <v>375165000</v>
      </c>
      <c r="J144" s="64"/>
      <c r="K144" s="64"/>
      <c r="L144" s="64"/>
      <c r="M144" s="64"/>
      <c r="N144" s="64"/>
    </row>
    <row r="145" spans="2:14">
      <c r="B145" s="85"/>
      <c r="C145" s="66"/>
      <c r="D145" s="66"/>
      <c r="E145" s="66"/>
      <c r="F145" s="66"/>
      <c r="G145" s="66"/>
      <c r="H145" s="66"/>
      <c r="I145" s="66"/>
      <c r="J145" s="66"/>
      <c r="K145" s="66"/>
      <c r="L145" s="66"/>
      <c r="M145" s="66"/>
      <c r="N145" s="66"/>
    </row>
    <row r="146" spans="2:14">
      <c r="B146" s="84" t="s">
        <v>376</v>
      </c>
      <c r="C146" s="131">
        <f t="shared" ref="C146:G146" si="93">+C138+C140+C143</f>
        <v>97552000</v>
      </c>
      <c r="D146" s="131">
        <f t="shared" si="93"/>
        <v>-49466000</v>
      </c>
      <c r="E146" s="131">
        <f t="shared" si="93"/>
        <v>41672000</v>
      </c>
      <c r="F146" s="131">
        <f t="shared" si="93"/>
        <v>85674000</v>
      </c>
      <c r="G146" s="131">
        <f t="shared" si="93"/>
        <v>-334266000</v>
      </c>
      <c r="H146" s="131">
        <f>+H138+H140+H143</f>
        <v>151656000</v>
      </c>
      <c r="I146" s="131">
        <f>+I138+I140+I143</f>
        <v>35430000</v>
      </c>
      <c r="J146" s="131"/>
      <c r="K146" s="131"/>
      <c r="L146" s="131"/>
      <c r="M146" s="131"/>
      <c r="N146" s="131"/>
    </row>
  </sheetData>
  <conditionalFormatting sqref="C64:H70 D71:H71 C72:H104">
    <cfRule type="cellIs" dxfId="76" priority="18" operator="lessThan">
      <formula>0</formula>
    </cfRule>
  </conditionalFormatting>
  <conditionalFormatting sqref="C116:N134">
    <cfRule type="cellIs" dxfId="75" priority="2" operator="lessThan">
      <formula>0</formula>
    </cfRule>
  </conditionalFormatting>
  <conditionalFormatting sqref="C138:N146">
    <cfRule type="cellIs" dxfId="74" priority="1" operator="lessThan">
      <formula>0</formula>
    </cfRule>
  </conditionalFormatting>
  <conditionalFormatting sqref="I64:N104 C106:N112">
    <cfRule type="cellIs" dxfId="73" priority="3" operator="lessThan">
      <formula>0</formula>
    </cfRule>
  </conditionalFormatting>
  <pageMargins left="0.7" right="0.7" top="0.75" bottom="0.75" header="0.3" footer="0.3"/>
  <pageSetup paperSize="9" orientation="portrait" r:id="rId1"/>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EE732-0CBE-46AE-B465-5FB30198941F}">
  <sheetPr codeName="Hoja19"/>
  <dimension ref="B2:P156"/>
  <sheetViews>
    <sheetView zoomScale="70" zoomScaleNormal="70" workbookViewId="0">
      <pane xSplit="3" ySplit="6" topLeftCell="H82" activePane="bottomRight" state="frozen"/>
      <selection pane="bottomRight" activeCell="N75" sqref="N75"/>
      <selection pane="bottomLeft" activeCell="A7" sqref="A7"/>
      <selection pane="topRight" activeCell="C1" sqref="C1"/>
    </sheetView>
  </sheetViews>
  <sheetFormatPr defaultColWidth="10.7109375" defaultRowHeight="12.75"/>
  <cols>
    <col min="1" max="1" width="3" style="855" customWidth="1"/>
    <col min="2" max="2" width="77.140625" style="855" bestFit="1" customWidth="1"/>
    <col min="3" max="3" width="19" style="855" bestFit="1" customWidth="1"/>
    <col min="4" max="4" width="35" style="855" bestFit="1" customWidth="1"/>
    <col min="5" max="5" width="28.5703125" style="855" bestFit="1" customWidth="1"/>
    <col min="6" max="9" width="19" style="855" bestFit="1" customWidth="1"/>
    <col min="10" max="10" width="20" style="855" bestFit="1" customWidth="1"/>
    <col min="11" max="14" width="9.140625" style="855" bestFit="1" customWidth="1"/>
    <col min="15" max="16384" width="10.7109375" style="855"/>
  </cols>
  <sheetData>
    <row r="2" spans="2:14" ht="13.15">
      <c r="B2" s="852">
        <f ca="1">TODAY()-1</f>
        <v>46105</v>
      </c>
      <c r="C2" s="853"/>
      <c r="D2" s="854" t="s">
        <v>265</v>
      </c>
      <c r="E2" s="854" t="s">
        <v>266</v>
      </c>
    </row>
    <row r="3" spans="2:14">
      <c r="B3" s="856" cm="1">
        <f t="array" aca="1" ref="B3" ca="1">_FV(B6,"Precio")</f>
        <v>622.98</v>
      </c>
      <c r="C3" s="857"/>
      <c r="D3" s="858">
        <f>AVERAGE(G47:I47)</f>
        <v>11.666666666666666</v>
      </c>
      <c r="E3" s="858">
        <f>AVERAGE(G46:I46)</f>
        <v>21.666666666666668</v>
      </c>
    </row>
    <row r="4" spans="2:14" ht="13.15">
      <c r="B4" s="859"/>
      <c r="C4" s="860"/>
      <c r="D4" s="861"/>
      <c r="E4" s="861"/>
    </row>
    <row r="6" spans="2:14" ht="13.15">
      <c r="B6" s="862" t="e" vm="45">
        <v>#VALUE!</v>
      </c>
      <c r="C6" s="862">
        <v>2017</v>
      </c>
      <c r="D6" s="862">
        <v>2018</v>
      </c>
      <c r="E6" s="862">
        <v>2019</v>
      </c>
      <c r="F6" s="862">
        <v>2020</v>
      </c>
      <c r="G6" s="862">
        <v>2021</v>
      </c>
      <c r="H6" s="862">
        <v>2022</v>
      </c>
      <c r="I6" s="862">
        <v>2023</v>
      </c>
      <c r="J6" s="862">
        <v>2024</v>
      </c>
      <c r="K6" s="862">
        <v>2025</v>
      </c>
      <c r="L6" s="862">
        <v>2026</v>
      </c>
      <c r="M6" s="862">
        <v>2027</v>
      </c>
      <c r="N6" s="862">
        <v>2028</v>
      </c>
    </row>
    <row r="7" spans="2:14">
      <c r="B7" s="863" t="s">
        <v>267</v>
      </c>
      <c r="C7" s="864">
        <f>+C69</f>
        <v>143881319000</v>
      </c>
      <c r="D7" s="864">
        <f t="shared" ref="D7:I7" si="0">+D69</f>
        <v>131807947000</v>
      </c>
      <c r="E7" s="864">
        <f t="shared" si="0"/>
        <v>159032933000</v>
      </c>
      <c r="F7" s="864">
        <f t="shared" si="0"/>
        <v>180854297000</v>
      </c>
      <c r="G7" s="864">
        <f t="shared" si="0"/>
        <v>200877427000</v>
      </c>
      <c r="H7" s="864">
        <f t="shared" si="0"/>
        <v>313127429000</v>
      </c>
      <c r="I7" s="864">
        <f t="shared" si="0"/>
        <v>359712382000</v>
      </c>
      <c r="J7" s="864">
        <v>358855262000</v>
      </c>
      <c r="K7" s="864">
        <f t="shared" ref="K7:N7" si="1">+K69</f>
        <v>0</v>
      </c>
      <c r="L7" s="864">
        <f t="shared" si="1"/>
        <v>0</v>
      </c>
      <c r="M7" s="864">
        <f t="shared" si="1"/>
        <v>0</v>
      </c>
      <c r="N7" s="864">
        <f t="shared" si="1"/>
        <v>0</v>
      </c>
    </row>
    <row r="8" spans="2:14">
      <c r="B8" s="865" t="s">
        <v>377</v>
      </c>
      <c r="C8" s="1099">
        <f>+C73</f>
        <v>50238869000</v>
      </c>
      <c r="D8" s="1099">
        <f t="shared" ref="D8:I8" si="2">+D73</f>
        <v>67712988000</v>
      </c>
      <c r="E8" s="1099">
        <f t="shared" si="2"/>
        <v>60266582000</v>
      </c>
      <c r="F8" s="1099">
        <f t="shared" si="2"/>
        <v>46519247000</v>
      </c>
      <c r="G8" s="1099">
        <f t="shared" si="2"/>
        <v>70915361000</v>
      </c>
      <c r="H8" s="1099">
        <f t="shared" si="2"/>
        <v>92780442000</v>
      </c>
      <c r="I8" s="1099">
        <f t="shared" si="2"/>
        <v>99902187000</v>
      </c>
      <c r="J8" s="1099">
        <v>97798389000</v>
      </c>
      <c r="K8" s="1099">
        <f t="shared" ref="K8:N8" si="3">+K73</f>
        <v>0</v>
      </c>
      <c r="L8" s="1099">
        <f t="shared" si="3"/>
        <v>0</v>
      </c>
      <c r="M8" s="1099">
        <f t="shared" si="3"/>
        <v>0</v>
      </c>
      <c r="N8" s="1099">
        <f t="shared" si="3"/>
        <v>0</v>
      </c>
    </row>
    <row r="9" spans="2:14">
      <c r="B9" s="865" t="s">
        <v>378</v>
      </c>
      <c r="C9" s="1099">
        <f>+C75</f>
        <v>8556956000</v>
      </c>
      <c r="D9" s="1099">
        <f t="shared" ref="D9:I9" si="4">+D75</f>
        <v>8154054000</v>
      </c>
      <c r="E9" s="1099">
        <f t="shared" si="4"/>
        <v>6329257000</v>
      </c>
      <c r="F9" s="1099">
        <f t="shared" si="4"/>
        <v>5947846000</v>
      </c>
      <c r="G9" s="1099">
        <f t="shared" si="4"/>
        <v>9429295000</v>
      </c>
      <c r="H9" s="1099">
        <f t="shared" si="4"/>
        <v>11724278000</v>
      </c>
      <c r="I9" s="1099">
        <f t="shared" si="4"/>
        <v>7811621000</v>
      </c>
      <c r="J9" s="1099">
        <v>8139070000</v>
      </c>
      <c r="K9" s="1099">
        <f t="shared" ref="K9:N9" si="5">+K75</f>
        <v>0</v>
      </c>
      <c r="L9" s="1099">
        <f t="shared" si="5"/>
        <v>0</v>
      </c>
      <c r="M9" s="1099">
        <f t="shared" si="5"/>
        <v>0</v>
      </c>
      <c r="N9" s="1099">
        <f t="shared" si="5"/>
        <v>0</v>
      </c>
    </row>
    <row r="10" spans="2:14">
      <c r="B10" s="863" t="s">
        <v>519</v>
      </c>
      <c r="C10" s="864">
        <f>+C78</f>
        <v>1663585824000</v>
      </c>
      <c r="D10" s="864">
        <f t="shared" ref="D10:I10" si="6">+D78</f>
        <v>1757405723000</v>
      </c>
      <c r="E10" s="864">
        <f t="shared" si="6"/>
        <v>1818631182000</v>
      </c>
      <c r="F10" s="864">
        <f t="shared" si="6"/>
        <v>1924581558000</v>
      </c>
      <c r="G10" s="864">
        <f t="shared" si="6"/>
        <v>1945277558000</v>
      </c>
      <c r="H10" s="864">
        <f t="shared" si="6"/>
        <v>2247225349000</v>
      </c>
      <c r="I10" s="864">
        <f t="shared" si="6"/>
        <v>2227267504000</v>
      </c>
      <c r="J10" s="864">
        <v>2398632881000</v>
      </c>
      <c r="K10" s="864">
        <f t="shared" ref="K10:N10" si="7">+K78</f>
        <v>0</v>
      </c>
      <c r="L10" s="864">
        <f t="shared" si="7"/>
        <v>0</v>
      </c>
      <c r="M10" s="864">
        <f t="shared" si="7"/>
        <v>0</v>
      </c>
      <c r="N10" s="864">
        <f t="shared" si="7"/>
        <v>0</v>
      </c>
    </row>
    <row r="11" spans="2:14" ht="13.15">
      <c r="B11" s="867" t="s">
        <v>272</v>
      </c>
      <c r="C11" s="868">
        <f t="shared" ref="C11" si="8">+C7+C10</f>
        <v>1807467143000</v>
      </c>
      <c r="D11" s="868">
        <f t="shared" ref="D11:I11" si="9">+D7+D10</f>
        <v>1889213670000</v>
      </c>
      <c r="E11" s="868">
        <f t="shared" si="9"/>
        <v>1977664115000</v>
      </c>
      <c r="F11" s="868">
        <f t="shared" si="9"/>
        <v>2105435855000</v>
      </c>
      <c r="G11" s="868">
        <f t="shared" si="9"/>
        <v>2146154985000</v>
      </c>
      <c r="H11" s="868">
        <f t="shared" si="9"/>
        <v>2560352778000</v>
      </c>
      <c r="I11" s="868">
        <f t="shared" si="9"/>
        <v>2586979886000</v>
      </c>
      <c r="J11" s="868">
        <f t="shared" ref="J11:N11" si="10">+J7+J10</f>
        <v>2757488143000</v>
      </c>
      <c r="K11" s="868">
        <f t="shared" si="10"/>
        <v>0</v>
      </c>
      <c r="L11" s="868">
        <f t="shared" si="10"/>
        <v>0</v>
      </c>
      <c r="M11" s="868">
        <f t="shared" si="10"/>
        <v>0</v>
      </c>
      <c r="N11" s="868">
        <f t="shared" si="10"/>
        <v>0</v>
      </c>
    </row>
    <row r="12" spans="2:14">
      <c r="B12" s="869" t="s">
        <v>273</v>
      </c>
      <c r="C12" s="870">
        <f>+C92</f>
        <v>71195939000</v>
      </c>
      <c r="D12" s="870">
        <f t="shared" ref="D12:I12" si="11">+D92</f>
        <v>102015430000</v>
      </c>
      <c r="E12" s="870">
        <f t="shared" si="11"/>
        <v>87417991000</v>
      </c>
      <c r="F12" s="870">
        <f t="shared" si="11"/>
        <v>180358286000</v>
      </c>
      <c r="G12" s="870">
        <f t="shared" si="11"/>
        <v>163415797000</v>
      </c>
      <c r="H12" s="870">
        <f t="shared" si="11"/>
        <v>222100253000</v>
      </c>
      <c r="I12" s="870">
        <f t="shared" si="11"/>
        <v>223860694000</v>
      </c>
      <c r="J12" s="870">
        <v>200434471000</v>
      </c>
      <c r="K12" s="870">
        <f t="shared" ref="K12:N12" si="12">+K92</f>
        <v>0</v>
      </c>
      <c r="L12" s="870">
        <f t="shared" si="12"/>
        <v>0</v>
      </c>
      <c r="M12" s="870">
        <f t="shared" si="12"/>
        <v>0</v>
      </c>
      <c r="N12" s="870">
        <f t="shared" si="12"/>
        <v>0</v>
      </c>
    </row>
    <row r="13" spans="2:14">
      <c r="B13" s="869" t="s">
        <v>274</v>
      </c>
      <c r="C13" s="870">
        <f>+C102</f>
        <v>704237652000</v>
      </c>
      <c r="D13" s="870">
        <f t="shared" ref="D13:I13" si="13">+D102</f>
        <v>705568220000</v>
      </c>
      <c r="E13" s="870">
        <f t="shared" si="13"/>
        <v>761310093000</v>
      </c>
      <c r="F13" s="870">
        <f t="shared" si="13"/>
        <v>749655823000</v>
      </c>
      <c r="G13" s="870">
        <f t="shared" si="13"/>
        <v>798608330000</v>
      </c>
      <c r="H13" s="870">
        <f t="shared" si="13"/>
        <v>1046204892000</v>
      </c>
      <c r="I13" s="870">
        <f t="shared" si="13"/>
        <v>1014081642000</v>
      </c>
      <c r="J13" s="870">
        <v>925653912000</v>
      </c>
      <c r="K13" s="870">
        <f t="shared" ref="K13:N13" si="14">+K102</f>
        <v>0</v>
      </c>
      <c r="L13" s="870">
        <f t="shared" si="14"/>
        <v>0</v>
      </c>
      <c r="M13" s="870">
        <f t="shared" si="14"/>
        <v>0</v>
      </c>
      <c r="N13" s="870">
        <f t="shared" si="14"/>
        <v>0</v>
      </c>
    </row>
    <row r="14" spans="2:14" ht="13.15">
      <c r="B14" s="871" t="s">
        <v>275</v>
      </c>
      <c r="C14" s="872">
        <f t="shared" ref="C14" si="15">SUM(C12:C13)</f>
        <v>775433591000</v>
      </c>
      <c r="D14" s="872">
        <f t="shared" ref="D14:I14" si="16">SUM(D12:D13)</f>
        <v>807583650000</v>
      </c>
      <c r="E14" s="872">
        <f t="shared" si="16"/>
        <v>848728084000</v>
      </c>
      <c r="F14" s="872">
        <f t="shared" si="16"/>
        <v>930014109000</v>
      </c>
      <c r="G14" s="872">
        <f t="shared" si="16"/>
        <v>962024127000</v>
      </c>
      <c r="H14" s="872">
        <f t="shared" si="16"/>
        <v>1268305145000</v>
      </c>
      <c r="I14" s="872">
        <f t="shared" si="16"/>
        <v>1237942336000</v>
      </c>
      <c r="J14" s="872">
        <f t="shared" ref="J14:N14" si="17">SUM(J12:J13)</f>
        <v>1126088383000</v>
      </c>
      <c r="K14" s="872">
        <f t="shared" si="17"/>
        <v>0</v>
      </c>
      <c r="L14" s="872">
        <f t="shared" si="17"/>
        <v>0</v>
      </c>
      <c r="M14" s="872">
        <f t="shared" si="17"/>
        <v>0</v>
      </c>
      <c r="N14" s="872">
        <f t="shared" si="17"/>
        <v>0</v>
      </c>
    </row>
    <row r="15" spans="2:14" ht="13.15">
      <c r="B15" s="873" t="s">
        <v>276</v>
      </c>
      <c r="C15" s="874">
        <f>+C118</f>
        <v>1032033552000</v>
      </c>
      <c r="D15" s="874">
        <f t="shared" ref="D15:I15" si="18">+D118</f>
        <v>1081630020000</v>
      </c>
      <c r="E15" s="874">
        <f t="shared" si="18"/>
        <v>1128936031000</v>
      </c>
      <c r="F15" s="874">
        <f t="shared" si="18"/>
        <v>1175421746000</v>
      </c>
      <c r="G15" s="874">
        <f t="shared" si="18"/>
        <v>1184130858000</v>
      </c>
      <c r="H15" s="874">
        <f t="shared" si="18"/>
        <v>1295047633000</v>
      </c>
      <c r="I15" s="874">
        <f t="shared" si="18"/>
        <v>1349037550000</v>
      </c>
      <c r="J15" s="874">
        <v>1631399760000</v>
      </c>
      <c r="K15" s="874">
        <f t="shared" ref="K15:N15" si="19">+K118</f>
        <v>0</v>
      </c>
      <c r="L15" s="874">
        <f t="shared" si="19"/>
        <v>0</v>
      </c>
      <c r="M15" s="874">
        <f t="shared" si="19"/>
        <v>0</v>
      </c>
      <c r="N15" s="874">
        <f t="shared" si="19"/>
        <v>0</v>
      </c>
    </row>
    <row r="16" spans="2:14" ht="13.15">
      <c r="B16" s="873" t="s">
        <v>775</v>
      </c>
      <c r="C16" s="874">
        <f>+C117</f>
        <v>611523918000</v>
      </c>
      <c r="D16" s="874">
        <f t="shared" ref="D16:I16" si="20">+D117</f>
        <v>667797217000</v>
      </c>
      <c r="E16" s="874">
        <f t="shared" si="20"/>
        <v>708728893000</v>
      </c>
      <c r="F16" s="874">
        <f t="shared" si="20"/>
        <v>727300905000</v>
      </c>
      <c r="G16" s="874">
        <f t="shared" si="20"/>
        <v>732641685000</v>
      </c>
      <c r="H16" s="874">
        <f t="shared" si="20"/>
        <v>826923816000</v>
      </c>
      <c r="I16" s="874">
        <f t="shared" si="20"/>
        <v>859561401000</v>
      </c>
      <c r="J16" s="874">
        <v>1039575583000</v>
      </c>
      <c r="K16" s="874">
        <f t="shared" ref="K16:N16" si="21">+K117</f>
        <v>0</v>
      </c>
      <c r="L16" s="874">
        <f t="shared" si="21"/>
        <v>0</v>
      </c>
      <c r="M16" s="874">
        <f t="shared" si="21"/>
        <v>0</v>
      </c>
      <c r="N16" s="874">
        <f t="shared" si="21"/>
        <v>0</v>
      </c>
    </row>
    <row r="17" spans="2:14">
      <c r="B17" s="875" t="s">
        <v>278</v>
      </c>
      <c r="C17" s="1100">
        <v>2101150643</v>
      </c>
      <c r="D17" s="1100">
        <v>2101150643</v>
      </c>
      <c r="E17" s="1100">
        <v>2101150643</v>
      </c>
      <c r="F17" s="1100">
        <v>2101150643</v>
      </c>
      <c r="G17" s="1100">
        <v>2101150643</v>
      </c>
      <c r="H17" s="1100">
        <v>2101150643</v>
      </c>
      <c r="I17" s="1100">
        <v>2101150643</v>
      </c>
      <c r="J17" s="1100">
        <v>2101150643</v>
      </c>
      <c r="K17" s="1100"/>
      <c r="L17" s="1100"/>
      <c r="M17" s="1100"/>
      <c r="N17" s="1100"/>
    </row>
    <row r="18" spans="2:14">
      <c r="C18" s="1101"/>
      <c r="D18" s="1101"/>
      <c r="E18" s="1101"/>
      <c r="F18" s="1101"/>
      <c r="G18" s="1101"/>
      <c r="H18" s="1101"/>
      <c r="I18" s="1101"/>
      <c r="J18" s="1101"/>
      <c r="K18" s="1101"/>
      <c r="L18" s="1101"/>
      <c r="M18" s="1101"/>
      <c r="N18" s="1101"/>
    </row>
    <row r="19" spans="2:14" ht="13.15">
      <c r="B19" s="877" t="s">
        <v>279</v>
      </c>
      <c r="C19" s="878">
        <f t="shared" ref="C19:F19" si="22">(C15/C17)</f>
        <v>491.17542116184194</v>
      </c>
      <c r="D19" s="878">
        <f t="shared" si="22"/>
        <v>514.77985341196688</v>
      </c>
      <c r="E19" s="878">
        <f t="shared" si="22"/>
        <v>537.29418914396229</v>
      </c>
      <c r="F19" s="878">
        <f t="shared" si="22"/>
        <v>559.41812164488385</v>
      </c>
      <c r="G19" s="878">
        <f t="shared" ref="G19:N19" si="23">(G15/G17)</f>
        <v>563.56304672629801</v>
      </c>
      <c r="H19" s="878">
        <f t="shared" si="23"/>
        <v>616.35163443157273</v>
      </c>
      <c r="I19" s="878">
        <f t="shared" si="23"/>
        <v>642.04703955631612</v>
      </c>
      <c r="J19" s="878">
        <f>(J15/J17)</f>
        <v>776.43160210098267</v>
      </c>
      <c r="K19" s="878" t="e">
        <f t="shared" si="23"/>
        <v>#DIV/0!</v>
      </c>
      <c r="L19" s="878" t="e">
        <f t="shared" si="23"/>
        <v>#DIV/0!</v>
      </c>
      <c r="M19" s="878" t="e">
        <f t="shared" si="23"/>
        <v>#DIV/0!</v>
      </c>
      <c r="N19" s="878" t="e">
        <f t="shared" si="23"/>
        <v>#DIV/0!</v>
      </c>
    </row>
    <row r="20" spans="2:14" ht="13.15">
      <c r="B20" s="879" t="s">
        <v>282</v>
      </c>
      <c r="C20" s="880">
        <v>245.14</v>
      </c>
      <c r="D20" s="880">
        <v>244.52</v>
      </c>
      <c r="E20" s="880">
        <v>158.11000000000001</v>
      </c>
      <c r="F20" s="880">
        <v>180.06</v>
      </c>
      <c r="G20" s="880">
        <v>217.51</v>
      </c>
      <c r="H20" s="880">
        <v>239.29</v>
      </c>
      <c r="I20" s="880">
        <v>250</v>
      </c>
      <c r="J20" s="880">
        <v>414.73</v>
      </c>
      <c r="K20" s="880"/>
      <c r="L20" s="880"/>
      <c r="M20" s="880"/>
      <c r="N20" s="880"/>
    </row>
    <row r="21" spans="2:14" ht="13.15">
      <c r="B21" s="877" t="s">
        <v>283</v>
      </c>
      <c r="C21" s="882">
        <f t="shared" ref="C21:N21" si="24">+C20/C42</f>
        <v>9.9432430579342714</v>
      </c>
      <c r="D21" s="882">
        <f t="shared" si="24"/>
        <v>9.9770063561634608</v>
      </c>
      <c r="E21" s="882">
        <f t="shared" si="24"/>
        <v>4.8524162341847079</v>
      </c>
      <c r="F21" s="882">
        <f t="shared" si="24"/>
        <v>7.3540132825307527</v>
      </c>
      <c r="G21" s="882">
        <f t="shared" si="24"/>
        <v>9.5566783831282933</v>
      </c>
      <c r="H21" s="882">
        <f t="shared" si="24"/>
        <v>-19.173878205128204</v>
      </c>
      <c r="I21" s="882">
        <f t="shared" si="24"/>
        <v>5.5617352614015569</v>
      </c>
      <c r="J21" s="882">
        <f t="shared" si="24"/>
        <v>3.9645349392983462</v>
      </c>
      <c r="K21" s="882" t="e">
        <f t="shared" si="24"/>
        <v>#DIV/0!</v>
      </c>
      <c r="L21" s="882" t="e">
        <f t="shared" si="24"/>
        <v>#DIV/0!</v>
      </c>
      <c r="M21" s="882" t="e">
        <f t="shared" si="24"/>
        <v>#DIV/0!</v>
      </c>
      <c r="N21" s="882" t="e">
        <f t="shared" si="24"/>
        <v>#DIV/0!</v>
      </c>
    </row>
    <row r="22" spans="2:14" ht="13.15">
      <c r="B22" s="877" t="s">
        <v>284</v>
      </c>
      <c r="C22" s="882">
        <f t="shared" ref="C22:I22" si="25">+C20/C19</f>
        <v>0.49908849148057538</v>
      </c>
      <c r="D22" s="882">
        <f t="shared" si="25"/>
        <v>0.47499916397139202</v>
      </c>
      <c r="E22" s="882">
        <f t="shared" si="25"/>
        <v>0.29427081698372159</v>
      </c>
      <c r="F22" s="882">
        <f t="shared" si="25"/>
        <v>0.32187015942665742</v>
      </c>
      <c r="G22" s="882">
        <f t="shared" si="25"/>
        <v>0.38595504311984574</v>
      </c>
      <c r="H22" s="882">
        <f t="shared" si="25"/>
        <v>0.38823617336665944</v>
      </c>
      <c r="I22" s="882">
        <f t="shared" si="25"/>
        <v>0.38937956971620247</v>
      </c>
      <c r="J22" s="882">
        <f>+J20/J19</f>
        <v>0.53414878899540241</v>
      </c>
      <c r="K22" s="882" t="e">
        <f t="shared" ref="K22:N22" si="26">+K20/K19</f>
        <v>#DIV/0!</v>
      </c>
      <c r="L22" s="882" t="e">
        <f t="shared" si="26"/>
        <v>#DIV/0!</v>
      </c>
      <c r="M22" s="882" t="e">
        <f t="shared" si="26"/>
        <v>#DIV/0!</v>
      </c>
      <c r="N22" s="882" t="e">
        <f t="shared" si="26"/>
        <v>#DIV/0!</v>
      </c>
    </row>
    <row r="23" spans="2:14" ht="13.15">
      <c r="B23" s="877" t="s">
        <v>285</v>
      </c>
      <c r="C23" s="882">
        <f>+C21*C22</f>
        <v>4.962558178209119</v>
      </c>
      <c r="D23" s="882">
        <f t="shared" ref="D23:I23" si="27">+D21*D22</f>
        <v>4.739069678114908</v>
      </c>
      <c r="E23" s="882">
        <f t="shared" si="27"/>
        <v>1.4279244895786076</v>
      </c>
      <c r="F23" s="882">
        <f t="shared" si="27"/>
        <v>2.3670374276739294</v>
      </c>
      <c r="G23" s="882">
        <f t="shared" si="27"/>
        <v>3.6884482174427782</v>
      </c>
      <c r="H23" s="882">
        <f t="shared" si="27"/>
        <v>-7.4439931029573669</v>
      </c>
      <c r="I23" s="882">
        <f t="shared" si="27"/>
        <v>2.1656260829599692</v>
      </c>
      <c r="J23" s="882">
        <f>+J21*J22</f>
        <v>2.1176515367561728</v>
      </c>
      <c r="K23" s="882" t="e">
        <f t="shared" ref="K23:N23" si="28">+K21*K22</f>
        <v>#DIV/0!</v>
      </c>
      <c r="L23" s="882" t="e">
        <f t="shared" si="28"/>
        <v>#DIV/0!</v>
      </c>
      <c r="M23" s="882" t="e">
        <f t="shared" si="28"/>
        <v>#DIV/0!</v>
      </c>
      <c r="N23" s="882" t="e">
        <f t="shared" si="28"/>
        <v>#DIV/0!</v>
      </c>
    </row>
    <row r="24" spans="2:14" ht="13.15">
      <c r="B24" s="883" t="s">
        <v>286</v>
      </c>
      <c r="C24" s="884">
        <v>0</v>
      </c>
      <c r="D24" s="884">
        <v>0</v>
      </c>
      <c r="E24" s="884">
        <v>0</v>
      </c>
      <c r="F24" s="884">
        <v>0</v>
      </c>
      <c r="G24" s="884">
        <v>0</v>
      </c>
      <c r="H24" s="884">
        <v>0</v>
      </c>
      <c r="I24" s="884">
        <v>0</v>
      </c>
      <c r="J24" s="884">
        <v>0</v>
      </c>
      <c r="K24" s="884">
        <v>0</v>
      </c>
      <c r="L24" s="884">
        <v>0</v>
      </c>
      <c r="M24" s="884">
        <v>0</v>
      </c>
      <c r="N24" s="884">
        <v>0</v>
      </c>
    </row>
    <row r="25" spans="2:14" ht="13.15">
      <c r="B25" s="883" t="s">
        <v>287</v>
      </c>
      <c r="C25" s="884">
        <v>1</v>
      </c>
      <c r="D25" s="884">
        <v>1</v>
      </c>
      <c r="E25" s="884">
        <v>1</v>
      </c>
      <c r="F25" s="884">
        <v>1</v>
      </c>
      <c r="G25" s="884">
        <v>1</v>
      </c>
      <c r="H25" s="884">
        <v>1</v>
      </c>
      <c r="I25" s="884">
        <v>1</v>
      </c>
      <c r="J25" s="884">
        <v>1</v>
      </c>
      <c r="K25" s="884">
        <v>1</v>
      </c>
      <c r="L25" s="884">
        <v>1</v>
      </c>
      <c r="M25" s="884">
        <v>1</v>
      </c>
      <c r="N25" s="884">
        <v>1</v>
      </c>
    </row>
    <row r="26" spans="2:14" ht="13.15">
      <c r="B26" s="885" t="s">
        <v>288</v>
      </c>
      <c r="C26" s="886">
        <f t="shared" ref="C26:N26" si="29">+C24*C19</f>
        <v>0</v>
      </c>
      <c r="D26" s="886">
        <f t="shared" si="29"/>
        <v>0</v>
      </c>
      <c r="E26" s="886">
        <f t="shared" si="29"/>
        <v>0</v>
      </c>
      <c r="F26" s="886">
        <f t="shared" si="29"/>
        <v>0</v>
      </c>
      <c r="G26" s="886">
        <f t="shared" si="29"/>
        <v>0</v>
      </c>
      <c r="H26" s="886">
        <f t="shared" si="29"/>
        <v>0</v>
      </c>
      <c r="I26" s="886">
        <f t="shared" si="29"/>
        <v>0</v>
      </c>
      <c r="J26" s="886">
        <f t="shared" si="29"/>
        <v>0</v>
      </c>
      <c r="K26" s="886" t="e">
        <f t="shared" si="29"/>
        <v>#DIV/0!</v>
      </c>
      <c r="L26" s="886" t="e">
        <f t="shared" si="29"/>
        <v>#DIV/0!</v>
      </c>
      <c r="M26" s="886" t="e">
        <f t="shared" si="29"/>
        <v>#DIV/0!</v>
      </c>
      <c r="N26" s="886" t="e">
        <f t="shared" si="29"/>
        <v>#DIV/0!</v>
      </c>
    </row>
    <row r="27" spans="2:14" ht="13.15">
      <c r="B27" s="885" t="s">
        <v>289</v>
      </c>
      <c r="C27" s="886">
        <f>AVERAGE(C26,C28)</f>
        <v>245.58771058092097</v>
      </c>
      <c r="D27" s="886">
        <f t="shared" ref="D27:I27" si="30">AVERAGE(D26,D28)</f>
        <v>257.38992670598344</v>
      </c>
      <c r="E27" s="886">
        <f t="shared" si="30"/>
        <v>268.64709457198114</v>
      </c>
      <c r="F27" s="886">
        <f t="shared" si="30"/>
        <v>279.70906082244193</v>
      </c>
      <c r="G27" s="886">
        <f t="shared" si="30"/>
        <v>281.78152336314901</v>
      </c>
      <c r="H27" s="886">
        <f t="shared" si="30"/>
        <v>308.17581721578637</v>
      </c>
      <c r="I27" s="886">
        <f t="shared" si="30"/>
        <v>321.02351977815806</v>
      </c>
      <c r="J27" s="886">
        <f t="shared" ref="J27:N27" si="31">AVERAGE(J26,J28)</f>
        <v>388.21580105049134</v>
      </c>
      <c r="K27" s="886" t="e">
        <f t="shared" si="31"/>
        <v>#DIV/0!</v>
      </c>
      <c r="L27" s="886" t="e">
        <f t="shared" si="31"/>
        <v>#DIV/0!</v>
      </c>
      <c r="M27" s="886" t="e">
        <f t="shared" si="31"/>
        <v>#DIV/0!</v>
      </c>
      <c r="N27" s="886" t="e">
        <f t="shared" si="31"/>
        <v>#DIV/0!</v>
      </c>
    </row>
    <row r="28" spans="2:14" ht="13.15">
      <c r="B28" s="885" t="s">
        <v>290</v>
      </c>
      <c r="C28" s="886">
        <f t="shared" ref="C28:N28" si="32">+C19*C25</f>
        <v>491.17542116184194</v>
      </c>
      <c r="D28" s="886">
        <f t="shared" si="32"/>
        <v>514.77985341196688</v>
      </c>
      <c r="E28" s="886">
        <f t="shared" si="32"/>
        <v>537.29418914396229</v>
      </c>
      <c r="F28" s="886">
        <f t="shared" si="32"/>
        <v>559.41812164488385</v>
      </c>
      <c r="G28" s="886">
        <f t="shared" si="32"/>
        <v>563.56304672629801</v>
      </c>
      <c r="H28" s="886">
        <f t="shared" si="32"/>
        <v>616.35163443157273</v>
      </c>
      <c r="I28" s="886">
        <f t="shared" si="32"/>
        <v>642.04703955631612</v>
      </c>
      <c r="J28" s="886">
        <f t="shared" si="32"/>
        <v>776.43160210098267</v>
      </c>
      <c r="K28" s="886" t="e">
        <f t="shared" si="32"/>
        <v>#DIV/0!</v>
      </c>
      <c r="L28" s="886" t="e">
        <f t="shared" si="32"/>
        <v>#DIV/0!</v>
      </c>
      <c r="M28" s="886" t="e">
        <f t="shared" si="32"/>
        <v>#DIV/0!</v>
      </c>
      <c r="N28" s="886" t="e">
        <f t="shared" si="32"/>
        <v>#DIV/0!</v>
      </c>
    </row>
    <row r="30" spans="2:14">
      <c r="B30" s="887" t="s">
        <v>291</v>
      </c>
      <c r="C30" s="888">
        <f t="shared" ref="C30:I30" si="33">C7-C12</f>
        <v>72685380000</v>
      </c>
      <c r="D30" s="888">
        <f t="shared" si="33"/>
        <v>29792517000</v>
      </c>
      <c r="E30" s="888">
        <f t="shared" si="33"/>
        <v>71614942000</v>
      </c>
      <c r="F30" s="888">
        <f t="shared" si="33"/>
        <v>496011000</v>
      </c>
      <c r="G30" s="888">
        <f t="shared" si="33"/>
        <v>37461630000</v>
      </c>
      <c r="H30" s="888">
        <f t="shared" si="33"/>
        <v>91027176000</v>
      </c>
      <c r="I30" s="888">
        <f t="shared" si="33"/>
        <v>135851688000</v>
      </c>
      <c r="J30" s="888">
        <f t="shared" ref="J30:N30" si="34">J7-J12</f>
        <v>158420791000</v>
      </c>
      <c r="K30" s="888">
        <f t="shared" si="34"/>
        <v>0</v>
      </c>
      <c r="L30" s="888">
        <f t="shared" si="34"/>
        <v>0</v>
      </c>
      <c r="M30" s="888">
        <f t="shared" si="34"/>
        <v>0</v>
      </c>
      <c r="N30" s="888">
        <f t="shared" si="34"/>
        <v>0</v>
      </c>
    </row>
    <row r="31" spans="2:14">
      <c r="B31" s="889" t="s">
        <v>149</v>
      </c>
      <c r="C31" s="891">
        <f t="shared" ref="C31:I31" si="35">C7/C12</f>
        <v>2.0209203083900613</v>
      </c>
      <c r="D31" s="891">
        <f t="shared" si="35"/>
        <v>1.2920393218947368</v>
      </c>
      <c r="E31" s="891">
        <f t="shared" si="35"/>
        <v>1.8192242944590205</v>
      </c>
      <c r="F31" s="891">
        <f t="shared" si="35"/>
        <v>1.0027501425689973</v>
      </c>
      <c r="G31" s="891">
        <f t="shared" si="35"/>
        <v>1.2292411791743731</v>
      </c>
      <c r="H31" s="891">
        <f t="shared" si="35"/>
        <v>1.4098472413716701</v>
      </c>
      <c r="I31" s="891">
        <f t="shared" si="35"/>
        <v>1.606858156170998</v>
      </c>
      <c r="J31" s="891">
        <f t="shared" ref="J31:N31" si="36">J7/J12</f>
        <v>1.7903869539486548</v>
      </c>
      <c r="K31" s="891" t="e">
        <f t="shared" si="36"/>
        <v>#DIV/0!</v>
      </c>
      <c r="L31" s="891" t="e">
        <f t="shared" si="36"/>
        <v>#DIV/0!</v>
      </c>
      <c r="M31" s="891" t="e">
        <f t="shared" si="36"/>
        <v>#DIV/0!</v>
      </c>
      <c r="N31" s="891" t="e">
        <f t="shared" si="36"/>
        <v>#DIV/0!</v>
      </c>
    </row>
    <row r="32" spans="2:14">
      <c r="B32" s="889" t="s">
        <v>292</v>
      </c>
      <c r="C32" s="891">
        <f t="shared" ref="C32:I32" si="37">+(C7-C9)/C12</f>
        <v>1.9007314869461867</v>
      </c>
      <c r="D32" s="891">
        <f t="shared" si="37"/>
        <v>1.2121097073256468</v>
      </c>
      <c r="E32" s="891">
        <f t="shared" si="37"/>
        <v>1.7468220700702215</v>
      </c>
      <c r="F32" s="891">
        <f t="shared" si="37"/>
        <v>0.96977219555080496</v>
      </c>
      <c r="G32" s="891">
        <f t="shared" si="37"/>
        <v>1.1715399338045636</v>
      </c>
      <c r="H32" s="891">
        <f t="shared" si="37"/>
        <v>1.3570590169476304</v>
      </c>
      <c r="I32" s="890">
        <f t="shared" si="37"/>
        <v>1.5719631468666848</v>
      </c>
      <c r="J32" s="890">
        <f t="shared" ref="J32:N32" si="38">+(J7-J9)/J12</f>
        <v>1.7497798170654988</v>
      </c>
      <c r="K32" s="890" t="e">
        <f t="shared" si="38"/>
        <v>#DIV/0!</v>
      </c>
      <c r="L32" s="890" t="e">
        <f t="shared" si="38"/>
        <v>#DIV/0!</v>
      </c>
      <c r="M32" s="890" t="e">
        <f t="shared" si="38"/>
        <v>#DIV/0!</v>
      </c>
      <c r="N32" s="890" t="e">
        <f t="shared" si="38"/>
        <v>#DIV/0!</v>
      </c>
    </row>
    <row r="33" spans="2:14">
      <c r="B33" s="892" t="s">
        <v>153</v>
      </c>
      <c r="C33" s="893">
        <f t="shared" ref="C33:I33" si="39">C14/C11</f>
        <v>0.42901670107980489</v>
      </c>
      <c r="D33" s="893">
        <f t="shared" si="39"/>
        <v>0.42747078471012756</v>
      </c>
      <c r="E33" s="893">
        <f t="shared" si="39"/>
        <v>0.42915684092290868</v>
      </c>
      <c r="F33" s="893">
        <f t="shared" si="39"/>
        <v>0.44172046694816069</v>
      </c>
      <c r="G33" s="893">
        <f t="shared" si="39"/>
        <v>0.44825473170568808</v>
      </c>
      <c r="H33" s="893">
        <f t="shared" si="39"/>
        <v>0.49536343424937201</v>
      </c>
      <c r="I33" s="893">
        <f t="shared" si="39"/>
        <v>0.47852800970714621</v>
      </c>
      <c r="J33" s="893">
        <f t="shared" ref="J33:N33" si="40">J14/J11</f>
        <v>0.40837469631868512</v>
      </c>
      <c r="K33" s="893" t="e">
        <f t="shared" si="40"/>
        <v>#DIV/0!</v>
      </c>
      <c r="L33" s="893" t="e">
        <f t="shared" si="40"/>
        <v>#DIV/0!</v>
      </c>
      <c r="M33" s="893" t="e">
        <f t="shared" si="40"/>
        <v>#DIV/0!</v>
      </c>
      <c r="N33" s="893" t="e">
        <f t="shared" si="40"/>
        <v>#DIV/0!</v>
      </c>
    </row>
    <row r="36" spans="2:14">
      <c r="B36" s="894" t="s">
        <v>293</v>
      </c>
      <c r="C36" s="895">
        <f>+C122</f>
        <v>508318428000</v>
      </c>
      <c r="D36" s="895">
        <f t="shared" ref="D36:I36" si="41">+D122</f>
        <v>555543384000</v>
      </c>
      <c r="E36" s="895">
        <f t="shared" si="41"/>
        <v>575755388000</v>
      </c>
      <c r="F36" s="895">
        <f t="shared" si="41"/>
        <v>468012292000</v>
      </c>
      <c r="G36" s="895">
        <f t="shared" si="41"/>
        <v>559952058000</v>
      </c>
      <c r="H36" s="895">
        <f t="shared" si="41"/>
        <v>814735011000</v>
      </c>
      <c r="I36" s="895">
        <f t="shared" si="41"/>
        <v>782674839000</v>
      </c>
      <c r="J36" s="895">
        <f>+J122</f>
        <v>884873768000</v>
      </c>
      <c r="K36" s="895">
        <f t="shared" ref="K36:N36" si="42">+K122</f>
        <v>0</v>
      </c>
      <c r="L36" s="895">
        <f t="shared" si="42"/>
        <v>0</v>
      </c>
      <c r="M36" s="895">
        <f t="shared" si="42"/>
        <v>0</v>
      </c>
      <c r="N36" s="895">
        <f t="shared" si="42"/>
        <v>0</v>
      </c>
    </row>
    <row r="37" spans="2:14" ht="13.15">
      <c r="B37" s="896" t="s">
        <v>156</v>
      </c>
      <c r="C37" s="897">
        <f>+C130</f>
        <v>125802205000</v>
      </c>
      <c r="D37" s="897">
        <f t="shared" ref="D37:I37" si="43">+D130</f>
        <v>122003829000</v>
      </c>
      <c r="E37" s="897">
        <f t="shared" si="43"/>
        <v>139467363000</v>
      </c>
      <c r="F37" s="897">
        <f t="shared" si="43"/>
        <v>146650078000</v>
      </c>
      <c r="G37" s="897">
        <f t="shared" si="43"/>
        <v>133369044000</v>
      </c>
      <c r="H37" s="1102">
        <f t="shared" si="43"/>
        <v>-5284327000</v>
      </c>
      <c r="I37" s="897">
        <f t="shared" si="43"/>
        <v>233468889000</v>
      </c>
      <c r="J37" s="897">
        <f t="shared" ref="J37:N37" si="44">+J130</f>
        <v>436129400000</v>
      </c>
      <c r="K37" s="897">
        <f t="shared" si="44"/>
        <v>0</v>
      </c>
      <c r="L37" s="897">
        <f t="shared" si="44"/>
        <v>0</v>
      </c>
      <c r="M37" s="897">
        <f t="shared" si="44"/>
        <v>0</v>
      </c>
      <c r="N37" s="897">
        <f t="shared" si="44"/>
        <v>0</v>
      </c>
    </row>
    <row r="38" spans="2:14">
      <c r="B38" s="894" t="s">
        <v>381</v>
      </c>
      <c r="C38" s="898">
        <f>C37/C36</f>
        <v>0.24748700434681073</v>
      </c>
      <c r="D38" s="898">
        <f t="shared" ref="D38:I38" si="45">D37/D36</f>
        <v>0.21961170362889246</v>
      </c>
      <c r="E38" s="898">
        <f t="shared" si="45"/>
        <v>0.24223370880551795</v>
      </c>
      <c r="F38" s="898">
        <f t="shared" si="45"/>
        <v>0.31334663748532487</v>
      </c>
      <c r="G38" s="898">
        <f t="shared" si="45"/>
        <v>0.23817939785123532</v>
      </c>
      <c r="H38" s="1103">
        <f t="shared" si="45"/>
        <v>-6.4859456493885715E-3</v>
      </c>
      <c r="I38" s="898">
        <f t="shared" si="45"/>
        <v>0.29829614722034015</v>
      </c>
      <c r="J38" s="898">
        <f t="shared" ref="J38:N38" si="46">J37/J36</f>
        <v>0.49287188271581805</v>
      </c>
      <c r="K38" s="898" t="e">
        <f t="shared" si="46"/>
        <v>#DIV/0!</v>
      </c>
      <c r="L38" s="898" t="e">
        <f t="shared" si="46"/>
        <v>#DIV/0!</v>
      </c>
      <c r="M38" s="898" t="e">
        <f t="shared" si="46"/>
        <v>#DIV/0!</v>
      </c>
      <c r="N38" s="898" t="e">
        <f t="shared" si="46"/>
        <v>#DIV/0!</v>
      </c>
    </row>
    <row r="39" spans="2:14" ht="13.15">
      <c r="B39" s="899" t="s">
        <v>295</v>
      </c>
      <c r="C39" s="900">
        <f>+C139</f>
        <v>88394384000</v>
      </c>
      <c r="D39" s="900">
        <f t="shared" ref="D39:I39" si="47">+D139</f>
        <v>82438487000</v>
      </c>
      <c r="E39" s="900">
        <f t="shared" si="47"/>
        <v>107207870000</v>
      </c>
      <c r="F39" s="900">
        <f t="shared" si="47"/>
        <v>90752737000</v>
      </c>
      <c r="G39" s="900">
        <f t="shared" si="47"/>
        <v>82722313000</v>
      </c>
      <c r="H39" s="1102">
        <f t="shared" si="47"/>
        <v>-42212328000</v>
      </c>
      <c r="I39" s="900">
        <f t="shared" si="47"/>
        <v>159234949000</v>
      </c>
      <c r="J39" s="900">
        <f t="shared" ref="J39:N39" si="48">+J139</f>
        <v>361334137000</v>
      </c>
      <c r="K39" s="900">
        <f t="shared" si="48"/>
        <v>0</v>
      </c>
      <c r="L39" s="900">
        <f t="shared" si="48"/>
        <v>0</v>
      </c>
      <c r="M39" s="900">
        <f t="shared" si="48"/>
        <v>0</v>
      </c>
      <c r="N39" s="900">
        <f t="shared" si="48"/>
        <v>0</v>
      </c>
    </row>
    <row r="40" spans="2:14" ht="13.15">
      <c r="B40" s="899" t="s">
        <v>776</v>
      </c>
      <c r="C40" s="900">
        <f>+C141</f>
        <v>51801617000</v>
      </c>
      <c r="D40" s="900">
        <f t="shared" ref="D40:I40" si="49">+D141</f>
        <v>51495743000</v>
      </c>
      <c r="E40" s="900">
        <f t="shared" si="49"/>
        <v>68463403000</v>
      </c>
      <c r="F40" s="900">
        <f t="shared" si="49"/>
        <v>51445812000</v>
      </c>
      <c r="G40" s="900">
        <f t="shared" si="49"/>
        <v>47822492000</v>
      </c>
      <c r="H40" s="1102">
        <f t="shared" si="49"/>
        <v>-26224535000</v>
      </c>
      <c r="I40" s="900">
        <f t="shared" si="49"/>
        <v>94451300000</v>
      </c>
      <c r="J40" s="900">
        <f t="shared" ref="J40:N40" si="50">+J141</f>
        <v>219810595000</v>
      </c>
      <c r="K40" s="900">
        <f t="shared" si="50"/>
        <v>0</v>
      </c>
      <c r="L40" s="900">
        <f t="shared" si="50"/>
        <v>0</v>
      </c>
      <c r="M40" s="900">
        <f t="shared" si="50"/>
        <v>0</v>
      </c>
      <c r="N40" s="900">
        <f t="shared" si="50"/>
        <v>0</v>
      </c>
    </row>
    <row r="41" spans="2:14">
      <c r="B41" s="889" t="s">
        <v>296</v>
      </c>
      <c r="C41" s="901">
        <f>C39/C36</f>
        <v>0.17389569043914341</v>
      </c>
      <c r="D41" s="901">
        <f t="shared" ref="D41:I41" si="51">D39/D36</f>
        <v>0.14839252770221092</v>
      </c>
      <c r="E41" s="901">
        <f t="shared" si="51"/>
        <v>0.18620385016700877</v>
      </c>
      <c r="F41" s="901">
        <f t="shared" si="51"/>
        <v>0.19391101163642085</v>
      </c>
      <c r="G41" s="901">
        <f t="shared" si="51"/>
        <v>0.14773106343329129</v>
      </c>
      <c r="H41" s="1103">
        <f t="shared" si="51"/>
        <v>-5.1811113343697958E-2</v>
      </c>
      <c r="I41" s="901">
        <f t="shared" si="51"/>
        <v>0.20344968442252429</v>
      </c>
      <c r="J41" s="901">
        <f t="shared" ref="J41:N41" si="52">J39/J36</f>
        <v>0.40834540481032772</v>
      </c>
      <c r="K41" s="901" t="e">
        <f t="shared" si="52"/>
        <v>#DIV/0!</v>
      </c>
      <c r="L41" s="901" t="e">
        <f t="shared" si="52"/>
        <v>#DIV/0!</v>
      </c>
      <c r="M41" s="901" t="e">
        <f t="shared" si="52"/>
        <v>#DIV/0!</v>
      </c>
      <c r="N41" s="901" t="e">
        <f t="shared" si="52"/>
        <v>#DIV/0!</v>
      </c>
    </row>
    <row r="42" spans="2:14">
      <c r="B42" s="1356" t="s">
        <v>159</v>
      </c>
      <c r="C42" s="1104">
        <f>+C40/C17</f>
        <v>24.653928157211144</v>
      </c>
      <c r="D42" s="1104">
        <f>+D40/D17</f>
        <v>24.508353635451353</v>
      </c>
      <c r="E42" s="1104">
        <f>+E40/E17</f>
        <v>32.583767007894636</v>
      </c>
      <c r="F42" s="1104">
        <f>+F40/F17</f>
        <v>24.484589989486061</v>
      </c>
      <c r="G42" s="1104">
        <f t="shared" ref="G42:I42" si="53">+G142</f>
        <v>22.76</v>
      </c>
      <c r="H42" s="1105">
        <f t="shared" si="53"/>
        <v>-12.48</v>
      </c>
      <c r="I42" s="1104">
        <f t="shared" si="53"/>
        <v>44.95</v>
      </c>
      <c r="J42" s="1104">
        <f t="shared" ref="J42:N42" si="54">+J142</f>
        <v>104.61</v>
      </c>
      <c r="K42" s="1104">
        <f t="shared" si="54"/>
        <v>0</v>
      </c>
      <c r="L42" s="1104">
        <f t="shared" si="54"/>
        <v>0</v>
      </c>
      <c r="M42" s="1104">
        <f t="shared" si="54"/>
        <v>0</v>
      </c>
      <c r="N42" s="1104">
        <f t="shared" si="54"/>
        <v>0</v>
      </c>
    </row>
    <row r="43" spans="2:14" ht="13.15">
      <c r="B43" s="904" t="s">
        <v>160</v>
      </c>
      <c r="C43" s="905">
        <f t="shared" ref="C43:N43" si="55">C39/C15</f>
        <v>8.5650688224911509E-2</v>
      </c>
      <c r="D43" s="905">
        <f t="shared" si="55"/>
        <v>7.6216899934045845E-2</v>
      </c>
      <c r="E43" s="905">
        <f t="shared" si="55"/>
        <v>9.4963635720826778E-2</v>
      </c>
      <c r="F43" s="905">
        <f t="shared" si="55"/>
        <v>7.720865919729207E-2</v>
      </c>
      <c r="G43" s="905">
        <f t="shared" si="55"/>
        <v>6.985909744782616E-2</v>
      </c>
      <c r="H43" s="1106">
        <f t="shared" si="55"/>
        <v>-3.2595193353787626E-2</v>
      </c>
      <c r="I43" s="905">
        <f t="shared" si="55"/>
        <v>0.11803596497369551</v>
      </c>
      <c r="J43" s="905">
        <f t="shared" si="55"/>
        <v>0.22148718288397934</v>
      </c>
      <c r="K43" s="905" t="e">
        <f t="shared" si="55"/>
        <v>#DIV/0!</v>
      </c>
      <c r="L43" s="905" t="e">
        <f t="shared" si="55"/>
        <v>#DIV/0!</v>
      </c>
      <c r="M43" s="905" t="e">
        <f t="shared" si="55"/>
        <v>#DIV/0!</v>
      </c>
      <c r="N43" s="905" t="e">
        <f t="shared" si="55"/>
        <v>#DIV/0!</v>
      </c>
    </row>
    <row r="44" spans="2:14" ht="13.15">
      <c r="B44" s="904" t="s">
        <v>382</v>
      </c>
      <c r="C44" s="905">
        <f>AVERAGE(E43:I43)</f>
        <v>6.5494432797170571E-2</v>
      </c>
      <c r="D44" s="905"/>
      <c r="E44" s="905"/>
      <c r="F44" s="905"/>
      <c r="G44" s="905"/>
      <c r="H44" s="905"/>
      <c r="I44" s="905"/>
      <c r="J44" s="905"/>
      <c r="K44" s="905"/>
      <c r="L44" s="905"/>
      <c r="M44" s="905"/>
      <c r="N44" s="905"/>
    </row>
    <row r="45" spans="2:14" ht="13.15">
      <c r="B45" s="904" t="s">
        <v>298</v>
      </c>
      <c r="C45" s="907">
        <f>+C155</f>
        <v>18405773000</v>
      </c>
      <c r="D45" s="907">
        <f t="shared" ref="D45:I45" si="56">+D155</f>
        <v>-14264666000</v>
      </c>
      <c r="E45" s="907">
        <f t="shared" si="56"/>
        <v>102204645000</v>
      </c>
      <c r="F45" s="907">
        <f t="shared" si="56"/>
        <v>146205563000</v>
      </c>
      <c r="G45" s="907">
        <f t="shared" si="56"/>
        <v>80794806000</v>
      </c>
      <c r="H45" s="907">
        <f t="shared" si="56"/>
        <v>146260723000</v>
      </c>
      <c r="I45" s="907">
        <f t="shared" si="56"/>
        <v>194349613000</v>
      </c>
      <c r="J45" s="907">
        <f t="shared" ref="J45:N45" si="57">+J155</f>
        <v>206538463000</v>
      </c>
      <c r="K45" s="907">
        <f t="shared" si="57"/>
        <v>0</v>
      </c>
      <c r="L45" s="907">
        <f t="shared" si="57"/>
        <v>0</v>
      </c>
      <c r="M45" s="907">
        <f t="shared" si="57"/>
        <v>0</v>
      </c>
      <c r="N45" s="907">
        <f t="shared" si="57"/>
        <v>0</v>
      </c>
    </row>
    <row r="46" spans="2:14" ht="25.5">
      <c r="B46" s="51" t="s">
        <v>111</v>
      </c>
      <c r="C46" s="908">
        <f>SUM(C48:C51)</f>
        <v>27</v>
      </c>
      <c r="D46" s="908">
        <f>SUM(D48:D51)</f>
        <v>5</v>
      </c>
      <c r="E46" s="908">
        <f t="shared" ref="D46:F46" si="58">SUM(E48:E51)</f>
        <v>19</v>
      </c>
      <c r="F46" s="908">
        <f t="shared" si="58"/>
        <v>33</v>
      </c>
      <c r="G46" s="908">
        <f t="shared" ref="G46:N46" si="59">SUM(G48:G51)</f>
        <v>29</v>
      </c>
      <c r="H46" s="908">
        <f t="shared" si="59"/>
        <v>7</v>
      </c>
      <c r="I46" s="908">
        <f t="shared" si="59"/>
        <v>29</v>
      </c>
      <c r="J46" s="908">
        <f t="shared" si="59"/>
        <v>62</v>
      </c>
      <c r="K46" s="908">
        <f t="shared" si="59"/>
        <v>0</v>
      </c>
      <c r="L46" s="908">
        <f t="shared" si="59"/>
        <v>0</v>
      </c>
      <c r="M46" s="908">
        <f t="shared" si="59"/>
        <v>0</v>
      </c>
      <c r="N46" s="908">
        <f t="shared" si="59"/>
        <v>0</v>
      </c>
    </row>
    <row r="47" spans="2:14" ht="25.5">
      <c r="B47" s="51" t="s">
        <v>112</v>
      </c>
      <c r="C47" s="908">
        <f>+C48+C49+C50</f>
        <v>27</v>
      </c>
      <c r="D47" s="908">
        <f>+D48+D49+D50</f>
        <v>5</v>
      </c>
      <c r="E47" s="908">
        <v>80</v>
      </c>
      <c r="F47" s="908">
        <f t="shared" ref="F47:N47" si="60">+F48+F49+F50</f>
        <v>0</v>
      </c>
      <c r="G47" s="908">
        <f t="shared" si="60"/>
        <v>13</v>
      </c>
      <c r="H47" s="908">
        <f t="shared" si="60"/>
        <v>7</v>
      </c>
      <c r="I47" s="908">
        <f t="shared" si="60"/>
        <v>15</v>
      </c>
      <c r="J47" s="908">
        <f>+J48+J49+J50</f>
        <v>62</v>
      </c>
      <c r="K47" s="908">
        <f t="shared" si="60"/>
        <v>0</v>
      </c>
      <c r="L47" s="908">
        <f t="shared" si="60"/>
        <v>0</v>
      </c>
      <c r="M47" s="908">
        <f t="shared" si="60"/>
        <v>0</v>
      </c>
      <c r="N47" s="908">
        <f t="shared" si="60"/>
        <v>0</v>
      </c>
    </row>
    <row r="48" spans="2:14" ht="18">
      <c r="B48" s="135" t="s">
        <v>114</v>
      </c>
      <c r="C48" s="875">
        <v>20</v>
      </c>
      <c r="D48" s="875"/>
      <c r="E48" s="875">
        <v>4</v>
      </c>
      <c r="F48" s="875"/>
      <c r="G48" s="875">
        <v>13</v>
      </c>
      <c r="H48" s="875">
        <v>7</v>
      </c>
      <c r="I48" s="875"/>
      <c r="J48" s="875"/>
      <c r="K48" s="875"/>
      <c r="L48" s="875"/>
      <c r="M48" s="875"/>
      <c r="N48" s="875"/>
    </row>
    <row r="49" spans="2:16" ht="18">
      <c r="B49" s="135" t="s">
        <v>115</v>
      </c>
      <c r="C49" s="875">
        <v>7</v>
      </c>
      <c r="D49" s="875">
        <v>5</v>
      </c>
      <c r="E49" s="875">
        <v>15</v>
      </c>
      <c r="F49" s="875"/>
      <c r="G49" s="875"/>
      <c r="H49" s="875"/>
      <c r="I49" s="875">
        <v>15</v>
      </c>
      <c r="J49" s="875">
        <v>62</v>
      </c>
      <c r="K49" s="875"/>
      <c r="L49" s="875"/>
      <c r="M49" s="875"/>
      <c r="N49" s="875"/>
    </row>
    <row r="50" spans="2:16" ht="18">
      <c r="B50" s="135" t="s">
        <v>116</v>
      </c>
      <c r="C50" s="875"/>
      <c r="D50" s="875"/>
      <c r="E50" s="875"/>
      <c r="F50" s="875"/>
      <c r="G50" s="875"/>
      <c r="H50" s="875"/>
      <c r="I50" s="875"/>
      <c r="J50" s="875"/>
      <c r="K50" s="875"/>
      <c r="L50" s="875"/>
      <c r="M50" s="875"/>
      <c r="N50" s="875"/>
    </row>
    <row r="51" spans="2:16" ht="18">
      <c r="B51" s="135" t="s">
        <v>117</v>
      </c>
      <c r="C51" s="875"/>
      <c r="D51" s="875"/>
      <c r="E51" s="875"/>
      <c r="F51" s="875">
        <f>19+14</f>
        <v>33</v>
      </c>
      <c r="G51" s="875">
        <v>16</v>
      </c>
      <c r="H51" s="875"/>
      <c r="I51" s="875">
        <v>14</v>
      </c>
      <c r="J51" s="875"/>
      <c r="K51" s="875"/>
      <c r="L51" s="875"/>
      <c r="M51" s="875"/>
      <c r="N51" s="875"/>
    </row>
    <row r="52" spans="2:16" ht="25.5">
      <c r="B52" s="51" t="s">
        <v>119</v>
      </c>
      <c r="C52" s="875"/>
      <c r="D52" s="875"/>
      <c r="E52" s="875"/>
      <c r="F52" s="875"/>
      <c r="G52" s="875"/>
      <c r="H52" s="875"/>
      <c r="I52" s="875"/>
      <c r="J52" s="875"/>
      <c r="K52" s="875"/>
      <c r="L52" s="875"/>
      <c r="M52" s="875"/>
      <c r="N52" s="875"/>
    </row>
    <row r="53" spans="2:16" ht="25.5">
      <c r="B53" s="51" t="s">
        <v>120</v>
      </c>
      <c r="C53" s="875"/>
      <c r="D53" s="875"/>
      <c r="E53" s="875"/>
      <c r="F53" s="875"/>
      <c r="G53" s="875"/>
      <c r="H53" s="875"/>
      <c r="I53" s="875"/>
      <c r="J53" s="875"/>
      <c r="K53" s="875"/>
      <c r="L53" s="875"/>
      <c r="M53" s="875"/>
      <c r="N53" s="875"/>
    </row>
    <row r="54" spans="2:16" ht="18">
      <c r="B54" s="135" t="s">
        <v>121</v>
      </c>
      <c r="C54" s="875">
        <v>1</v>
      </c>
      <c r="D54" s="875">
        <v>4</v>
      </c>
      <c r="E54" s="875"/>
      <c r="F54" s="875">
        <v>13</v>
      </c>
      <c r="G54" s="875"/>
      <c r="H54" s="875"/>
      <c r="I54" s="875"/>
      <c r="J54" s="875"/>
      <c r="K54" s="875"/>
      <c r="L54" s="875"/>
      <c r="M54" s="875"/>
      <c r="N54" s="875"/>
    </row>
    <row r="55" spans="2:16" ht="18">
      <c r="B55" s="135" t="s">
        <v>122</v>
      </c>
      <c r="C55" s="875"/>
      <c r="D55" s="875"/>
      <c r="E55" s="875"/>
      <c r="F55" s="875">
        <v>15</v>
      </c>
      <c r="G55" s="875"/>
      <c r="H55" s="875"/>
      <c r="I55" s="875">
        <f>15+62</f>
        <v>77</v>
      </c>
      <c r="J55" s="875"/>
      <c r="K55" s="875"/>
      <c r="L55" s="875"/>
      <c r="M55" s="875"/>
      <c r="N55" s="875"/>
    </row>
    <row r="56" spans="2:16" ht="18">
      <c r="B56" s="135" t="s">
        <v>123</v>
      </c>
      <c r="C56" s="875"/>
      <c r="D56" s="875"/>
      <c r="E56" s="875"/>
      <c r="F56" s="875"/>
      <c r="G56" s="875"/>
      <c r="H56" s="875"/>
      <c r="I56" s="875"/>
      <c r="J56" s="875"/>
      <c r="K56" s="875"/>
      <c r="L56" s="875"/>
      <c r="M56" s="875"/>
      <c r="N56" s="875"/>
    </row>
    <row r="57" spans="2:16" ht="18">
      <c r="B57" s="135" t="s">
        <v>124</v>
      </c>
      <c r="C57" s="875"/>
      <c r="D57" s="875"/>
      <c r="E57" s="875"/>
      <c r="F57" s="875">
        <f>19+14</f>
        <v>33</v>
      </c>
      <c r="G57" s="875"/>
      <c r="H57" s="875"/>
      <c r="I57" s="875">
        <v>14</v>
      </c>
      <c r="J57" s="875"/>
      <c r="K57" s="875"/>
      <c r="L57" s="875"/>
      <c r="M57" s="875"/>
      <c r="N57" s="875"/>
    </row>
    <row r="58" spans="2:16">
      <c r="B58" s="911" t="s">
        <v>167</v>
      </c>
      <c r="C58" s="912">
        <f>(C49+C50+D48)/C42</f>
        <v>0.28393041284792325</v>
      </c>
      <c r="D58" s="912">
        <f t="shared" ref="D58:N58" si="61">(D49+D50+E48)/D42</f>
        <v>0.36722172912428896</v>
      </c>
      <c r="E58" s="912">
        <f t="shared" si="61"/>
        <v>0.46035192911751699</v>
      </c>
      <c r="F58" s="1107">
        <f>(F49+F50+G48)/F42</f>
        <v>0.53094619944962673</v>
      </c>
      <c r="G58" s="912">
        <f t="shared" si="61"/>
        <v>0.30755711775043937</v>
      </c>
      <c r="H58" s="912">
        <f>(H49+H50+I48)/H42</f>
        <v>0</v>
      </c>
      <c r="I58" s="912">
        <f>(I49+I50+J48)/I42</f>
        <v>0.33370411568409342</v>
      </c>
      <c r="J58" s="912">
        <f>(J49+J50+K48)/J42</f>
        <v>0.59267756428639706</v>
      </c>
      <c r="K58" s="912" t="e">
        <f t="shared" si="61"/>
        <v>#DIV/0!</v>
      </c>
      <c r="L58" s="912" t="e">
        <f t="shared" si="61"/>
        <v>#DIV/0!</v>
      </c>
      <c r="M58" s="912" t="e">
        <f t="shared" si="61"/>
        <v>#DIV/0!</v>
      </c>
      <c r="N58" s="912" t="e">
        <f t="shared" si="61"/>
        <v>#DIV/0!</v>
      </c>
    </row>
    <row r="59" spans="2:16">
      <c r="B59" s="913" t="s">
        <v>303</v>
      </c>
      <c r="C59" s="914">
        <f>AVERAGE(G58:I58)</f>
        <v>0.2137537444781776</v>
      </c>
      <c r="D59" s="914"/>
      <c r="E59" s="914"/>
      <c r="F59" s="914"/>
      <c r="G59" s="914"/>
      <c r="H59" s="914"/>
      <c r="I59" s="914"/>
      <c r="J59" s="914"/>
      <c r="K59" s="914"/>
      <c r="L59" s="914"/>
      <c r="M59" s="914"/>
      <c r="N59" s="914"/>
    </row>
    <row r="60" spans="2:16">
      <c r="B60" s="911" t="s">
        <v>299</v>
      </c>
      <c r="C60" s="912">
        <f>+C46/C20</f>
        <v>0.11014114383617525</v>
      </c>
      <c r="D60" s="912">
        <f t="shared" ref="C60:N60" si="62">+D46/D20</f>
        <v>2.0448225094061835E-2</v>
      </c>
      <c r="E60" s="912">
        <f t="shared" si="62"/>
        <v>0.12016950224527227</v>
      </c>
      <c r="F60" s="912">
        <f t="shared" si="62"/>
        <v>0.18327224258580474</v>
      </c>
      <c r="G60" s="912">
        <f t="shared" si="62"/>
        <v>0.13332720334697257</v>
      </c>
      <c r="H60" s="912">
        <f t="shared" si="62"/>
        <v>2.9253207405240504E-2</v>
      </c>
      <c r="I60" s="912">
        <f t="shared" si="62"/>
        <v>0.11600000000000001</v>
      </c>
      <c r="J60" s="912">
        <f t="shared" si="62"/>
        <v>0.14949485207243265</v>
      </c>
      <c r="K60" s="912" t="e">
        <f t="shared" si="62"/>
        <v>#DIV/0!</v>
      </c>
      <c r="L60" s="912" t="e">
        <f t="shared" si="62"/>
        <v>#DIV/0!</v>
      </c>
      <c r="M60" s="912" t="e">
        <f t="shared" si="62"/>
        <v>#DIV/0!</v>
      </c>
      <c r="N60" s="912" t="e">
        <f t="shared" si="62"/>
        <v>#DIV/0!</v>
      </c>
    </row>
    <row r="61" spans="2:16">
      <c r="B61" s="915" t="s">
        <v>384</v>
      </c>
      <c r="C61" s="916">
        <f>AVERAGE(G60:I60)</f>
        <v>9.2860136917404357E-2</v>
      </c>
      <c r="D61" s="916"/>
      <c r="E61" s="916"/>
      <c r="F61" s="916"/>
      <c r="G61" s="916"/>
      <c r="H61" s="916"/>
      <c r="I61" s="916"/>
      <c r="J61" s="916"/>
      <c r="K61" s="916"/>
      <c r="L61" s="916"/>
      <c r="M61" s="916"/>
      <c r="N61" s="916"/>
      <c r="O61" s="916"/>
      <c r="P61" s="916"/>
    </row>
    <row r="62" spans="2:16">
      <c r="B62" s="917" t="s">
        <v>176</v>
      </c>
      <c r="C62" s="918">
        <f>+C43*(100%-C58)</f>
        <v>6.1331852956503632E-2</v>
      </c>
      <c r="D62" s="918">
        <f t="shared" ref="D62:I62" si="63">+D43*(100%-D58)</f>
        <v>4.8228398151772621E-2</v>
      </c>
      <c r="E62" s="918">
        <f t="shared" si="63"/>
        <v>5.1246942820731022E-2</v>
      </c>
      <c r="F62" s="919">
        <f t="shared" si="63"/>
        <v>3.6215015031888377E-2</v>
      </c>
      <c r="G62" s="918">
        <f t="shared" si="63"/>
        <v>4.8373434788125669E-2</v>
      </c>
      <c r="H62" s="918">
        <f t="shared" si="63"/>
        <v>-3.2595193353787626E-2</v>
      </c>
      <c r="I62" s="918">
        <f t="shared" si="63"/>
        <v>7.8646877663229822E-2</v>
      </c>
      <c r="J62" s="918">
        <f>+J43*(100%-J58)</f>
        <v>9.0216698811646692E-2</v>
      </c>
      <c r="K62" s="918" t="e">
        <f t="shared" ref="K62:N62" si="64">+K43*(100%-K58)</f>
        <v>#DIV/0!</v>
      </c>
      <c r="L62" s="918" t="e">
        <f t="shared" si="64"/>
        <v>#DIV/0!</v>
      </c>
      <c r="M62" s="918" t="e">
        <f t="shared" si="64"/>
        <v>#DIV/0!</v>
      </c>
      <c r="N62" s="918" t="e">
        <f t="shared" si="64"/>
        <v>#DIV/0!</v>
      </c>
    </row>
    <row r="63" spans="2:16">
      <c r="B63" s="915" t="s">
        <v>306</v>
      </c>
      <c r="C63" s="916">
        <f>AVERAGE(G62:I62)</f>
        <v>3.1475039699189293E-2</v>
      </c>
      <c r="D63" s="916"/>
      <c r="E63" s="916"/>
      <c r="F63" s="916"/>
      <c r="G63" s="916"/>
      <c r="H63" s="916"/>
      <c r="I63" s="916"/>
      <c r="J63" s="916"/>
      <c r="K63" s="916"/>
      <c r="L63" s="916"/>
      <c r="M63" s="916"/>
      <c r="N63" s="916"/>
      <c r="O63" s="916"/>
    </row>
    <row r="64" spans="2:16">
      <c r="B64" s="915" t="s">
        <v>300</v>
      </c>
      <c r="C64" s="920">
        <f ca="1">B3</f>
        <v>622.98</v>
      </c>
      <c r="D64" s="916"/>
      <c r="E64" s="916"/>
      <c r="F64" s="916"/>
      <c r="G64" s="916"/>
      <c r="H64" s="916"/>
      <c r="I64" s="916"/>
      <c r="J64" s="916"/>
      <c r="K64" s="916"/>
      <c r="L64" s="916"/>
      <c r="M64" s="916"/>
      <c r="N64" s="916"/>
      <c r="O64" s="916"/>
    </row>
    <row r="65" spans="2:15">
      <c r="B65" s="915"/>
      <c r="C65" s="916"/>
      <c r="D65" s="916"/>
      <c r="E65" s="916"/>
      <c r="F65" s="916"/>
      <c r="G65" s="916"/>
      <c r="H65" s="916"/>
      <c r="I65" s="916"/>
      <c r="J65" s="916"/>
      <c r="K65" s="916"/>
      <c r="L65" s="916"/>
      <c r="M65" s="916"/>
      <c r="N65" s="916"/>
      <c r="O65" s="916"/>
    </row>
    <row r="66" spans="2:15" ht="13.15">
      <c r="B66" s="921" t="s">
        <v>307</v>
      </c>
    </row>
    <row r="67" spans="2:15" ht="13.15">
      <c r="B67" s="922" t="s">
        <v>696</v>
      </c>
      <c r="C67" s="923">
        <v>2017</v>
      </c>
      <c r="D67" s="923">
        <v>2018</v>
      </c>
      <c r="E67" s="923">
        <v>2019</v>
      </c>
      <c r="F67" s="923">
        <v>2020</v>
      </c>
      <c r="G67" s="923">
        <v>2021</v>
      </c>
      <c r="H67" s="923">
        <v>2022</v>
      </c>
      <c r="I67" s="923">
        <v>2023</v>
      </c>
      <c r="J67" s="923">
        <v>2024</v>
      </c>
      <c r="K67" s="923">
        <v>2025</v>
      </c>
      <c r="L67" s="923">
        <v>2026</v>
      </c>
      <c r="M67" s="923">
        <v>2027</v>
      </c>
      <c r="N67" s="923">
        <v>2028</v>
      </c>
    </row>
    <row r="68" spans="2:15" ht="13.15">
      <c r="B68" s="924" t="s">
        <v>309</v>
      </c>
      <c r="C68" s="925"/>
      <c r="D68" s="927"/>
      <c r="E68" s="927"/>
      <c r="F68" s="927"/>
      <c r="G68" s="927"/>
      <c r="H68" s="927"/>
      <c r="I68" s="925"/>
      <c r="J68" s="925"/>
      <c r="K68" s="925"/>
      <c r="L68" s="925"/>
      <c r="M68" s="925"/>
      <c r="N68" s="925"/>
    </row>
    <row r="69" spans="2:15" ht="13.15">
      <c r="B69" s="926" t="s">
        <v>310</v>
      </c>
      <c r="C69" s="927">
        <v>143881319000</v>
      </c>
      <c r="D69" s="927">
        <v>131807947000</v>
      </c>
      <c r="E69" s="927">
        <v>159032933000</v>
      </c>
      <c r="F69" s="928">
        <v>180854297000</v>
      </c>
      <c r="G69" s="927">
        <v>200877427000</v>
      </c>
      <c r="H69" s="927">
        <v>313127429000</v>
      </c>
      <c r="I69" s="927">
        <v>359712382000</v>
      </c>
      <c r="J69" s="925">
        <v>358855262000</v>
      </c>
      <c r="K69" s="925"/>
      <c r="L69" s="925"/>
      <c r="M69" s="925"/>
      <c r="N69" s="925"/>
    </row>
    <row r="70" spans="2:15">
      <c r="B70" s="930" t="s">
        <v>777</v>
      </c>
      <c r="C70" s="925">
        <v>56880517000</v>
      </c>
      <c r="D70" s="925">
        <v>19530675000</v>
      </c>
      <c r="E70" s="925">
        <v>51628727000</v>
      </c>
      <c r="F70" s="925">
        <v>121931012000</v>
      </c>
      <c r="G70" s="925">
        <v>104501333000</v>
      </c>
      <c r="H70" s="925">
        <v>187734025000</v>
      </c>
      <c r="I70" s="925">
        <v>231289266000</v>
      </c>
      <c r="J70" s="925">
        <v>226730647000</v>
      </c>
      <c r="K70" s="925"/>
      <c r="L70" s="925"/>
      <c r="M70" s="925"/>
      <c r="N70" s="925"/>
    </row>
    <row r="71" spans="2:15">
      <c r="B71" s="930" t="s">
        <v>778</v>
      </c>
      <c r="C71" s="925">
        <v>29098000</v>
      </c>
      <c r="D71" s="925">
        <v>0</v>
      </c>
      <c r="E71" s="925"/>
      <c r="F71" s="925"/>
      <c r="G71" s="925">
        <v>0</v>
      </c>
      <c r="H71" s="931">
        <v>86325000</v>
      </c>
      <c r="I71" s="925">
        <v>319000</v>
      </c>
      <c r="J71" s="925">
        <v>9409000</v>
      </c>
      <c r="K71" s="925"/>
      <c r="L71" s="925"/>
      <c r="M71" s="925"/>
      <c r="N71" s="925"/>
    </row>
    <row r="72" spans="2:15">
      <c r="B72" s="930" t="s">
        <v>779</v>
      </c>
      <c r="C72" s="925">
        <v>4178730000</v>
      </c>
      <c r="D72" s="925">
        <v>3487133000</v>
      </c>
      <c r="E72" s="925">
        <v>4647455000</v>
      </c>
      <c r="F72" s="925">
        <v>3803795000</v>
      </c>
      <c r="G72" s="925">
        <v>3048447000</v>
      </c>
      <c r="H72" s="931">
        <v>3634144000</v>
      </c>
      <c r="I72" s="925">
        <v>2989497000</v>
      </c>
      <c r="J72" s="925">
        <v>1937080000</v>
      </c>
      <c r="K72" s="925"/>
      <c r="L72" s="925"/>
      <c r="M72" s="925"/>
      <c r="N72" s="925"/>
    </row>
    <row r="73" spans="2:15">
      <c r="B73" s="930" t="s">
        <v>629</v>
      </c>
      <c r="C73" s="925">
        <v>50238869000</v>
      </c>
      <c r="D73" s="925">
        <v>67712988000</v>
      </c>
      <c r="E73" s="925">
        <v>60266582000</v>
      </c>
      <c r="F73" s="925">
        <v>46519247000</v>
      </c>
      <c r="G73" s="925">
        <v>70915361000</v>
      </c>
      <c r="H73" s="931">
        <v>92780442000</v>
      </c>
      <c r="I73" s="925">
        <v>99902187000</v>
      </c>
      <c r="J73" s="925">
        <v>97798389000</v>
      </c>
      <c r="K73" s="925"/>
      <c r="L73" s="925"/>
      <c r="M73" s="925"/>
      <c r="N73" s="925"/>
    </row>
    <row r="74" spans="2:15">
      <c r="B74" s="930" t="s">
        <v>780</v>
      </c>
      <c r="C74" s="925">
        <v>12142817000</v>
      </c>
      <c r="D74" s="925">
        <v>8973297000</v>
      </c>
      <c r="E74" s="925">
        <v>28574538000</v>
      </c>
      <c r="F74" s="925">
        <v>2652397000</v>
      </c>
      <c r="G74" s="925">
        <v>5117740000</v>
      </c>
      <c r="H74" s="931">
        <v>17168215000</v>
      </c>
      <c r="I74" s="925">
        <v>17585529000</v>
      </c>
      <c r="J74" s="925">
        <v>24240667000</v>
      </c>
      <c r="K74" s="925"/>
      <c r="L74" s="925"/>
      <c r="M74" s="925"/>
      <c r="N74" s="925"/>
    </row>
    <row r="75" spans="2:15">
      <c r="B75" s="930" t="s">
        <v>268</v>
      </c>
      <c r="C75" s="932">
        <v>8556956000</v>
      </c>
      <c r="D75" s="925">
        <v>8154054000</v>
      </c>
      <c r="E75" s="925">
        <v>6329257000</v>
      </c>
      <c r="F75" s="925">
        <v>5947846000</v>
      </c>
      <c r="G75" s="925">
        <v>9429295000</v>
      </c>
      <c r="H75" s="931">
        <v>11724278000</v>
      </c>
      <c r="I75" s="925">
        <v>7811621000</v>
      </c>
      <c r="J75" s="925">
        <v>8139070000</v>
      </c>
      <c r="K75" s="925"/>
      <c r="L75" s="925"/>
      <c r="M75" s="925"/>
      <c r="N75" s="925"/>
    </row>
    <row r="76" spans="2:15">
      <c r="B76" s="930" t="s">
        <v>781</v>
      </c>
      <c r="C76" s="925">
        <v>11854332000</v>
      </c>
      <c r="D76" s="925">
        <v>23949800000</v>
      </c>
      <c r="E76" s="925">
        <v>7586374000</v>
      </c>
      <c r="F76" s="925">
        <v>0</v>
      </c>
      <c r="G76" s="925">
        <v>7865251000</v>
      </c>
      <c r="H76" s="931">
        <v>0</v>
      </c>
      <c r="I76" s="925"/>
      <c r="J76" s="925"/>
      <c r="K76" s="925"/>
      <c r="L76" s="925"/>
      <c r="M76" s="925"/>
      <c r="N76" s="925"/>
    </row>
    <row r="77" spans="2:15">
      <c r="B77" s="930" t="s">
        <v>318</v>
      </c>
      <c r="C77" s="925">
        <f t="shared" ref="C77:N77" si="65">+C69-C70-C75-C76-C74-C73-C72-C71</f>
        <v>0</v>
      </c>
      <c r="D77" s="925">
        <f t="shared" si="65"/>
        <v>0</v>
      </c>
      <c r="E77" s="925">
        <f t="shared" si="65"/>
        <v>0</v>
      </c>
      <c r="F77" s="925">
        <f t="shared" si="65"/>
        <v>0</v>
      </c>
      <c r="G77" s="925">
        <f t="shared" si="65"/>
        <v>0</v>
      </c>
      <c r="H77" s="925">
        <f t="shared" si="65"/>
        <v>0</v>
      </c>
      <c r="I77" s="925">
        <f t="shared" si="65"/>
        <v>133963000</v>
      </c>
      <c r="J77" s="925">
        <f t="shared" si="65"/>
        <v>0</v>
      </c>
      <c r="K77" s="925">
        <f t="shared" si="65"/>
        <v>0</v>
      </c>
      <c r="L77" s="925">
        <f t="shared" si="65"/>
        <v>0</v>
      </c>
      <c r="M77" s="925">
        <f t="shared" si="65"/>
        <v>0</v>
      </c>
      <c r="N77" s="925">
        <f t="shared" si="65"/>
        <v>0</v>
      </c>
    </row>
    <row r="78" spans="2:15" ht="13.15">
      <c r="B78" s="926" t="s">
        <v>319</v>
      </c>
      <c r="C78" s="927">
        <v>1663585824000</v>
      </c>
      <c r="D78" s="927">
        <v>1757405723000</v>
      </c>
      <c r="E78" s="927">
        <v>1818631182000</v>
      </c>
      <c r="F78" s="928">
        <v>1924581558000</v>
      </c>
      <c r="G78" s="927">
        <v>1945277558000</v>
      </c>
      <c r="H78" s="929">
        <v>2247225349000</v>
      </c>
      <c r="I78" s="927">
        <v>2227267504000</v>
      </c>
      <c r="J78" s="925">
        <v>2398632881000</v>
      </c>
      <c r="K78" s="925"/>
      <c r="L78" s="925"/>
      <c r="M78" s="925"/>
      <c r="N78" s="925"/>
    </row>
    <row r="79" spans="2:15">
      <c r="B79" s="930" t="s">
        <v>778</v>
      </c>
      <c r="C79" s="925">
        <v>6439682000</v>
      </c>
      <c r="D79" s="925">
        <v>3682000</v>
      </c>
      <c r="E79" s="925">
        <v>3682000</v>
      </c>
      <c r="F79" s="925">
        <v>3682000</v>
      </c>
      <c r="G79" s="925">
        <v>3682000</v>
      </c>
      <c r="H79" s="931">
        <v>3682000</v>
      </c>
      <c r="I79" s="925">
        <v>3682000</v>
      </c>
      <c r="J79" s="925">
        <v>3682000</v>
      </c>
      <c r="K79" s="925"/>
      <c r="L79" s="925"/>
      <c r="M79" s="925"/>
      <c r="N79" s="925"/>
    </row>
    <row r="80" spans="2:15">
      <c r="B80" s="930" t="s">
        <v>779</v>
      </c>
      <c r="C80" s="925">
        <v>2771986000</v>
      </c>
      <c r="D80" s="925">
        <v>3156864000</v>
      </c>
      <c r="E80" s="925">
        <v>1641492000</v>
      </c>
      <c r="F80" s="925">
        <v>954414000</v>
      </c>
      <c r="G80" s="925">
        <v>751553000</v>
      </c>
      <c r="H80" s="931">
        <v>839412000</v>
      </c>
      <c r="I80" s="925">
        <v>575897000</v>
      </c>
      <c r="J80" s="925">
        <v>562785000</v>
      </c>
      <c r="K80" s="925"/>
      <c r="L80" s="925"/>
      <c r="M80" s="925"/>
      <c r="N80" s="925"/>
    </row>
    <row r="81" spans="2:14">
      <c r="B81" s="930" t="s">
        <v>780</v>
      </c>
      <c r="C81" s="925">
        <f>2236392000+1821255000</f>
        <v>4057647000</v>
      </c>
      <c r="D81" s="925">
        <v>1318630000</v>
      </c>
      <c r="E81" s="925">
        <v>18956602000</v>
      </c>
      <c r="F81" s="925">
        <v>21845160000</v>
      </c>
      <c r="G81" s="925">
        <v>383712000</v>
      </c>
      <c r="H81" s="931">
        <v>1286247000</v>
      </c>
      <c r="I81" s="925">
        <v>0</v>
      </c>
      <c r="J81" s="925"/>
      <c r="K81" s="925"/>
      <c r="L81" s="925"/>
      <c r="M81" s="925"/>
      <c r="N81" s="925"/>
    </row>
    <row r="82" spans="2:14">
      <c r="B82" s="930" t="s">
        <v>782</v>
      </c>
      <c r="C82" s="925">
        <v>23934795000</v>
      </c>
      <c r="D82" s="925">
        <v>28709715000</v>
      </c>
      <c r="E82" s="925">
        <v>46143937000</v>
      </c>
      <c r="F82" s="925">
        <v>31429930000</v>
      </c>
      <c r="G82" s="925">
        <v>48521835000</v>
      </c>
      <c r="H82" s="931">
        <v>58414452000</v>
      </c>
      <c r="I82" s="925">
        <v>60165420000</v>
      </c>
      <c r="J82" s="925">
        <v>89737977000</v>
      </c>
      <c r="K82" s="925"/>
      <c r="L82" s="925"/>
      <c r="M82" s="925"/>
      <c r="N82" s="925"/>
    </row>
    <row r="83" spans="2:14">
      <c r="B83" s="930" t="s">
        <v>783</v>
      </c>
      <c r="C83" s="925">
        <v>700350038000</v>
      </c>
      <c r="D83" s="925">
        <v>698923223000</v>
      </c>
      <c r="E83" s="925">
        <v>693791090000</v>
      </c>
      <c r="F83" s="925">
        <v>688752748000</v>
      </c>
      <c r="G83" s="925">
        <v>689331945000</v>
      </c>
      <c r="H83" s="931">
        <v>692837113000</v>
      </c>
      <c r="I83" s="925">
        <v>690388371000</v>
      </c>
      <c r="J83" s="925">
        <v>685425890000</v>
      </c>
      <c r="K83" s="925"/>
      <c r="L83" s="925"/>
      <c r="M83" s="925"/>
      <c r="N83" s="925"/>
    </row>
    <row r="84" spans="2:14">
      <c r="B84" s="930" t="s">
        <v>784</v>
      </c>
      <c r="C84" s="925">
        <v>54181623000</v>
      </c>
      <c r="D84" s="925">
        <v>54181623000</v>
      </c>
      <c r="E84" s="925">
        <v>54181623000</v>
      </c>
      <c r="F84" s="925">
        <v>54181623000</v>
      </c>
      <c r="G84" s="925">
        <v>54181623000</v>
      </c>
      <c r="H84" s="931">
        <v>54181623000</v>
      </c>
      <c r="I84" s="925">
        <v>54181623000</v>
      </c>
      <c r="J84" s="1108">
        <v>54181623000</v>
      </c>
      <c r="K84" s="925"/>
      <c r="L84" s="925"/>
      <c r="M84" s="925"/>
      <c r="N84" s="925"/>
    </row>
    <row r="85" spans="2:14">
      <c r="B85" s="930" t="s">
        <v>324</v>
      </c>
      <c r="C85" s="925">
        <v>867106262000</v>
      </c>
      <c r="D85" s="925">
        <v>966554653000</v>
      </c>
      <c r="E85" s="925">
        <v>996214236000</v>
      </c>
      <c r="F85" s="925">
        <v>1117791274000</v>
      </c>
      <c r="G85" s="925">
        <v>1141784578000</v>
      </c>
      <c r="H85" s="931">
        <v>1412463099000</v>
      </c>
      <c r="I85" s="925">
        <v>1393683034000</v>
      </c>
      <c r="J85" s="925">
        <v>1537690630000</v>
      </c>
      <c r="K85" s="925"/>
      <c r="L85" s="925"/>
      <c r="M85" s="925"/>
      <c r="N85" s="925"/>
    </row>
    <row r="86" spans="2:14">
      <c r="B86" s="930" t="s">
        <v>634</v>
      </c>
      <c r="C86" s="925">
        <v>0</v>
      </c>
      <c r="D86" s="925">
        <v>0</v>
      </c>
      <c r="E86" s="925">
        <v>3842079000</v>
      </c>
      <c r="F86" s="932">
        <v>4125742000</v>
      </c>
      <c r="G86" s="925">
        <v>3225026000</v>
      </c>
      <c r="H86" s="931">
        <v>2890606000</v>
      </c>
      <c r="I86" s="925">
        <v>2651586000</v>
      </c>
      <c r="J86" s="925">
        <v>3351595000</v>
      </c>
      <c r="K86" s="925"/>
      <c r="L86" s="925"/>
      <c r="M86" s="925"/>
      <c r="N86" s="925"/>
    </row>
    <row r="87" spans="2:14">
      <c r="B87" s="930" t="s">
        <v>635</v>
      </c>
      <c r="C87" s="925">
        <v>4743971000</v>
      </c>
      <c r="D87" s="925">
        <v>4557333000</v>
      </c>
      <c r="E87" s="925">
        <v>3856441000</v>
      </c>
      <c r="F87" s="925">
        <v>5496985000</v>
      </c>
      <c r="G87" s="925">
        <v>7093604000</v>
      </c>
      <c r="H87" s="931">
        <v>24309115000</v>
      </c>
      <c r="I87" s="925">
        <v>25617891000</v>
      </c>
      <c r="J87" s="925">
        <v>27675230000</v>
      </c>
      <c r="K87" s="925"/>
      <c r="L87" s="925"/>
      <c r="M87" s="925"/>
      <c r="N87" s="925"/>
    </row>
    <row r="88" spans="2:14">
      <c r="B88" s="930" t="s">
        <v>328</v>
      </c>
      <c r="C88" s="925">
        <f t="shared" ref="C88:H88" si="66">+C78-C85-C86-C84-C79-C87-C83-C82-C81-C80</f>
        <v>-180000</v>
      </c>
      <c r="D88" s="925">
        <f t="shared" si="66"/>
        <v>0</v>
      </c>
      <c r="E88" s="925">
        <f t="shared" si="66"/>
        <v>0</v>
      </c>
      <c r="F88" s="925">
        <f t="shared" si="66"/>
        <v>0</v>
      </c>
      <c r="G88" s="925">
        <f t="shared" si="66"/>
        <v>0</v>
      </c>
      <c r="H88" s="925">
        <f t="shared" si="66"/>
        <v>0</v>
      </c>
      <c r="I88" s="925">
        <f>+I78-I85-I86-I84-I79-I87-I83-I82-I81-I80</f>
        <v>0</v>
      </c>
      <c r="J88" s="1100">
        <f>+J78-J85-J86-J84-J79-J87-J83-J82-J81-J80</f>
        <v>3469000</v>
      </c>
      <c r="K88" s="925">
        <f t="shared" ref="J88:N88" si="67">+K78-K85-K86-K84-K79-K87-K83-K82-K81-K80</f>
        <v>0</v>
      </c>
      <c r="L88" s="925">
        <f t="shared" si="67"/>
        <v>0</v>
      </c>
      <c r="M88" s="925">
        <f t="shared" si="67"/>
        <v>0</v>
      </c>
      <c r="N88" s="925">
        <f t="shared" si="67"/>
        <v>0</v>
      </c>
    </row>
    <row r="89" spans="2:14" ht="13.15">
      <c r="B89" s="933" t="s">
        <v>329</v>
      </c>
      <c r="C89" s="934">
        <f t="shared" ref="C89:I89" si="68">+C78+C69</f>
        <v>1807467143000</v>
      </c>
      <c r="D89" s="934">
        <f t="shared" si="68"/>
        <v>1889213670000</v>
      </c>
      <c r="E89" s="934">
        <f t="shared" si="68"/>
        <v>1977664115000</v>
      </c>
      <c r="F89" s="934">
        <f t="shared" si="68"/>
        <v>2105435855000</v>
      </c>
      <c r="G89" s="934">
        <f t="shared" si="68"/>
        <v>2146154985000</v>
      </c>
      <c r="H89" s="935">
        <f t="shared" si="68"/>
        <v>2560352778000</v>
      </c>
      <c r="I89" s="934">
        <f t="shared" si="68"/>
        <v>2586979886000</v>
      </c>
      <c r="J89" s="934">
        <f>+J78+J69</f>
        <v>2757488143000</v>
      </c>
      <c r="K89" s="934">
        <f t="shared" ref="K89:N89" si="69">+K78+K69</f>
        <v>0</v>
      </c>
      <c r="L89" s="934">
        <f t="shared" si="69"/>
        <v>0</v>
      </c>
      <c r="M89" s="934">
        <f t="shared" si="69"/>
        <v>0</v>
      </c>
      <c r="N89" s="934">
        <f t="shared" si="69"/>
        <v>0</v>
      </c>
    </row>
    <row r="90" spans="2:14">
      <c r="B90" s="936"/>
      <c r="C90" s="937"/>
      <c r="D90" s="937"/>
      <c r="E90" s="937"/>
      <c r="F90" s="937"/>
      <c r="G90" s="937"/>
      <c r="H90" s="938"/>
      <c r="I90" s="937"/>
      <c r="J90" s="937"/>
      <c r="K90" s="937"/>
      <c r="L90" s="937"/>
      <c r="M90" s="937"/>
      <c r="N90" s="937"/>
    </row>
    <row r="91" spans="2:14" ht="13.15">
      <c r="B91" s="922" t="s">
        <v>330</v>
      </c>
      <c r="C91" s="939"/>
      <c r="D91" s="939"/>
      <c r="E91" s="939"/>
      <c r="F91" s="939"/>
      <c r="G91" s="939"/>
      <c r="H91" s="941"/>
      <c r="I91" s="939"/>
      <c r="J91" s="939"/>
      <c r="K91" s="939"/>
      <c r="L91" s="939"/>
      <c r="M91" s="939"/>
      <c r="N91" s="939"/>
    </row>
    <row r="92" spans="2:14" ht="13.15">
      <c r="B92" s="926" t="s">
        <v>785</v>
      </c>
      <c r="C92" s="927">
        <v>71195939000</v>
      </c>
      <c r="D92" s="927">
        <v>102015430000</v>
      </c>
      <c r="E92" s="927">
        <v>87417991000</v>
      </c>
      <c r="F92" s="927">
        <v>180358286000</v>
      </c>
      <c r="G92" s="927">
        <v>163415797000</v>
      </c>
      <c r="H92" s="929">
        <v>222100253000</v>
      </c>
      <c r="I92" s="927">
        <v>223860694000</v>
      </c>
      <c r="J92" s="925">
        <v>200434471000</v>
      </c>
      <c r="K92" s="925"/>
      <c r="L92" s="925"/>
      <c r="M92" s="925"/>
      <c r="N92" s="925"/>
    </row>
    <row r="93" spans="2:14">
      <c r="B93" s="930" t="s">
        <v>786</v>
      </c>
      <c r="C93" s="925">
        <v>5494904000</v>
      </c>
      <c r="D93" s="925">
        <v>25239775000</v>
      </c>
      <c r="E93" s="925">
        <v>35527065000</v>
      </c>
      <c r="F93" s="925">
        <v>102826247000</v>
      </c>
      <c r="G93" s="925">
        <v>83131739000</v>
      </c>
      <c r="H93" s="931">
        <v>135987425000</v>
      </c>
      <c r="I93" s="925">
        <v>127369581000</v>
      </c>
      <c r="J93" s="925">
        <v>113403918000</v>
      </c>
      <c r="K93" s="925"/>
      <c r="L93" s="925"/>
      <c r="M93" s="925"/>
      <c r="N93" s="925"/>
    </row>
    <row r="94" spans="2:14">
      <c r="B94" s="930" t="s">
        <v>787</v>
      </c>
      <c r="C94" s="925">
        <v>44515098000</v>
      </c>
      <c r="D94" s="925">
        <v>44026359000</v>
      </c>
      <c r="E94" s="925">
        <v>38045450000</v>
      </c>
      <c r="F94" s="925">
        <v>34439482000</v>
      </c>
      <c r="G94" s="925">
        <v>39950220000</v>
      </c>
      <c r="H94" s="931">
        <v>48818964000</v>
      </c>
      <c r="I94" s="925">
        <v>47070803000</v>
      </c>
      <c r="J94" s="925">
        <v>53616573000</v>
      </c>
      <c r="K94" s="925"/>
      <c r="L94" s="925"/>
      <c r="M94" s="925"/>
      <c r="N94" s="925"/>
    </row>
    <row r="95" spans="2:14">
      <c r="B95" s="930" t="s">
        <v>788</v>
      </c>
      <c r="C95" s="925">
        <v>13748005000</v>
      </c>
      <c r="D95" s="925">
        <v>23393340000</v>
      </c>
      <c r="E95" s="925">
        <v>2898605000</v>
      </c>
      <c r="F95" s="925">
        <v>30489454000</v>
      </c>
      <c r="G95" s="925">
        <v>32603275000</v>
      </c>
      <c r="H95" s="931">
        <v>27094136000</v>
      </c>
      <c r="I95" s="925">
        <v>21488770000</v>
      </c>
      <c r="J95" s="925">
        <v>11727208000</v>
      </c>
      <c r="K95" s="925"/>
      <c r="L95" s="925"/>
      <c r="M95" s="925"/>
      <c r="N95" s="925"/>
    </row>
    <row r="96" spans="2:14">
      <c r="B96" s="930" t="s">
        <v>789</v>
      </c>
      <c r="C96" s="925">
        <v>5018525000</v>
      </c>
      <c r="D96" s="925">
        <v>5830695000</v>
      </c>
      <c r="E96" s="925">
        <v>6141986000</v>
      </c>
      <c r="F96" s="925">
        <v>1267315000</v>
      </c>
      <c r="G96" s="925">
        <v>850231000</v>
      </c>
      <c r="H96" s="931">
        <v>863003000</v>
      </c>
      <c r="I96" s="925">
        <v>868034000</v>
      </c>
      <c r="J96" s="925">
        <v>971217000</v>
      </c>
      <c r="K96" s="925"/>
      <c r="L96" s="925"/>
      <c r="M96" s="925"/>
      <c r="N96" s="925"/>
    </row>
    <row r="97" spans="2:14">
      <c r="B97" s="930" t="s">
        <v>790</v>
      </c>
      <c r="C97" s="925"/>
      <c r="D97" s="925"/>
      <c r="E97" s="925">
        <v>0</v>
      </c>
      <c r="F97" s="925">
        <v>5751857000</v>
      </c>
      <c r="G97" s="925">
        <v>0</v>
      </c>
      <c r="H97" s="931">
        <v>1507173000</v>
      </c>
      <c r="I97" s="925">
        <v>17411355000</v>
      </c>
      <c r="J97" s="925">
        <v>12485925000</v>
      </c>
      <c r="K97" s="925"/>
      <c r="L97" s="925"/>
      <c r="M97" s="925"/>
      <c r="N97" s="925"/>
    </row>
    <row r="98" spans="2:14">
      <c r="B98" s="930" t="s">
        <v>791</v>
      </c>
      <c r="C98" s="925">
        <v>346259000</v>
      </c>
      <c r="D98" s="925">
        <v>336408000</v>
      </c>
      <c r="E98" s="925">
        <v>409534000</v>
      </c>
      <c r="F98" s="925">
        <v>424065000</v>
      </c>
      <c r="G98" s="925">
        <v>331048000</v>
      </c>
      <c r="H98" s="931">
        <v>352057000</v>
      </c>
      <c r="I98" s="925">
        <v>804269000</v>
      </c>
      <c r="J98" s="925">
        <v>822342000</v>
      </c>
      <c r="K98" s="925"/>
      <c r="L98" s="925"/>
      <c r="M98" s="925"/>
      <c r="N98" s="925"/>
    </row>
    <row r="99" spans="2:14">
      <c r="B99" s="930" t="s">
        <v>792</v>
      </c>
      <c r="C99" s="925">
        <v>2073148000</v>
      </c>
      <c r="D99" s="925">
        <v>3188853000</v>
      </c>
      <c r="E99" s="925">
        <v>3070097000</v>
      </c>
      <c r="F99" s="925">
        <v>3894721000</v>
      </c>
      <c r="G99" s="925">
        <v>5178483000</v>
      </c>
      <c r="H99" s="931">
        <v>5912114000</v>
      </c>
      <c r="I99" s="925">
        <v>7197730000</v>
      </c>
      <c r="J99" s="925">
        <v>5973095000</v>
      </c>
      <c r="K99" s="925"/>
      <c r="L99" s="925"/>
      <c r="M99" s="925"/>
      <c r="N99" s="925"/>
    </row>
    <row r="100" spans="2:14">
      <c r="B100" s="930" t="s">
        <v>793</v>
      </c>
      <c r="C100" s="925"/>
      <c r="D100" s="925"/>
      <c r="E100" s="925">
        <v>1325254000</v>
      </c>
      <c r="F100" s="925">
        <v>1265145000</v>
      </c>
      <c r="G100" s="925">
        <v>1370801000</v>
      </c>
      <c r="H100" s="931">
        <v>1565381000</v>
      </c>
      <c r="I100" s="925">
        <v>1650152000</v>
      </c>
      <c r="J100" s="925">
        <v>1434193000</v>
      </c>
      <c r="K100" s="925"/>
      <c r="L100" s="925"/>
      <c r="M100" s="925"/>
      <c r="N100" s="925"/>
    </row>
    <row r="101" spans="2:14">
      <c r="B101" s="930" t="s">
        <v>410</v>
      </c>
      <c r="C101" s="925">
        <f t="shared" ref="C101:I101" si="70">+C92-C93-C99-C100-C98-C97-C96-C95-C94</f>
        <v>0</v>
      </c>
      <c r="D101" s="925">
        <f t="shared" si="70"/>
        <v>0</v>
      </c>
      <c r="E101" s="925">
        <f t="shared" si="70"/>
        <v>0</v>
      </c>
      <c r="F101" s="925">
        <f t="shared" si="70"/>
        <v>0</v>
      </c>
      <c r="G101" s="925">
        <f t="shared" si="70"/>
        <v>0</v>
      </c>
      <c r="H101" s="925">
        <f t="shared" si="70"/>
        <v>0</v>
      </c>
      <c r="I101" s="925">
        <f t="shared" si="70"/>
        <v>0</v>
      </c>
      <c r="J101" s="925">
        <f>+J92-J93-J99-J100-J98-J97-J96-J95-J94</f>
        <v>0</v>
      </c>
      <c r="K101" s="925">
        <f t="shared" ref="J101:N101" si="71">+K92-K93-K99-K100-K98-K97-K96-K95-K94</f>
        <v>0</v>
      </c>
      <c r="L101" s="925">
        <f t="shared" si="71"/>
        <v>0</v>
      </c>
      <c r="M101" s="925">
        <f t="shared" si="71"/>
        <v>0</v>
      </c>
      <c r="N101" s="925">
        <f t="shared" si="71"/>
        <v>0</v>
      </c>
    </row>
    <row r="102" spans="2:14" ht="13.15">
      <c r="B102" s="926" t="s">
        <v>642</v>
      </c>
      <c r="C102" s="927">
        <v>704237652000</v>
      </c>
      <c r="D102" s="927">
        <v>705568220000</v>
      </c>
      <c r="E102" s="927">
        <v>761310093000</v>
      </c>
      <c r="F102" s="927">
        <v>749655823000</v>
      </c>
      <c r="G102" s="927">
        <v>798608330000</v>
      </c>
      <c r="H102" s="929">
        <v>1046204892000</v>
      </c>
      <c r="I102" s="927">
        <v>1014081642000</v>
      </c>
      <c r="J102" s="925">
        <v>925653912000</v>
      </c>
      <c r="K102" s="925"/>
      <c r="L102" s="925"/>
      <c r="M102" s="925"/>
      <c r="N102" s="925"/>
    </row>
    <row r="103" spans="2:14">
      <c r="B103" s="930" t="s">
        <v>786</v>
      </c>
      <c r="C103" s="925">
        <v>195066453000</v>
      </c>
      <c r="D103" s="925">
        <v>335609292000</v>
      </c>
      <c r="E103" s="925">
        <v>385025277000</v>
      </c>
      <c r="F103" s="925">
        <v>339110988000</v>
      </c>
      <c r="G103" s="925">
        <v>380656237000</v>
      </c>
      <c r="H103" s="931">
        <v>342124954000</v>
      </c>
      <c r="I103" s="925">
        <v>304289843000</v>
      </c>
      <c r="J103" s="925">
        <v>314165107000</v>
      </c>
      <c r="K103" s="925"/>
      <c r="L103" s="925"/>
      <c r="M103" s="925"/>
      <c r="N103" s="925"/>
    </row>
    <row r="104" spans="2:14">
      <c r="B104" s="930" t="s">
        <v>789</v>
      </c>
      <c r="C104" s="925">
        <v>153861879000</v>
      </c>
      <c r="D104" s="925">
        <v>2557786000</v>
      </c>
      <c r="E104" s="925">
        <v>1271166000</v>
      </c>
      <c r="F104" s="925">
        <v>0</v>
      </c>
      <c r="G104" s="925">
        <v>0</v>
      </c>
      <c r="H104" s="931">
        <v>293069449000</v>
      </c>
      <c r="I104" s="925">
        <v>304562808000</v>
      </c>
      <c r="J104" s="925">
        <v>118703271000</v>
      </c>
      <c r="K104" s="925"/>
      <c r="L104" s="925"/>
      <c r="M104" s="925"/>
      <c r="N104" s="925"/>
    </row>
    <row r="105" spans="2:14">
      <c r="B105" s="930" t="s">
        <v>643</v>
      </c>
      <c r="C105" s="925">
        <v>351827865000</v>
      </c>
      <c r="D105" s="925">
        <v>364044138000</v>
      </c>
      <c r="E105" s="925">
        <v>367429560000</v>
      </c>
      <c r="F105" s="925">
        <v>403415991000</v>
      </c>
      <c r="G105" s="925">
        <v>411297029000</v>
      </c>
      <c r="H105" s="931">
        <v>405268455000</v>
      </c>
      <c r="I105" s="925">
        <v>399529665000</v>
      </c>
      <c r="J105" s="925">
        <v>486472754000</v>
      </c>
      <c r="K105" s="925"/>
      <c r="L105" s="925"/>
      <c r="M105" s="925"/>
      <c r="N105" s="925"/>
    </row>
    <row r="106" spans="2:14">
      <c r="B106" s="930" t="s">
        <v>791</v>
      </c>
      <c r="C106" s="925">
        <v>3481455000</v>
      </c>
      <c r="D106" s="925">
        <v>3357004000</v>
      </c>
      <c r="E106" s="925">
        <v>3940379000</v>
      </c>
      <c r="F106" s="925">
        <v>4037833000</v>
      </c>
      <c r="G106" s="925">
        <v>3193998000</v>
      </c>
      <c r="H106" s="931">
        <v>3493551000</v>
      </c>
      <c r="I106" s="925">
        <v>3900849000</v>
      </c>
      <c r="J106" s="925">
        <v>3440128000</v>
      </c>
      <c r="K106" s="925"/>
      <c r="L106" s="925"/>
      <c r="M106" s="925"/>
      <c r="N106" s="925"/>
    </row>
    <row r="107" spans="2:14">
      <c r="B107" s="930" t="s">
        <v>792</v>
      </c>
      <c r="C107" s="925"/>
      <c r="D107" s="925"/>
      <c r="E107" s="925">
        <v>888141000</v>
      </c>
      <c r="F107" s="925">
        <v>0</v>
      </c>
      <c r="G107" s="925">
        <v>1307056000</v>
      </c>
      <c r="H107" s="931">
        <v>0</v>
      </c>
      <c r="I107" s="925">
        <v>0</v>
      </c>
      <c r="J107" s="925"/>
      <c r="K107" s="925"/>
      <c r="L107" s="925"/>
      <c r="M107" s="925"/>
      <c r="N107" s="925"/>
    </row>
    <row r="108" spans="2:14">
      <c r="B108" s="930" t="s">
        <v>793</v>
      </c>
      <c r="C108" s="925"/>
      <c r="D108" s="925"/>
      <c r="E108" s="925">
        <v>2755570000</v>
      </c>
      <c r="F108" s="925">
        <v>3091011000</v>
      </c>
      <c r="G108" s="925">
        <v>2154010000</v>
      </c>
      <c r="H108" s="931">
        <v>2248483000</v>
      </c>
      <c r="I108" s="925">
        <v>1798477000</v>
      </c>
      <c r="J108" s="925">
        <v>2872652000</v>
      </c>
      <c r="K108" s="925"/>
      <c r="L108" s="925"/>
      <c r="M108" s="925"/>
      <c r="N108" s="925"/>
    </row>
    <row r="109" spans="2:14">
      <c r="B109" s="930" t="s">
        <v>341</v>
      </c>
      <c r="C109" s="925">
        <f t="shared" ref="C109:G109" si="72">+C102-C103-C105-C106-C104-C107-C108</f>
        <v>0</v>
      </c>
      <c r="D109" s="925">
        <f t="shared" si="72"/>
        <v>0</v>
      </c>
      <c r="E109" s="925">
        <f t="shared" si="72"/>
        <v>0</v>
      </c>
      <c r="F109" s="925">
        <f t="shared" si="72"/>
        <v>0</v>
      </c>
      <c r="G109" s="925">
        <f t="shared" si="72"/>
        <v>0</v>
      </c>
      <c r="H109" s="925">
        <f>+H102-H103-H105-H106-H104-H107-H108</f>
        <v>0</v>
      </c>
      <c r="I109" s="925">
        <f t="shared" ref="I109:J109" si="73">+I102-I103-I105-I106-I104-I107-I108</f>
        <v>0</v>
      </c>
      <c r="J109" s="925">
        <f t="shared" si="73"/>
        <v>0</v>
      </c>
      <c r="K109" s="925">
        <f t="shared" ref="K109:N109" si="74">+K102-K103-K105-K106-K104-K107-K108</f>
        <v>0</v>
      </c>
      <c r="L109" s="925">
        <f t="shared" si="74"/>
        <v>0</v>
      </c>
      <c r="M109" s="925">
        <f t="shared" si="74"/>
        <v>0</v>
      </c>
      <c r="N109" s="925">
        <f t="shared" si="74"/>
        <v>0</v>
      </c>
    </row>
    <row r="110" spans="2:14" ht="13.15">
      <c r="B110" s="933" t="s">
        <v>342</v>
      </c>
      <c r="C110" s="934">
        <f t="shared" ref="C110:N110" si="75">+C102+C92</f>
        <v>775433591000</v>
      </c>
      <c r="D110" s="934">
        <f t="shared" si="75"/>
        <v>807583650000</v>
      </c>
      <c r="E110" s="934">
        <f t="shared" si="75"/>
        <v>848728084000</v>
      </c>
      <c r="F110" s="934">
        <f t="shared" si="75"/>
        <v>930014109000</v>
      </c>
      <c r="G110" s="934">
        <f t="shared" si="75"/>
        <v>962024127000</v>
      </c>
      <c r="H110" s="935">
        <f t="shared" si="75"/>
        <v>1268305145000</v>
      </c>
      <c r="I110" s="935">
        <f t="shared" si="75"/>
        <v>1237942336000</v>
      </c>
      <c r="J110" s="935">
        <f t="shared" si="75"/>
        <v>1126088383000</v>
      </c>
      <c r="K110" s="935">
        <f t="shared" si="75"/>
        <v>0</v>
      </c>
      <c r="L110" s="935">
        <f t="shared" si="75"/>
        <v>0</v>
      </c>
      <c r="M110" s="935">
        <f t="shared" si="75"/>
        <v>0</v>
      </c>
      <c r="N110" s="935">
        <f t="shared" si="75"/>
        <v>0</v>
      </c>
    </row>
    <row r="111" spans="2:14">
      <c r="B111" s="936"/>
      <c r="C111" s="936"/>
      <c r="D111" s="936"/>
      <c r="E111" s="936"/>
      <c r="F111" s="936"/>
      <c r="G111" s="936"/>
      <c r="H111" s="936"/>
      <c r="I111" s="936"/>
      <c r="J111" s="936"/>
      <c r="K111" s="936"/>
      <c r="L111" s="936"/>
      <c r="M111" s="936"/>
      <c r="N111" s="936"/>
    </row>
    <row r="112" spans="2:14" ht="13.15">
      <c r="B112" s="922" t="s">
        <v>343</v>
      </c>
      <c r="C112" s="939"/>
      <c r="D112" s="939"/>
      <c r="E112" s="939"/>
      <c r="F112" s="939"/>
      <c r="G112" s="939"/>
      <c r="H112" s="941"/>
      <c r="I112" s="939"/>
      <c r="J112" s="939"/>
      <c r="K112" s="939"/>
      <c r="L112" s="939"/>
      <c r="M112" s="939"/>
      <c r="N112" s="939"/>
    </row>
    <row r="113" spans="2:14">
      <c r="B113" s="930" t="s">
        <v>645</v>
      </c>
      <c r="C113" s="931">
        <f>509815412000-1558362000</f>
        <v>508257050000</v>
      </c>
      <c r="D113" s="931">
        <v>508257050000</v>
      </c>
      <c r="E113" s="931">
        <v>508257050000</v>
      </c>
      <c r="F113" s="931">
        <v>508257050000</v>
      </c>
      <c r="G113" s="931">
        <v>508257050000</v>
      </c>
      <c r="H113" s="931">
        <v>508257050000</v>
      </c>
      <c r="I113" s="931">
        <v>508257050000</v>
      </c>
      <c r="J113" s="925">
        <v>508257050000</v>
      </c>
      <c r="K113" s="925"/>
      <c r="L113" s="925"/>
      <c r="M113" s="925"/>
      <c r="N113" s="925"/>
    </row>
    <row r="114" spans="2:14">
      <c r="B114" s="930" t="s">
        <v>794</v>
      </c>
      <c r="C114" s="925">
        <v>50188593000</v>
      </c>
      <c r="D114" s="925">
        <v>83565891000</v>
      </c>
      <c r="E114" s="925">
        <v>124019168000</v>
      </c>
      <c r="F114" s="925">
        <v>97604038000</v>
      </c>
      <c r="G114" s="925">
        <v>92098067000</v>
      </c>
      <c r="H114" s="931">
        <v>80269611000</v>
      </c>
      <c r="I114" s="925">
        <v>130890020000</v>
      </c>
      <c r="J114" s="925">
        <v>252980801000</v>
      </c>
      <c r="K114" s="925"/>
      <c r="L114" s="925"/>
      <c r="M114" s="925"/>
      <c r="N114" s="925"/>
    </row>
    <row r="115" spans="2:14">
      <c r="B115" s="930" t="s">
        <v>648</v>
      </c>
      <c r="C115" s="925">
        <v>53078275000</v>
      </c>
      <c r="D115" s="925">
        <v>75974276000</v>
      </c>
      <c r="E115" s="925">
        <v>76452675000</v>
      </c>
      <c r="F115" s="925">
        <v>121439817000</v>
      </c>
      <c r="G115" s="925">
        <v>132286568000</v>
      </c>
      <c r="H115" s="931">
        <v>238397155000</v>
      </c>
      <c r="I115" s="925">
        <v>220414331000</v>
      </c>
      <c r="J115" s="925">
        <v>278337732000</v>
      </c>
      <c r="K115" s="925"/>
      <c r="L115" s="925"/>
      <c r="M115" s="925"/>
      <c r="N115" s="925"/>
    </row>
    <row r="116" spans="2:14">
      <c r="B116" s="930" t="s">
        <v>795</v>
      </c>
      <c r="C116" s="925">
        <v>420509634000</v>
      </c>
      <c r="D116" s="925">
        <v>413832803000</v>
      </c>
      <c r="E116" s="925">
        <v>420207138000</v>
      </c>
      <c r="F116" s="925">
        <v>448120841000</v>
      </c>
      <c r="G116" s="925">
        <v>451489173000</v>
      </c>
      <c r="H116" s="931">
        <v>468123817000</v>
      </c>
      <c r="I116" s="925">
        <v>489476149000</v>
      </c>
      <c r="J116" s="925">
        <v>591824177000</v>
      </c>
      <c r="K116" s="925"/>
      <c r="L116" s="925"/>
      <c r="M116" s="925"/>
      <c r="N116" s="925"/>
    </row>
    <row r="117" spans="2:14" ht="13.15">
      <c r="B117" s="933" t="s">
        <v>728</v>
      </c>
      <c r="C117" s="934">
        <f t="shared" ref="C117:F117" si="76">+C113+C115+C114</f>
        <v>611523918000</v>
      </c>
      <c r="D117" s="934">
        <f t="shared" si="76"/>
        <v>667797217000</v>
      </c>
      <c r="E117" s="934">
        <f t="shared" si="76"/>
        <v>708728893000</v>
      </c>
      <c r="F117" s="934">
        <f t="shared" si="76"/>
        <v>727300905000</v>
      </c>
      <c r="G117" s="934">
        <f>+G113+G115+G114</f>
        <v>732641685000</v>
      </c>
      <c r="H117" s="934">
        <f>+H113+H115+H114</f>
        <v>826923816000</v>
      </c>
      <c r="I117" s="934">
        <f t="shared" ref="I117:J117" si="77">+I113+I115+I114</f>
        <v>859561401000</v>
      </c>
      <c r="J117" s="934">
        <f t="shared" si="77"/>
        <v>1039575583000</v>
      </c>
      <c r="K117" s="934">
        <f t="shared" ref="K117:N117" si="78">+K113+K115+K114</f>
        <v>0</v>
      </c>
      <c r="L117" s="934">
        <f t="shared" si="78"/>
        <v>0</v>
      </c>
      <c r="M117" s="934">
        <f t="shared" si="78"/>
        <v>0</v>
      </c>
      <c r="N117" s="934">
        <f t="shared" si="78"/>
        <v>0</v>
      </c>
    </row>
    <row r="118" spans="2:14">
      <c r="B118" s="1109" t="s">
        <v>347</v>
      </c>
      <c r="C118" s="1110">
        <f t="shared" ref="C118:F118" si="79">+C117+C116</f>
        <v>1032033552000</v>
      </c>
      <c r="D118" s="1110">
        <f t="shared" si="79"/>
        <v>1081630020000</v>
      </c>
      <c r="E118" s="1110">
        <f t="shared" si="79"/>
        <v>1128936031000</v>
      </c>
      <c r="F118" s="1110">
        <f t="shared" si="79"/>
        <v>1175421746000</v>
      </c>
      <c r="G118" s="1110">
        <f>+G117+G116</f>
        <v>1184130858000</v>
      </c>
      <c r="H118" s="1110">
        <f>+H117+H116</f>
        <v>1295047633000</v>
      </c>
      <c r="I118" s="1110">
        <f>+I117+I116</f>
        <v>1349037550000</v>
      </c>
      <c r="J118" s="1110">
        <f>+J117+J116</f>
        <v>1631399760000</v>
      </c>
    </row>
    <row r="120" spans="2:14" ht="13.15">
      <c r="B120" s="921" t="s">
        <v>348</v>
      </c>
    </row>
    <row r="121" spans="2:14" ht="13.15">
      <c r="B121" s="942" t="s">
        <v>308</v>
      </c>
      <c r="C121" s="943">
        <v>2017</v>
      </c>
      <c r="D121" s="943">
        <v>2018</v>
      </c>
      <c r="E121" s="943">
        <v>2019</v>
      </c>
      <c r="F121" s="943">
        <v>2020</v>
      </c>
      <c r="G121" s="943">
        <v>2021</v>
      </c>
      <c r="H121" s="1111">
        <v>2022</v>
      </c>
      <c r="I121" s="1112">
        <v>2023</v>
      </c>
      <c r="J121" s="943">
        <v>2024</v>
      </c>
      <c r="K121" s="1111">
        <v>2025</v>
      </c>
      <c r="L121" s="1112">
        <v>2026</v>
      </c>
      <c r="M121" s="943">
        <v>2027</v>
      </c>
      <c r="N121" s="1111">
        <v>2028</v>
      </c>
    </row>
    <row r="122" spans="2:14" ht="13.15">
      <c r="B122" s="944" t="s">
        <v>349</v>
      </c>
      <c r="C122" s="945">
        <v>508318428000</v>
      </c>
      <c r="D122" s="945">
        <v>555543384000</v>
      </c>
      <c r="E122" s="945">
        <v>575755388000</v>
      </c>
      <c r="F122" s="945">
        <v>468012292000</v>
      </c>
      <c r="G122" s="945">
        <v>559952058000</v>
      </c>
      <c r="H122" s="1113">
        <v>814735011000</v>
      </c>
      <c r="I122" s="1114">
        <v>782674839000</v>
      </c>
      <c r="J122" s="1114">
        <v>884873768000</v>
      </c>
      <c r="K122" s="1114"/>
      <c r="L122" s="1114"/>
      <c r="M122" s="1114"/>
      <c r="N122" s="1114"/>
    </row>
    <row r="123" spans="2:14">
      <c r="B123" s="946" t="s">
        <v>534</v>
      </c>
      <c r="C123" s="925">
        <v>-329702360000</v>
      </c>
      <c r="D123" s="925">
        <v>-374456112000</v>
      </c>
      <c r="E123" s="925">
        <v>-382879938000</v>
      </c>
      <c r="F123" s="925">
        <v>-278390124000</v>
      </c>
      <c r="G123" s="925">
        <v>-391208283000</v>
      </c>
      <c r="H123" s="948">
        <v>-659947203000</v>
      </c>
      <c r="I123" s="1115">
        <v>-482199795000</v>
      </c>
      <c r="J123" s="1115">
        <v>-418834180000</v>
      </c>
      <c r="K123" s="1115"/>
      <c r="L123" s="1115"/>
      <c r="M123" s="1115"/>
      <c r="N123" s="1115"/>
    </row>
    <row r="124" spans="2:14" ht="13.15">
      <c r="B124" s="947" t="s">
        <v>422</v>
      </c>
      <c r="C124" s="927">
        <f t="shared" ref="C124:F124" si="80">+C122+C123</f>
        <v>178616068000</v>
      </c>
      <c r="D124" s="927">
        <f>+D122+D123</f>
        <v>181087272000</v>
      </c>
      <c r="E124" s="927">
        <f t="shared" si="80"/>
        <v>192875450000</v>
      </c>
      <c r="F124" s="927">
        <f t="shared" si="80"/>
        <v>189622168000</v>
      </c>
      <c r="G124" s="927">
        <f>+G122+G123</f>
        <v>168743775000</v>
      </c>
      <c r="H124" s="929">
        <f t="shared" ref="H124:I124" si="81">+H122+H123</f>
        <v>154787808000</v>
      </c>
      <c r="I124" s="927">
        <f t="shared" si="81"/>
        <v>300475044000</v>
      </c>
      <c r="J124" s="927">
        <f t="shared" ref="J124:N124" si="82">+J122+J123</f>
        <v>466039588000</v>
      </c>
      <c r="K124" s="927">
        <f t="shared" si="82"/>
        <v>0</v>
      </c>
      <c r="L124" s="927">
        <f t="shared" si="82"/>
        <v>0</v>
      </c>
      <c r="M124" s="927">
        <f t="shared" si="82"/>
        <v>0</v>
      </c>
      <c r="N124" s="927">
        <f t="shared" si="82"/>
        <v>0</v>
      </c>
    </row>
    <row r="125" spans="2:14">
      <c r="B125" s="946" t="s">
        <v>773</v>
      </c>
      <c r="C125" s="925">
        <v>1527709000</v>
      </c>
      <c r="D125" s="925">
        <v>1455649000</v>
      </c>
      <c r="E125" s="925">
        <v>1012327000</v>
      </c>
      <c r="F125" s="925">
        <v>1199386000</v>
      </c>
      <c r="G125" s="925">
        <v>1309608000</v>
      </c>
      <c r="H125" s="948">
        <v>1015534000</v>
      </c>
      <c r="I125" s="1115">
        <v>1343591000</v>
      </c>
      <c r="J125" s="1115">
        <v>1120676000</v>
      </c>
      <c r="K125" s="1115"/>
      <c r="L125" s="1115"/>
      <c r="M125" s="1115"/>
      <c r="N125" s="1115"/>
    </row>
    <row r="126" spans="2:14">
      <c r="B126" s="946" t="s">
        <v>537</v>
      </c>
      <c r="C126" s="925">
        <v>-62769848000</v>
      </c>
      <c r="D126" s="925">
        <v>-52033597000</v>
      </c>
      <c r="E126" s="925">
        <v>-54914722000</v>
      </c>
      <c r="F126" s="925">
        <v>-51072852000</v>
      </c>
      <c r="G126" s="925">
        <v>-49226283000</v>
      </c>
      <c r="H126" s="948">
        <v>-63004994000</v>
      </c>
      <c r="I126" s="1115">
        <v>-66954065000</v>
      </c>
      <c r="J126" s="1115">
        <v>-76562942000</v>
      </c>
      <c r="K126" s="1115"/>
      <c r="L126" s="1115"/>
      <c r="M126" s="1115"/>
      <c r="N126" s="1115"/>
    </row>
    <row r="127" spans="2:14">
      <c r="B127" s="946" t="s">
        <v>796</v>
      </c>
      <c r="C127" s="925"/>
      <c r="D127" s="925"/>
      <c r="E127" s="925">
        <v>-1013182000</v>
      </c>
      <c r="F127" s="925">
        <v>-4269684000</v>
      </c>
      <c r="G127" s="925">
        <v>-4743912000</v>
      </c>
      <c r="H127" s="948">
        <v>-1703895000</v>
      </c>
      <c r="I127" s="1115">
        <v>1187035000</v>
      </c>
      <c r="J127" s="1115">
        <v>14407000</v>
      </c>
      <c r="K127" s="1115"/>
      <c r="L127" s="1115"/>
      <c r="M127" s="1115"/>
      <c r="N127" s="1115"/>
    </row>
    <row r="128" spans="2:14">
      <c r="B128" s="946" t="s">
        <v>510</v>
      </c>
      <c r="C128" s="925">
        <v>-3568198000</v>
      </c>
      <c r="D128" s="925">
        <v>-3019880000</v>
      </c>
      <c r="E128" s="925">
        <v>-1684850000</v>
      </c>
      <c r="F128" s="925">
        <v>-858434000</v>
      </c>
      <c r="G128" s="925">
        <v>-959568000</v>
      </c>
      <c r="H128" s="948">
        <v>-1486940000</v>
      </c>
      <c r="I128" s="1115">
        <v>-1328712000</v>
      </c>
      <c r="J128" s="1115">
        <v>-2070837000</v>
      </c>
      <c r="K128" s="1115"/>
      <c r="L128" s="1115"/>
      <c r="M128" s="1115"/>
      <c r="N128" s="1115"/>
    </row>
    <row r="129" spans="2:14">
      <c r="B129" s="946" t="s">
        <v>357</v>
      </c>
      <c r="C129" s="925">
        <v>11996474000</v>
      </c>
      <c r="D129" s="925">
        <v>-5485615000</v>
      </c>
      <c r="E129" s="925">
        <v>3192340000</v>
      </c>
      <c r="F129" s="925">
        <v>12029494000</v>
      </c>
      <c r="G129" s="925">
        <v>18245424000</v>
      </c>
      <c r="H129" s="1116">
        <v>-94891840000</v>
      </c>
      <c r="I129" s="1115">
        <v>-1254004000</v>
      </c>
      <c r="J129" s="1115">
        <v>47588508000</v>
      </c>
      <c r="K129" s="1115"/>
      <c r="L129" s="1115"/>
      <c r="M129" s="1115"/>
      <c r="N129" s="1115"/>
    </row>
    <row r="130" spans="2:14" ht="13.15">
      <c r="B130" s="947" t="s">
        <v>428</v>
      </c>
      <c r="C130" s="927">
        <f t="shared" ref="C130:G130" si="83">+C124+C128+C125+C126+C127+C129</f>
        <v>125802205000</v>
      </c>
      <c r="D130" s="927">
        <f t="shared" si="83"/>
        <v>122003829000</v>
      </c>
      <c r="E130" s="927">
        <f t="shared" si="83"/>
        <v>139467363000</v>
      </c>
      <c r="F130" s="927">
        <f t="shared" si="83"/>
        <v>146650078000</v>
      </c>
      <c r="G130" s="927">
        <f t="shared" si="83"/>
        <v>133369044000</v>
      </c>
      <c r="H130" s="927">
        <f>+H124+H128+H125+H126+H127+H129</f>
        <v>-5284327000</v>
      </c>
      <c r="I130" s="927">
        <f t="shared" ref="I130:J130" si="84">+I124+I128+I125+I126+I127+I129</f>
        <v>233468889000</v>
      </c>
      <c r="J130" s="927">
        <f t="shared" si="84"/>
        <v>436129400000</v>
      </c>
      <c r="K130" s="927">
        <f t="shared" ref="K130:N130" si="85">+K124+K128+K125+K126+K127+K129</f>
        <v>0</v>
      </c>
      <c r="L130" s="927">
        <f t="shared" si="85"/>
        <v>0</v>
      </c>
      <c r="M130" s="927">
        <f t="shared" si="85"/>
        <v>0</v>
      </c>
      <c r="N130" s="927">
        <f t="shared" si="85"/>
        <v>0</v>
      </c>
    </row>
    <row r="131" spans="2:14">
      <c r="B131" s="946" t="s">
        <v>429</v>
      </c>
      <c r="C131" s="925">
        <v>8965271000</v>
      </c>
      <c r="D131" s="925">
        <v>4187011000</v>
      </c>
      <c r="E131" s="925">
        <v>3195788000</v>
      </c>
      <c r="F131" s="925">
        <v>3824234000</v>
      </c>
      <c r="G131" s="948">
        <v>4102474000</v>
      </c>
      <c r="H131" s="948">
        <v>11941774000</v>
      </c>
      <c r="I131" s="1115">
        <v>29690789000</v>
      </c>
      <c r="J131" s="1115">
        <v>22820059000</v>
      </c>
      <c r="K131" s="1115"/>
      <c r="L131" s="1115"/>
      <c r="M131" s="1115"/>
      <c r="N131" s="1115"/>
    </row>
    <row r="132" spans="2:14">
      <c r="B132" s="946" t="s">
        <v>430</v>
      </c>
      <c r="C132" s="925">
        <v>-24191936000</v>
      </c>
      <c r="D132" s="925">
        <v>-18149238000</v>
      </c>
      <c r="E132" s="925">
        <v>-18100712000</v>
      </c>
      <c r="F132" s="925">
        <v>-21311276000</v>
      </c>
      <c r="G132" s="948">
        <v>-17867671000</v>
      </c>
      <c r="H132" s="948">
        <v>-103522015000</v>
      </c>
      <c r="I132" s="1115">
        <v>-42059577000</v>
      </c>
      <c r="J132" s="1115">
        <v>31181770000</v>
      </c>
      <c r="K132" s="1115"/>
      <c r="L132" s="1115"/>
      <c r="M132" s="1115"/>
      <c r="N132" s="1115"/>
    </row>
    <row r="133" spans="2:14">
      <c r="B133" s="946" t="s">
        <v>431</v>
      </c>
      <c r="C133" s="925">
        <v>7625446000</v>
      </c>
      <c r="D133" s="925">
        <v>13562618000</v>
      </c>
      <c r="E133" s="925">
        <v>21232431000</v>
      </c>
      <c r="F133" s="925">
        <v>-3407271000</v>
      </c>
      <c r="G133" s="948">
        <v>8600020000</v>
      </c>
      <c r="H133" s="948">
        <v>19225893000</v>
      </c>
      <c r="I133" s="1115">
        <v>17113534000</v>
      </c>
      <c r="J133" s="1115">
        <v>28475177000</v>
      </c>
      <c r="K133" s="1115"/>
      <c r="L133" s="1115"/>
      <c r="M133" s="1115"/>
      <c r="N133" s="1115"/>
    </row>
    <row r="134" spans="2:14">
      <c r="B134" s="946" t="s">
        <v>432</v>
      </c>
      <c r="C134" s="925">
        <v>-2464021000</v>
      </c>
      <c r="D134" s="925">
        <v>-5923720000</v>
      </c>
      <c r="E134" s="925">
        <v>1514415000</v>
      </c>
      <c r="F134" s="925">
        <v>-3825576000</v>
      </c>
      <c r="G134" s="948">
        <v>-5794406000</v>
      </c>
      <c r="H134" s="948">
        <v>6632003000</v>
      </c>
      <c r="I134" s="1115">
        <v>-23473003000</v>
      </c>
      <c r="J134" s="1115">
        <v>-31061554000</v>
      </c>
      <c r="K134" s="1115"/>
      <c r="L134" s="1115"/>
      <c r="M134" s="1115"/>
      <c r="N134" s="1115"/>
    </row>
    <row r="135" spans="2:14">
      <c r="B135" s="946" t="s">
        <v>433</v>
      </c>
      <c r="C135" s="925">
        <v>-2374211000</v>
      </c>
      <c r="D135" s="925">
        <v>-4131438000</v>
      </c>
      <c r="E135" s="925">
        <v>-3653873000</v>
      </c>
      <c r="F135" s="925">
        <v>-3955618000</v>
      </c>
      <c r="G135" s="948">
        <v>-8797446000</v>
      </c>
      <c r="H135" s="948">
        <v>-18183401000</v>
      </c>
      <c r="I135" s="1115">
        <v>-6355705000</v>
      </c>
      <c r="J135" s="1115">
        <v>-4873973000</v>
      </c>
      <c r="K135" s="1115"/>
      <c r="L135" s="1115"/>
      <c r="M135" s="1115"/>
      <c r="N135" s="1115"/>
    </row>
    <row r="136" spans="2:14">
      <c r="B136" s="946" t="s">
        <v>357</v>
      </c>
      <c r="C136" s="925"/>
      <c r="D136" s="925"/>
      <c r="E136" s="925"/>
      <c r="F136" s="925"/>
      <c r="G136" s="948"/>
      <c r="H136" s="948"/>
      <c r="I136" s="1115"/>
      <c r="J136" s="1115"/>
      <c r="K136" s="1115"/>
      <c r="L136" s="1115"/>
      <c r="M136" s="1115"/>
      <c r="N136" s="1115"/>
    </row>
    <row r="137" spans="2:14" ht="13.15">
      <c r="B137" s="947" t="s">
        <v>362</v>
      </c>
      <c r="C137" s="927">
        <f t="shared" ref="C137:G137" si="86">+C130+C131+C132+C133+C134+C135+C136</f>
        <v>113362754000</v>
      </c>
      <c r="D137" s="927">
        <f t="shared" si="86"/>
        <v>111549062000</v>
      </c>
      <c r="E137" s="927">
        <f t="shared" si="86"/>
        <v>143655412000</v>
      </c>
      <c r="F137" s="927">
        <f t="shared" si="86"/>
        <v>117974571000</v>
      </c>
      <c r="G137" s="927">
        <f t="shared" si="86"/>
        <v>113612015000</v>
      </c>
      <c r="H137" s="927">
        <f>+H130+H131+H132+H133+H134+H135+H136</f>
        <v>-89190073000</v>
      </c>
      <c r="I137" s="927">
        <f>+I130+I131+I132+I133+I134+I135+I136</f>
        <v>208384927000</v>
      </c>
      <c r="J137" s="1115">
        <v>482670879000</v>
      </c>
      <c r="K137" s="1115"/>
      <c r="L137" s="1115"/>
      <c r="M137" s="1115"/>
      <c r="N137" s="1115"/>
    </row>
    <row r="138" spans="2:14">
      <c r="B138" s="946" t="s">
        <v>363</v>
      </c>
      <c r="C138" s="925">
        <v>-24968370000</v>
      </c>
      <c r="D138" s="925">
        <v>-29110575000</v>
      </c>
      <c r="E138" s="925">
        <v>-36447542000</v>
      </c>
      <c r="F138" s="925">
        <v>-27221834000</v>
      </c>
      <c r="G138" s="949">
        <v>-30889702000</v>
      </c>
      <c r="H138" s="948">
        <v>46977745000</v>
      </c>
      <c r="I138" s="1115">
        <v>-49149978000</v>
      </c>
      <c r="J138" s="1115">
        <v>-121336742000</v>
      </c>
      <c r="K138" s="1115"/>
      <c r="L138" s="1115"/>
      <c r="M138" s="1115"/>
      <c r="N138" s="1115"/>
    </row>
    <row r="139" spans="2:14" ht="13.15">
      <c r="B139" s="950" t="s">
        <v>365</v>
      </c>
      <c r="C139" s="951">
        <f t="shared" ref="C139:G139" si="87">+C137+C138</f>
        <v>88394384000</v>
      </c>
      <c r="D139" s="951">
        <f t="shared" si="87"/>
        <v>82438487000</v>
      </c>
      <c r="E139" s="951">
        <f t="shared" si="87"/>
        <v>107207870000</v>
      </c>
      <c r="F139" s="951">
        <f t="shared" si="87"/>
        <v>90752737000</v>
      </c>
      <c r="G139" s="951">
        <f t="shared" si="87"/>
        <v>82722313000</v>
      </c>
      <c r="H139" s="951">
        <f>+H137+H138</f>
        <v>-42212328000</v>
      </c>
      <c r="I139" s="951">
        <f t="shared" ref="I139:J139" si="88">+I137+I138</f>
        <v>159234949000</v>
      </c>
      <c r="J139" s="951">
        <f t="shared" si="88"/>
        <v>361334137000</v>
      </c>
      <c r="K139" s="951">
        <f t="shared" ref="K139:N139" si="89">+K137+K138</f>
        <v>0</v>
      </c>
      <c r="L139" s="951">
        <f t="shared" si="89"/>
        <v>0</v>
      </c>
      <c r="M139" s="951">
        <f t="shared" si="89"/>
        <v>0</v>
      </c>
      <c r="N139" s="951">
        <f t="shared" si="89"/>
        <v>0</v>
      </c>
    </row>
    <row r="140" spans="2:14">
      <c r="B140" s="952" t="s">
        <v>435</v>
      </c>
      <c r="C140" s="925">
        <v>36592767000</v>
      </c>
      <c r="D140" s="925">
        <v>30942744000</v>
      </c>
      <c r="E140" s="925">
        <v>38744467000</v>
      </c>
      <c r="F140" s="925">
        <v>39306925000</v>
      </c>
      <c r="G140" s="949">
        <v>34899821000</v>
      </c>
      <c r="H140" s="948">
        <v>-15987793000</v>
      </c>
      <c r="I140" s="1115">
        <v>64783649000</v>
      </c>
      <c r="J140" s="1115">
        <v>141523542000</v>
      </c>
      <c r="K140" s="1115"/>
      <c r="L140" s="1115"/>
      <c r="M140" s="1115"/>
      <c r="N140" s="1115"/>
    </row>
    <row r="141" spans="2:14" ht="13.15">
      <c r="B141" s="950" t="s">
        <v>436</v>
      </c>
      <c r="C141" s="927">
        <f>+C139-C140</f>
        <v>51801617000</v>
      </c>
      <c r="D141" s="927">
        <f>+D139-D140</f>
        <v>51495743000</v>
      </c>
      <c r="E141" s="927">
        <v>68463403000</v>
      </c>
      <c r="F141" s="929">
        <v>51445812000</v>
      </c>
      <c r="G141" s="929">
        <v>47822492000</v>
      </c>
      <c r="H141" s="951">
        <v>-26224535000</v>
      </c>
      <c r="I141" s="1117">
        <f>+I139-I140</f>
        <v>94451300000</v>
      </c>
      <c r="J141" s="1117">
        <f t="shared" ref="J141:N141" si="90">+J139-J140</f>
        <v>219810595000</v>
      </c>
      <c r="K141" s="1117">
        <f t="shared" si="90"/>
        <v>0</v>
      </c>
      <c r="L141" s="1117">
        <f t="shared" si="90"/>
        <v>0</v>
      </c>
      <c r="M141" s="1117">
        <f t="shared" si="90"/>
        <v>0</v>
      </c>
      <c r="N141" s="1117">
        <f t="shared" si="90"/>
        <v>0</v>
      </c>
    </row>
    <row r="142" spans="2:14" ht="13.15">
      <c r="B142" s="1118" t="s">
        <v>159</v>
      </c>
      <c r="C142" s="953">
        <v>24.58</v>
      </c>
      <c r="D142" s="953">
        <v>24.51</v>
      </c>
      <c r="E142" s="953">
        <v>32.58</v>
      </c>
      <c r="F142" s="953">
        <v>24.48</v>
      </c>
      <c r="G142" s="953">
        <v>22.76</v>
      </c>
      <c r="H142" s="1119">
        <v>-12.48</v>
      </c>
      <c r="I142" s="1120">
        <v>44.95</v>
      </c>
      <c r="J142" s="1120">
        <v>104.61</v>
      </c>
      <c r="K142" s="1120"/>
      <c r="L142" s="1120"/>
      <c r="M142" s="1120"/>
      <c r="N142" s="1120"/>
    </row>
    <row r="144" spans="2:14" ht="13.15">
      <c r="B144" s="921" t="s">
        <v>367</v>
      </c>
    </row>
    <row r="145" spans="2:14" ht="13.15">
      <c r="B145" s="942" t="s">
        <v>308</v>
      </c>
      <c r="C145" s="943">
        <v>2017</v>
      </c>
      <c r="D145" s="943">
        <v>2018</v>
      </c>
      <c r="E145" s="943">
        <v>2019</v>
      </c>
      <c r="F145" s="943">
        <v>2020</v>
      </c>
      <c r="G145" s="943">
        <v>2021</v>
      </c>
      <c r="H145" s="1111">
        <v>2022</v>
      </c>
      <c r="I145" s="1112">
        <v>2023</v>
      </c>
      <c r="J145" s="1111">
        <v>2024</v>
      </c>
      <c r="K145" s="1112">
        <v>2025</v>
      </c>
      <c r="L145" s="1111">
        <v>2026</v>
      </c>
      <c r="M145" s="1112">
        <v>2027</v>
      </c>
      <c r="N145" s="1111">
        <v>2028</v>
      </c>
    </row>
    <row r="146" spans="2:14" ht="13.15">
      <c r="B146" s="944" t="s">
        <v>368</v>
      </c>
      <c r="C146" s="945">
        <v>99084769000</v>
      </c>
      <c r="D146" s="945">
        <v>101210349000</v>
      </c>
      <c r="E146" s="945">
        <v>179963796000</v>
      </c>
      <c r="F146" s="945">
        <v>199034381000</v>
      </c>
      <c r="G146" s="945">
        <v>135867013000</v>
      </c>
      <c r="H146" s="1113">
        <v>212010698000</v>
      </c>
      <c r="I146" s="1129">
        <v>276481343000</v>
      </c>
      <c r="J146" s="1121">
        <v>298166880000</v>
      </c>
      <c r="K146" s="1122"/>
      <c r="L146" s="1122"/>
      <c r="M146" s="1122"/>
      <c r="N146" s="1122"/>
    </row>
    <row r="147" spans="2:14" ht="13.15">
      <c r="B147" s="947" t="s">
        <v>369</v>
      </c>
      <c r="C147" s="949">
        <v>-58683444000</v>
      </c>
      <c r="D147" s="955">
        <v>-104924361000</v>
      </c>
      <c r="E147" s="955">
        <v>-64045472000</v>
      </c>
      <c r="F147" s="925">
        <v>-33075410000</v>
      </c>
      <c r="G147" s="955">
        <v>-37693237000</v>
      </c>
      <c r="H147" s="948">
        <v>-41660116000</v>
      </c>
      <c r="I147" s="948">
        <v>-49077741000</v>
      </c>
      <c r="J147" s="1123">
        <v>-58280979000</v>
      </c>
      <c r="K147" s="1124"/>
      <c r="L147" s="1124"/>
      <c r="M147" s="1124"/>
      <c r="N147" s="1124"/>
    </row>
    <row r="148" spans="2:14">
      <c r="B148" s="946" t="s">
        <v>370</v>
      </c>
      <c r="C148" s="955">
        <v>-58586891000</v>
      </c>
      <c r="D148" s="955">
        <v>-97531845000</v>
      </c>
      <c r="E148" s="955">
        <v>-58888737000</v>
      </c>
      <c r="F148" s="955">
        <v>-31758297000</v>
      </c>
      <c r="G148" s="955">
        <v>-35925825000</v>
      </c>
      <c r="H148" s="948">
        <v>-40528974000</v>
      </c>
      <c r="I148" s="948">
        <v>-47547271000</v>
      </c>
      <c r="J148" s="1123">
        <v>-60999906000</v>
      </c>
      <c r="K148" s="1124"/>
      <c r="L148" s="1124"/>
      <c r="M148" s="1124"/>
      <c r="N148" s="1124"/>
    </row>
    <row r="149" spans="2:14" ht="13.15">
      <c r="B149" s="947" t="s">
        <v>372</v>
      </c>
      <c r="C149" s="956">
        <v>-101829389000</v>
      </c>
      <c r="D149" s="956">
        <v>-32675794000</v>
      </c>
      <c r="E149" s="927">
        <v>-84780505000</v>
      </c>
      <c r="F149" s="956">
        <v>-87779727000</v>
      </c>
      <c r="G149" s="956">
        <v>-115699124000</v>
      </c>
      <c r="H149" s="951">
        <v>-80518170000</v>
      </c>
      <c r="I149" s="1130">
        <v>-156898982000</v>
      </c>
      <c r="J149" s="1123">
        <v>-243892109000</v>
      </c>
      <c r="K149" s="1124"/>
      <c r="L149" s="1124"/>
      <c r="M149" s="1124"/>
      <c r="N149" s="1124"/>
    </row>
    <row r="150" spans="2:14" ht="13.15">
      <c r="B150" s="946" t="s">
        <v>797</v>
      </c>
      <c r="C150" s="1125">
        <v>-22092105000</v>
      </c>
      <c r="D150" s="1125">
        <v>-17943170000</v>
      </c>
      <c r="E150" s="929">
        <v>-18870414000</v>
      </c>
      <c r="F150" s="1125">
        <v>-21070521000</v>
      </c>
      <c r="G150" s="956">
        <v>-19146382000</v>
      </c>
      <c r="H150" s="951">
        <v>-25221001000</v>
      </c>
      <c r="I150" s="1130">
        <v>-34584459000</v>
      </c>
      <c r="J150" s="1123">
        <v>-30628511000</v>
      </c>
      <c r="K150" s="1124"/>
      <c r="L150" s="1124"/>
      <c r="M150" s="1124"/>
      <c r="N150" s="1124"/>
    </row>
    <row r="151" spans="2:14" ht="13.15">
      <c r="B151" s="946" t="s">
        <v>738</v>
      </c>
      <c r="C151" s="1125"/>
      <c r="D151" s="1125"/>
      <c r="E151" s="929"/>
      <c r="F151" s="1125"/>
      <c r="G151" s="956"/>
      <c r="H151" s="951"/>
      <c r="I151" s="951"/>
      <c r="J151" s="1123"/>
      <c r="K151" s="1124"/>
      <c r="L151" s="1124"/>
      <c r="M151" s="1124"/>
      <c r="N151" s="1124"/>
    </row>
    <row r="152" spans="2:14">
      <c r="B152" s="946" t="s">
        <v>373</v>
      </c>
      <c r="C152" s="955">
        <v>-86485889000</v>
      </c>
      <c r="D152" s="955">
        <v>-50959884000</v>
      </c>
      <c r="E152" s="925">
        <v>-77378639000</v>
      </c>
      <c r="F152" s="955">
        <v>-107834879000</v>
      </c>
      <c r="G152" s="955">
        <v>-93861593000</v>
      </c>
      <c r="H152" s="948">
        <v>-60382143000</v>
      </c>
      <c r="I152" s="948">
        <v>-96037612000</v>
      </c>
      <c r="J152" s="1123">
        <v>-211608928000</v>
      </c>
      <c r="K152" s="1124"/>
      <c r="L152" s="1124"/>
      <c r="M152" s="1124"/>
      <c r="N152" s="1124"/>
    </row>
    <row r="153" spans="2:14" ht="13.15">
      <c r="B153" s="947" t="s">
        <v>375</v>
      </c>
      <c r="C153" s="927">
        <v>56880517000</v>
      </c>
      <c r="D153" s="927">
        <v>19530675000</v>
      </c>
      <c r="E153" s="927">
        <v>51628727000</v>
      </c>
      <c r="F153" s="927">
        <v>121931012000</v>
      </c>
      <c r="G153" s="927">
        <v>104501333000</v>
      </c>
      <c r="H153" s="951">
        <v>187734025000</v>
      </c>
      <c r="I153" s="951">
        <v>231289266000</v>
      </c>
      <c r="J153" s="1123">
        <v>226730643000</v>
      </c>
      <c r="K153" s="1124"/>
      <c r="L153" s="1124"/>
      <c r="M153" s="1124"/>
      <c r="N153" s="1124"/>
    </row>
    <row r="154" spans="2:14">
      <c r="B154" s="946"/>
      <c r="C154" s="925"/>
      <c r="D154" s="925"/>
      <c r="E154" s="925"/>
      <c r="F154" s="925"/>
      <c r="G154" s="925"/>
      <c r="H154" s="948"/>
      <c r="I154" s="948"/>
      <c r="J154" s="1123"/>
      <c r="K154" s="1124"/>
      <c r="L154" s="1124"/>
      <c r="M154" s="1124"/>
      <c r="N154" s="1124"/>
    </row>
    <row r="155" spans="2:14" ht="13.15">
      <c r="B155" s="950" t="s">
        <v>376</v>
      </c>
      <c r="C155" s="948">
        <f t="shared" ref="C155:H155" si="91">+C146+C148+C150</f>
        <v>18405773000</v>
      </c>
      <c r="D155" s="948">
        <f t="shared" si="91"/>
        <v>-14264666000</v>
      </c>
      <c r="E155" s="948">
        <f t="shared" si="91"/>
        <v>102204645000</v>
      </c>
      <c r="F155" s="948">
        <f t="shared" si="91"/>
        <v>146205563000</v>
      </c>
      <c r="G155" s="948">
        <f t="shared" si="91"/>
        <v>80794806000</v>
      </c>
      <c r="H155" s="948">
        <f t="shared" si="91"/>
        <v>146260723000</v>
      </c>
      <c r="I155" s="1131">
        <f>+I146+I148+I150</f>
        <v>194349613000</v>
      </c>
      <c r="J155" s="1126">
        <f>+J146+J148+J150</f>
        <v>206538463000</v>
      </c>
      <c r="K155" s="1124">
        <f t="shared" ref="K155:N155" si="92">+K146-K148</f>
        <v>0</v>
      </c>
      <c r="L155" s="1124">
        <f t="shared" si="92"/>
        <v>0</v>
      </c>
      <c r="M155" s="1124">
        <f t="shared" si="92"/>
        <v>0</v>
      </c>
      <c r="N155" s="1124">
        <f t="shared" si="92"/>
        <v>0</v>
      </c>
    </row>
    <row r="156" spans="2:14">
      <c r="C156" s="1127"/>
      <c r="D156" s="1127"/>
      <c r="E156" s="1127"/>
      <c r="F156" s="1127"/>
      <c r="G156" s="1127"/>
      <c r="H156" s="1128"/>
      <c r="I156" s="1128"/>
      <c r="J156" s="1124"/>
      <c r="K156" s="1124"/>
      <c r="L156" s="1124"/>
      <c r="M156" s="1124"/>
      <c r="N156" s="1124"/>
    </row>
  </sheetData>
  <conditionalFormatting sqref="C68:I74 D75:I75 C76:I76">
    <cfRule type="cellIs" dxfId="72" priority="18" operator="lessThan">
      <formula>0</formula>
    </cfRule>
  </conditionalFormatting>
  <conditionalFormatting sqref="C122:N142">
    <cfRule type="cellIs" dxfId="71" priority="1" operator="lessThan">
      <formula>0</formula>
    </cfRule>
  </conditionalFormatting>
  <conditionalFormatting sqref="C146:N156">
    <cfRule type="cellIs" dxfId="70" priority="2" operator="lessThan">
      <formula>0</formula>
    </cfRule>
  </conditionalFormatting>
  <conditionalFormatting sqref="J68:N76 C77:N83 C84:I84 K84:N84 C85:N110 C112:N117">
    <cfRule type="cellIs" dxfId="69" priority="4" operator="lessThan">
      <formula>0</formula>
    </cfRule>
  </conditionalFormatting>
  <pageMargins left="0.7" right="0.7" top="0.75" bottom="0.75" header="0.3" footer="0.3"/>
  <pageSetup paperSize="9" orientation="portrait" r:id="rId1"/>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6AEFB-7B7A-458A-B4CC-D11FDB645146}">
  <dimension ref="B2:P151"/>
  <sheetViews>
    <sheetView zoomScale="55" zoomScaleNormal="55" workbookViewId="0">
      <pane xSplit="2" ySplit="6" topLeftCell="J53" activePane="bottomRight" state="frozen"/>
      <selection pane="bottomRight" activeCell="Q55" sqref="Q55"/>
      <selection pane="bottomLeft" activeCell="A7" sqref="A7"/>
      <selection pane="topRight" activeCell="C1" sqref="C1"/>
    </sheetView>
  </sheetViews>
  <sheetFormatPr defaultColWidth="10.7109375" defaultRowHeight="12.75"/>
  <cols>
    <col min="1" max="1" width="4.42578125" style="855" customWidth="1"/>
    <col min="2" max="2" width="21.85546875" style="855" customWidth="1"/>
    <col min="3" max="3" width="19.5703125" style="855" bestFit="1" customWidth="1"/>
    <col min="4" max="4" width="29.85546875" style="855" bestFit="1" customWidth="1"/>
    <col min="5" max="5" width="28.5703125" style="855" bestFit="1" customWidth="1"/>
    <col min="6" max="10" width="19.5703125" style="855" bestFit="1" customWidth="1"/>
    <col min="11" max="11" width="16.140625" style="855" customWidth="1"/>
    <col min="12" max="12" width="13.7109375" style="855" bestFit="1" customWidth="1"/>
    <col min="13" max="13" width="13" style="855" customWidth="1"/>
    <col min="14" max="14" width="9.140625" style="855" bestFit="1" customWidth="1"/>
    <col min="15" max="16384" width="10.7109375" style="855"/>
  </cols>
  <sheetData>
    <row r="2" spans="2:14" ht="13.15">
      <c r="B2" s="852">
        <f ca="1">TODAY()-1</f>
        <v>46105</v>
      </c>
      <c r="C2" s="853"/>
      <c r="D2" s="854" t="s">
        <v>518</v>
      </c>
      <c r="E2" s="854" t="s">
        <v>266</v>
      </c>
    </row>
    <row r="3" spans="2:14">
      <c r="B3" s="856" cm="1">
        <f t="array" aca="1" ref="B3" ca="1">_FV(B6,"Precio")</f>
        <v>5032.3999999999996</v>
      </c>
      <c r="C3" s="857"/>
      <c r="D3" s="858">
        <f>AVERAGE(H45:J45)</f>
        <v>28.124353339999999</v>
      </c>
      <c r="E3" s="858">
        <f>AVERAGE(H44:J44)</f>
        <v>140.00035334</v>
      </c>
    </row>
    <row r="4" spans="2:14" ht="13.15">
      <c r="B4" s="859"/>
      <c r="C4" s="860"/>
      <c r="D4" s="861"/>
      <c r="E4" s="861"/>
    </row>
    <row r="6" spans="2:14" ht="13.15">
      <c r="B6" s="862" t="e" vm="46">
        <v>#VALUE!</v>
      </c>
      <c r="C6" s="862">
        <v>2017</v>
      </c>
      <c r="D6" s="862">
        <v>2018</v>
      </c>
      <c r="E6" s="862">
        <v>2019</v>
      </c>
      <c r="F6" s="862">
        <v>2020</v>
      </c>
      <c r="G6" s="862">
        <v>2021</v>
      </c>
      <c r="H6" s="862">
        <v>2022</v>
      </c>
      <c r="I6" s="862">
        <v>2023</v>
      </c>
      <c r="J6" s="862">
        <v>2024</v>
      </c>
      <c r="K6" s="862">
        <v>2025</v>
      </c>
      <c r="L6" s="862">
        <v>2026</v>
      </c>
      <c r="M6" s="862">
        <v>2027</v>
      </c>
      <c r="N6" s="862">
        <v>2028</v>
      </c>
    </row>
    <row r="7" spans="2:14">
      <c r="B7" s="863" t="s">
        <v>267</v>
      </c>
      <c r="C7" s="864">
        <f>+C68</f>
        <v>0</v>
      </c>
      <c r="D7" s="864">
        <f t="shared" ref="D7:N7" si="0">+D68</f>
        <v>0</v>
      </c>
      <c r="E7" s="864">
        <f t="shared" si="0"/>
        <v>0</v>
      </c>
      <c r="F7" s="864">
        <f t="shared" si="0"/>
        <v>0</v>
      </c>
      <c r="G7" s="864">
        <f t="shared" si="0"/>
        <v>0</v>
      </c>
      <c r="H7" s="864">
        <f t="shared" si="0"/>
        <v>0</v>
      </c>
      <c r="I7" s="864">
        <f t="shared" si="0"/>
        <v>79152276</v>
      </c>
      <c r="J7" s="864">
        <f t="shared" si="0"/>
        <v>105546217</v>
      </c>
      <c r="K7" s="864">
        <f t="shared" si="0"/>
        <v>97851780</v>
      </c>
      <c r="L7" s="864">
        <f t="shared" si="0"/>
        <v>0</v>
      </c>
      <c r="M7" s="864">
        <f t="shared" si="0"/>
        <v>0</v>
      </c>
      <c r="N7" s="864">
        <f t="shared" si="0"/>
        <v>0</v>
      </c>
    </row>
    <row r="8" spans="2:14">
      <c r="B8" s="865" t="s">
        <v>377</v>
      </c>
      <c r="C8" s="866">
        <f>+C72</f>
        <v>0</v>
      </c>
      <c r="D8" s="866">
        <f t="shared" ref="D8:N8" si="1">+D72</f>
        <v>0</v>
      </c>
      <c r="E8" s="866">
        <f t="shared" si="1"/>
        <v>0</v>
      </c>
      <c r="F8" s="866">
        <f t="shared" si="1"/>
        <v>0</v>
      </c>
      <c r="G8" s="866">
        <f t="shared" si="1"/>
        <v>0</v>
      </c>
      <c r="H8" s="866">
        <f t="shared" si="1"/>
        <v>0</v>
      </c>
      <c r="I8" s="866">
        <f t="shared" si="1"/>
        <v>13368882</v>
      </c>
      <c r="J8" s="866">
        <f t="shared" si="1"/>
        <v>16187121</v>
      </c>
      <c r="K8" s="866">
        <f t="shared" si="1"/>
        <v>16067486</v>
      </c>
      <c r="L8" s="866">
        <f t="shared" si="1"/>
        <v>0</v>
      </c>
      <c r="M8" s="866">
        <f t="shared" si="1"/>
        <v>0</v>
      </c>
      <c r="N8" s="866">
        <f t="shared" si="1"/>
        <v>0</v>
      </c>
    </row>
    <row r="9" spans="2:14">
      <c r="B9" s="865" t="s">
        <v>378</v>
      </c>
      <c r="C9" s="866">
        <f>+C74</f>
        <v>0</v>
      </c>
      <c r="D9" s="866">
        <f t="shared" ref="D9:N9" si="2">+D74</f>
        <v>0</v>
      </c>
      <c r="E9" s="866">
        <f t="shared" si="2"/>
        <v>0</v>
      </c>
      <c r="F9" s="866">
        <f t="shared" si="2"/>
        <v>0</v>
      </c>
      <c r="G9" s="866">
        <f t="shared" si="2"/>
        <v>0</v>
      </c>
      <c r="H9" s="866">
        <f t="shared" si="2"/>
        <v>0</v>
      </c>
      <c r="I9" s="866">
        <f t="shared" si="2"/>
        <v>0</v>
      </c>
      <c r="J9" s="866">
        <f t="shared" si="2"/>
        <v>0</v>
      </c>
      <c r="K9" s="866">
        <f t="shared" si="2"/>
        <v>0</v>
      </c>
      <c r="L9" s="866">
        <f t="shared" si="2"/>
        <v>0</v>
      </c>
      <c r="M9" s="866">
        <f t="shared" si="2"/>
        <v>0</v>
      </c>
      <c r="N9" s="866">
        <f t="shared" si="2"/>
        <v>0</v>
      </c>
    </row>
    <row r="10" spans="2:14">
      <c r="B10" s="863" t="s">
        <v>519</v>
      </c>
      <c r="C10" s="864">
        <f>+C77</f>
        <v>0</v>
      </c>
      <c r="D10" s="864">
        <f t="shared" ref="D10:N10" si="3">+D77</f>
        <v>0</v>
      </c>
      <c r="E10" s="864">
        <f t="shared" si="3"/>
        <v>0</v>
      </c>
      <c r="F10" s="864">
        <f t="shared" si="3"/>
        <v>0</v>
      </c>
      <c r="G10" s="864">
        <f t="shared" si="3"/>
        <v>0</v>
      </c>
      <c r="H10" s="864">
        <f>+H77</f>
        <v>0</v>
      </c>
      <c r="I10" s="864">
        <f t="shared" si="3"/>
        <v>496720644</v>
      </c>
      <c r="J10" s="864">
        <f t="shared" si="3"/>
        <v>490100354</v>
      </c>
      <c r="K10" s="864">
        <f t="shared" si="3"/>
        <v>507666236</v>
      </c>
      <c r="L10" s="864">
        <f t="shared" ca="1" si="3"/>
        <v>0</v>
      </c>
      <c r="M10" s="864">
        <f t="shared" si="3"/>
        <v>0</v>
      </c>
      <c r="N10" s="864">
        <f t="shared" si="3"/>
        <v>0</v>
      </c>
    </row>
    <row r="11" spans="2:14" ht="13.15">
      <c r="B11" s="867" t="s">
        <v>272</v>
      </c>
      <c r="C11" s="868">
        <f t="shared" ref="C11:N11" si="4">+C7+C10</f>
        <v>0</v>
      </c>
      <c r="D11" s="868">
        <f t="shared" si="4"/>
        <v>0</v>
      </c>
      <c r="E11" s="868">
        <f t="shared" si="4"/>
        <v>0</v>
      </c>
      <c r="F11" s="868">
        <f t="shared" si="4"/>
        <v>0</v>
      </c>
      <c r="G11" s="868">
        <f t="shared" si="4"/>
        <v>0</v>
      </c>
      <c r="H11" s="868">
        <f t="shared" si="4"/>
        <v>0</v>
      </c>
      <c r="I11" s="868">
        <f t="shared" si="4"/>
        <v>575872920</v>
      </c>
      <c r="J11" s="868">
        <f t="shared" si="4"/>
        <v>595646571</v>
      </c>
      <c r="K11" s="868">
        <f t="shared" si="4"/>
        <v>605518016</v>
      </c>
      <c r="L11" s="868">
        <f t="shared" ca="1" si="4"/>
        <v>0</v>
      </c>
      <c r="M11" s="868">
        <f t="shared" si="4"/>
        <v>0</v>
      </c>
      <c r="N11" s="868">
        <f t="shared" si="4"/>
        <v>0</v>
      </c>
    </row>
    <row r="12" spans="2:14">
      <c r="B12" s="869" t="s">
        <v>273</v>
      </c>
      <c r="C12" s="870">
        <f>+C91</f>
        <v>0</v>
      </c>
      <c r="D12" s="870">
        <f t="shared" ref="D12:N12" si="5">+D91</f>
        <v>0</v>
      </c>
      <c r="E12" s="870">
        <f t="shared" si="5"/>
        <v>0</v>
      </c>
      <c r="F12" s="870">
        <f t="shared" si="5"/>
        <v>0</v>
      </c>
      <c r="G12" s="870">
        <f t="shared" si="5"/>
        <v>0</v>
      </c>
      <c r="H12" s="870">
        <f t="shared" si="5"/>
        <v>0</v>
      </c>
      <c r="I12" s="870">
        <f t="shared" si="5"/>
        <v>31191920</v>
      </c>
      <c r="J12" s="870">
        <f t="shared" si="5"/>
        <v>52011537</v>
      </c>
      <c r="K12" s="870">
        <f t="shared" si="5"/>
        <v>42767251</v>
      </c>
      <c r="L12" s="870">
        <f t="shared" si="5"/>
        <v>0</v>
      </c>
      <c r="M12" s="870">
        <f t="shared" si="5"/>
        <v>0</v>
      </c>
      <c r="N12" s="870">
        <f t="shared" si="5"/>
        <v>0</v>
      </c>
    </row>
    <row r="13" spans="2:14">
      <c r="B13" s="869" t="s">
        <v>274</v>
      </c>
      <c r="C13" s="870">
        <f>+C101</f>
        <v>0</v>
      </c>
      <c r="D13" s="870">
        <f t="shared" ref="D13:N13" si="6">+D101</f>
        <v>0</v>
      </c>
      <c r="E13" s="870">
        <f t="shared" si="6"/>
        <v>0</v>
      </c>
      <c r="F13" s="870">
        <f t="shared" si="6"/>
        <v>0</v>
      </c>
      <c r="G13" s="870">
        <f t="shared" si="6"/>
        <v>0</v>
      </c>
      <c r="H13" s="870">
        <f t="shared" si="6"/>
        <v>0</v>
      </c>
      <c r="I13" s="870">
        <f t="shared" si="6"/>
        <v>61958744</v>
      </c>
      <c r="J13" s="870">
        <f t="shared" si="6"/>
        <v>53285324</v>
      </c>
      <c r="K13" s="870">
        <f t="shared" si="6"/>
        <v>50701992</v>
      </c>
      <c r="L13" s="870">
        <f t="shared" ca="1" si="6"/>
        <v>0</v>
      </c>
      <c r="M13" s="870">
        <f t="shared" ca="1" si="6"/>
        <v>0</v>
      </c>
      <c r="N13" s="870">
        <f t="shared" ca="1" si="6"/>
        <v>0</v>
      </c>
    </row>
    <row r="14" spans="2:14" ht="13.15">
      <c r="B14" s="871" t="s">
        <v>275</v>
      </c>
      <c r="C14" s="872">
        <f t="shared" ref="C14:N14" si="7">SUM(C12:C13)</f>
        <v>0</v>
      </c>
      <c r="D14" s="872">
        <f t="shared" si="7"/>
        <v>0</v>
      </c>
      <c r="E14" s="872">
        <f t="shared" si="7"/>
        <v>0</v>
      </c>
      <c r="F14" s="872">
        <f t="shared" si="7"/>
        <v>0</v>
      </c>
      <c r="G14" s="872">
        <f t="shared" si="7"/>
        <v>0</v>
      </c>
      <c r="H14" s="872">
        <f t="shared" si="7"/>
        <v>0</v>
      </c>
      <c r="I14" s="872">
        <f t="shared" si="7"/>
        <v>93150664</v>
      </c>
      <c r="J14" s="872">
        <f t="shared" si="7"/>
        <v>105296861</v>
      </c>
      <c r="K14" s="872">
        <f t="shared" si="7"/>
        <v>93469243</v>
      </c>
      <c r="L14" s="872">
        <f t="shared" ca="1" si="7"/>
        <v>0</v>
      </c>
      <c r="M14" s="872">
        <f t="shared" ca="1" si="7"/>
        <v>0</v>
      </c>
      <c r="N14" s="872">
        <f t="shared" ca="1" si="7"/>
        <v>0</v>
      </c>
    </row>
    <row r="15" spans="2:14" ht="13.15">
      <c r="B15" s="873" t="s">
        <v>276</v>
      </c>
      <c r="C15" s="874">
        <f>+C117</f>
        <v>0</v>
      </c>
      <c r="D15" s="874">
        <f t="shared" ref="D15:N15" si="8">+D117</f>
        <v>0</v>
      </c>
      <c r="E15" s="874">
        <f t="shared" si="8"/>
        <v>0</v>
      </c>
      <c r="F15" s="874">
        <f t="shared" si="8"/>
        <v>0</v>
      </c>
      <c r="G15" s="874">
        <f t="shared" si="8"/>
        <v>0</v>
      </c>
      <c r="H15" s="874">
        <f t="shared" si="8"/>
        <v>0</v>
      </c>
      <c r="I15" s="874">
        <f t="shared" si="8"/>
        <v>425868473</v>
      </c>
      <c r="J15" s="874">
        <f t="shared" si="8"/>
        <v>448120432</v>
      </c>
      <c r="K15" s="874">
        <f t="shared" si="8"/>
        <v>469156446</v>
      </c>
      <c r="L15" s="874">
        <f t="shared" si="8"/>
        <v>0</v>
      </c>
      <c r="M15" s="874">
        <f t="shared" si="8"/>
        <v>0</v>
      </c>
      <c r="N15" s="874">
        <f t="shared" si="8"/>
        <v>0</v>
      </c>
    </row>
    <row r="16" spans="2:14">
      <c r="B16" s="875" t="s">
        <v>278</v>
      </c>
      <c r="C16" s="876"/>
      <c r="D16" s="876"/>
      <c r="E16" s="876"/>
      <c r="F16" s="876"/>
      <c r="G16" s="876"/>
      <c r="H16" s="876"/>
      <c r="I16" s="876">
        <v>88375972</v>
      </c>
      <c r="J16" s="876">
        <v>88375972</v>
      </c>
      <c r="K16" s="876">
        <v>88375972</v>
      </c>
      <c r="L16" s="876"/>
      <c r="M16" s="876"/>
      <c r="N16" s="876"/>
    </row>
    <row r="18" spans="2:14" ht="13.15">
      <c r="B18" s="877" t="s">
        <v>279</v>
      </c>
      <c r="C18" s="878" t="e">
        <f>(C15/C16)</f>
        <v>#DIV/0!</v>
      </c>
      <c r="D18" s="878" t="e">
        <f t="shared" ref="D18:N18" si="9">(D15/D16)</f>
        <v>#DIV/0!</v>
      </c>
      <c r="E18" s="878" t="e">
        <f t="shared" si="9"/>
        <v>#DIV/0!</v>
      </c>
      <c r="F18" s="878" t="e">
        <f t="shared" si="9"/>
        <v>#DIV/0!</v>
      </c>
      <c r="G18" s="878" t="e">
        <f t="shared" si="9"/>
        <v>#DIV/0!</v>
      </c>
      <c r="H18" s="878" t="e">
        <f t="shared" si="9"/>
        <v>#DIV/0!</v>
      </c>
      <c r="I18" s="878">
        <f>(I15/I16)</f>
        <v>4.8188264679001209</v>
      </c>
      <c r="J18" s="878">
        <f t="shared" si="9"/>
        <v>5.0706138994431651</v>
      </c>
      <c r="K18" s="878">
        <f t="shared" si="9"/>
        <v>5.3086425572778992</v>
      </c>
      <c r="L18" s="878" t="e">
        <f t="shared" si="9"/>
        <v>#DIV/0!</v>
      </c>
      <c r="M18" s="878" t="e">
        <f t="shared" si="9"/>
        <v>#DIV/0!</v>
      </c>
      <c r="N18" s="878" t="e">
        <f t="shared" si="9"/>
        <v>#DIV/0!</v>
      </c>
    </row>
    <row r="19" spans="2:14" ht="13.15">
      <c r="B19" s="879" t="s">
        <v>282</v>
      </c>
      <c r="C19" s="880"/>
      <c r="D19" s="880"/>
      <c r="E19" s="880"/>
      <c r="F19" s="880"/>
      <c r="G19" s="880"/>
      <c r="H19" s="881"/>
      <c r="I19" s="881">
        <v>4500</v>
      </c>
      <c r="J19" s="881">
        <v>4000</v>
      </c>
      <c r="K19" s="881">
        <v>4848</v>
      </c>
      <c r="L19" s="881"/>
      <c r="M19" s="881"/>
      <c r="N19" s="881"/>
    </row>
    <row r="20" spans="2:14" ht="13.15">
      <c r="B20" s="877" t="s">
        <v>283</v>
      </c>
      <c r="C20" s="882" t="e">
        <f>+C19/C40</f>
        <v>#DIV/0!</v>
      </c>
      <c r="D20" s="882" t="e">
        <f t="shared" ref="D20:N20" si="10">+D19/D40</f>
        <v>#DIV/0!</v>
      </c>
      <c r="E20" s="882" t="e">
        <f t="shared" si="10"/>
        <v>#DIV/0!</v>
      </c>
      <c r="F20" s="882" t="e">
        <f t="shared" si="10"/>
        <v>#DIV/0!</v>
      </c>
      <c r="G20" s="882" t="e">
        <f t="shared" si="10"/>
        <v>#DIV/0!</v>
      </c>
      <c r="H20" s="882" t="e">
        <f t="shared" si="10"/>
        <v>#DIV/0!</v>
      </c>
      <c r="I20" s="882">
        <f t="shared" si="10"/>
        <v>147.15500327011119</v>
      </c>
      <c r="J20" s="882">
        <f t="shared" si="10"/>
        <v>10.997772950977428</v>
      </c>
      <c r="K20" s="882">
        <f t="shared" si="10"/>
        <v>13.599259446267776</v>
      </c>
      <c r="L20" s="882" t="e">
        <f t="shared" si="10"/>
        <v>#DIV/0!</v>
      </c>
      <c r="M20" s="882" t="e">
        <f t="shared" si="10"/>
        <v>#DIV/0!</v>
      </c>
      <c r="N20" s="882" t="e">
        <f t="shared" si="10"/>
        <v>#DIV/0!</v>
      </c>
    </row>
    <row r="21" spans="2:14" ht="13.15">
      <c r="B21" s="877" t="s">
        <v>520</v>
      </c>
      <c r="C21" s="882" t="e">
        <f t="shared" ref="C21:N21" si="11">+C19/C18</f>
        <v>#DIV/0!</v>
      </c>
      <c r="D21" s="882" t="e">
        <f t="shared" si="11"/>
        <v>#DIV/0!</v>
      </c>
      <c r="E21" s="882" t="e">
        <f t="shared" si="11"/>
        <v>#DIV/0!</v>
      </c>
      <c r="F21" s="882" t="e">
        <f t="shared" si="11"/>
        <v>#DIV/0!</v>
      </c>
      <c r="G21" s="882" t="e">
        <f t="shared" si="11"/>
        <v>#DIV/0!</v>
      </c>
      <c r="H21" s="882" t="e">
        <f t="shared" si="11"/>
        <v>#DIV/0!</v>
      </c>
      <c r="I21" s="882">
        <f>+I19/I18</f>
        <v>933.8373211768602</v>
      </c>
      <c r="J21" s="882">
        <f t="shared" si="11"/>
        <v>788.85911633683338</v>
      </c>
      <c r="K21" s="882">
        <f t="shared" si="11"/>
        <v>913.22780686253213</v>
      </c>
      <c r="L21" s="882" t="e">
        <f t="shared" si="11"/>
        <v>#DIV/0!</v>
      </c>
      <c r="M21" s="882" t="e">
        <f t="shared" si="11"/>
        <v>#DIV/0!</v>
      </c>
      <c r="N21" s="882" t="e">
        <f t="shared" si="11"/>
        <v>#DIV/0!</v>
      </c>
    </row>
    <row r="22" spans="2:14" ht="13.15">
      <c r="B22" s="877" t="s">
        <v>521</v>
      </c>
      <c r="C22" s="882" t="e">
        <f>+C20*C21</f>
        <v>#DIV/0!</v>
      </c>
      <c r="D22" s="882" t="e">
        <f t="shared" ref="D22:N22" si="12">+D20*D21</f>
        <v>#DIV/0!</v>
      </c>
      <c r="E22" s="882" t="e">
        <f t="shared" si="12"/>
        <v>#DIV/0!</v>
      </c>
      <c r="F22" s="882" t="e">
        <f t="shared" si="12"/>
        <v>#DIV/0!</v>
      </c>
      <c r="G22" s="882" t="e">
        <f t="shared" si="12"/>
        <v>#DIV/0!</v>
      </c>
      <c r="H22" s="882" t="e">
        <f t="shared" si="12"/>
        <v>#DIV/0!</v>
      </c>
      <c r="I22" s="882">
        <f t="shared" si="12"/>
        <v>137418.83405153273</v>
      </c>
      <c r="J22" s="882">
        <f t="shared" si="12"/>
        <v>8675.6934517811824</v>
      </c>
      <c r="K22" s="882">
        <f t="shared" si="12"/>
        <v>12419.221879069695</v>
      </c>
      <c r="L22" s="882" t="e">
        <f t="shared" si="12"/>
        <v>#DIV/0!</v>
      </c>
      <c r="M22" s="882" t="e">
        <f t="shared" si="12"/>
        <v>#DIV/0!</v>
      </c>
      <c r="N22" s="882" t="e">
        <f t="shared" si="12"/>
        <v>#DIV/0!</v>
      </c>
    </row>
    <row r="23" spans="2:14" ht="13.15">
      <c r="B23" s="883" t="s">
        <v>286</v>
      </c>
      <c r="C23" s="884" t="e">
        <f>IF(C41&lt;10%,0,IF(15%&lt;C41,2,1))</f>
        <v>#DIV/0!</v>
      </c>
      <c r="D23" s="884" t="e">
        <f>IF(D41&lt;10%,0,IF(15%&lt;D41,2,1))</f>
        <v>#DIV/0!</v>
      </c>
      <c r="E23" s="884" t="e">
        <f t="shared" ref="E23:F23" si="13">IF(E41&lt;10%,0,IF(15%&lt;E41,2,1))</f>
        <v>#DIV/0!</v>
      </c>
      <c r="F23" s="884" t="e">
        <f t="shared" si="13"/>
        <v>#DIV/0!</v>
      </c>
      <c r="G23" s="884">
        <v>2</v>
      </c>
      <c r="H23" s="884">
        <v>2</v>
      </c>
      <c r="I23" s="884">
        <v>2</v>
      </c>
      <c r="J23" s="884">
        <v>2</v>
      </c>
      <c r="K23" s="884">
        <v>2</v>
      </c>
      <c r="L23" s="884">
        <v>2</v>
      </c>
      <c r="M23" s="884">
        <v>2</v>
      </c>
      <c r="N23" s="884">
        <v>2</v>
      </c>
    </row>
    <row r="24" spans="2:14" ht="13.15">
      <c r="B24" s="883" t="s">
        <v>287</v>
      </c>
      <c r="C24" s="884" t="e">
        <f>IF(C41&lt;10%,1,IF(15%&lt;C41,2.5,2))</f>
        <v>#DIV/0!</v>
      </c>
      <c r="D24" s="884" t="e">
        <f t="shared" ref="D24:F24" si="14">IF(D41&lt;10%,1,IF(15%&lt;D41,2.5,2))</f>
        <v>#DIV/0!</v>
      </c>
      <c r="E24" s="884" t="e">
        <f t="shared" si="14"/>
        <v>#DIV/0!</v>
      </c>
      <c r="F24" s="884" t="e">
        <f t="shared" si="14"/>
        <v>#DIV/0!</v>
      </c>
      <c r="G24" s="884">
        <v>2.5</v>
      </c>
      <c r="H24" s="884">
        <v>2.5</v>
      </c>
      <c r="I24" s="884">
        <v>2.5</v>
      </c>
      <c r="J24" s="884">
        <v>2.5</v>
      </c>
      <c r="K24" s="884">
        <v>2.5</v>
      </c>
      <c r="L24" s="884">
        <v>2.5</v>
      </c>
      <c r="M24" s="884">
        <v>2.5</v>
      </c>
      <c r="N24" s="884">
        <v>2.5</v>
      </c>
    </row>
    <row r="25" spans="2:14" ht="13.15">
      <c r="B25" s="885" t="s">
        <v>288</v>
      </c>
      <c r="C25" s="886" t="e">
        <f t="shared" ref="C25:N25" si="15">+C23*C18</f>
        <v>#DIV/0!</v>
      </c>
      <c r="D25" s="886" t="e">
        <f t="shared" si="15"/>
        <v>#DIV/0!</v>
      </c>
      <c r="E25" s="886" t="e">
        <f t="shared" si="15"/>
        <v>#DIV/0!</v>
      </c>
      <c r="F25" s="886" t="e">
        <f t="shared" si="15"/>
        <v>#DIV/0!</v>
      </c>
      <c r="G25" s="886" t="e">
        <f t="shared" si="15"/>
        <v>#DIV/0!</v>
      </c>
      <c r="H25" s="886" t="e">
        <f t="shared" si="15"/>
        <v>#DIV/0!</v>
      </c>
      <c r="I25" s="886">
        <f>+I23*I18</f>
        <v>9.6376529358002418</v>
      </c>
      <c r="J25" s="886">
        <f t="shared" si="15"/>
        <v>10.14122779888633</v>
      </c>
      <c r="K25" s="886">
        <f t="shared" si="15"/>
        <v>10.617285114555798</v>
      </c>
      <c r="L25" s="886" t="e">
        <f t="shared" si="15"/>
        <v>#DIV/0!</v>
      </c>
      <c r="M25" s="886" t="e">
        <f t="shared" si="15"/>
        <v>#DIV/0!</v>
      </c>
      <c r="N25" s="886" t="e">
        <f t="shared" si="15"/>
        <v>#DIV/0!</v>
      </c>
    </row>
    <row r="26" spans="2:14" ht="13.15">
      <c r="B26" s="885" t="s">
        <v>289</v>
      </c>
      <c r="C26" s="886" t="e">
        <f>AVERAGE(C25,C27)</f>
        <v>#DIV/0!</v>
      </c>
      <c r="D26" s="886" t="e">
        <f t="shared" ref="D26:N26" si="16">AVERAGE(D25,D27)</f>
        <v>#DIV/0!</v>
      </c>
      <c r="E26" s="886" t="e">
        <f t="shared" si="16"/>
        <v>#DIV/0!</v>
      </c>
      <c r="F26" s="886" t="e">
        <f t="shared" si="16"/>
        <v>#DIV/0!</v>
      </c>
      <c r="G26" s="886" t="e">
        <f t="shared" si="16"/>
        <v>#DIV/0!</v>
      </c>
      <c r="H26" s="886" t="e">
        <f t="shared" si="16"/>
        <v>#DIV/0!</v>
      </c>
      <c r="I26" s="886">
        <f t="shared" si="16"/>
        <v>10.842359552775271</v>
      </c>
      <c r="J26" s="886">
        <f t="shared" si="16"/>
        <v>11.408881273747122</v>
      </c>
      <c r="K26" s="886">
        <f t="shared" si="16"/>
        <v>11.944445753875273</v>
      </c>
      <c r="L26" s="886" t="e">
        <f t="shared" si="16"/>
        <v>#DIV/0!</v>
      </c>
      <c r="M26" s="886" t="e">
        <f t="shared" si="16"/>
        <v>#DIV/0!</v>
      </c>
      <c r="N26" s="886" t="e">
        <f t="shared" si="16"/>
        <v>#DIV/0!</v>
      </c>
    </row>
    <row r="27" spans="2:14" ht="13.15">
      <c r="B27" s="885" t="s">
        <v>290</v>
      </c>
      <c r="C27" s="886" t="e">
        <f t="shared" ref="C27:N27" si="17">+C18*C24</f>
        <v>#DIV/0!</v>
      </c>
      <c r="D27" s="886" t="e">
        <f t="shared" si="17"/>
        <v>#DIV/0!</v>
      </c>
      <c r="E27" s="886" t="e">
        <f t="shared" si="17"/>
        <v>#DIV/0!</v>
      </c>
      <c r="F27" s="886" t="e">
        <f t="shared" si="17"/>
        <v>#DIV/0!</v>
      </c>
      <c r="G27" s="886" t="e">
        <f t="shared" si="17"/>
        <v>#DIV/0!</v>
      </c>
      <c r="H27" s="886" t="e">
        <f t="shared" si="17"/>
        <v>#DIV/0!</v>
      </c>
      <c r="I27" s="886">
        <f t="shared" si="17"/>
        <v>12.047066169750302</v>
      </c>
      <c r="J27" s="886">
        <f t="shared" si="17"/>
        <v>12.676534748607914</v>
      </c>
      <c r="K27" s="886">
        <f t="shared" si="17"/>
        <v>13.271606393194748</v>
      </c>
      <c r="L27" s="886" t="e">
        <f t="shared" si="17"/>
        <v>#DIV/0!</v>
      </c>
      <c r="M27" s="886" t="e">
        <f t="shared" si="17"/>
        <v>#DIV/0!</v>
      </c>
      <c r="N27" s="886" t="e">
        <f t="shared" si="17"/>
        <v>#DIV/0!</v>
      </c>
    </row>
    <row r="29" spans="2:14">
      <c r="B29" s="887" t="s">
        <v>291</v>
      </c>
      <c r="C29" s="888">
        <f t="shared" ref="C29:N29" si="18">C7-C12</f>
        <v>0</v>
      </c>
      <c r="D29" s="888">
        <f t="shared" si="18"/>
        <v>0</v>
      </c>
      <c r="E29" s="888">
        <f t="shared" si="18"/>
        <v>0</v>
      </c>
      <c r="F29" s="888">
        <f t="shared" si="18"/>
        <v>0</v>
      </c>
      <c r="G29" s="888">
        <f t="shared" si="18"/>
        <v>0</v>
      </c>
      <c r="H29" s="888">
        <f t="shared" si="18"/>
        <v>0</v>
      </c>
      <c r="I29" s="888">
        <f t="shared" si="18"/>
        <v>47960356</v>
      </c>
      <c r="J29" s="888">
        <f t="shared" si="18"/>
        <v>53534680</v>
      </c>
      <c r="K29" s="888">
        <f t="shared" si="18"/>
        <v>55084529</v>
      </c>
      <c r="L29" s="888">
        <f t="shared" si="18"/>
        <v>0</v>
      </c>
      <c r="M29" s="888">
        <f t="shared" si="18"/>
        <v>0</v>
      </c>
      <c r="N29" s="888">
        <f t="shared" si="18"/>
        <v>0</v>
      </c>
    </row>
    <row r="30" spans="2:14">
      <c r="B30" s="889" t="s">
        <v>149</v>
      </c>
      <c r="C30" s="890" t="e">
        <f t="shared" ref="C30:N30" si="19">C7/C12</f>
        <v>#DIV/0!</v>
      </c>
      <c r="D30" s="890" t="e">
        <f t="shared" si="19"/>
        <v>#DIV/0!</v>
      </c>
      <c r="E30" s="890" t="e">
        <f t="shared" si="19"/>
        <v>#DIV/0!</v>
      </c>
      <c r="F30" s="890" t="e">
        <f>F7/F12</f>
        <v>#DIV/0!</v>
      </c>
      <c r="G30" s="890" t="e">
        <f t="shared" si="19"/>
        <v>#DIV/0!</v>
      </c>
      <c r="H30" s="891" t="e">
        <f t="shared" si="19"/>
        <v>#DIV/0!</v>
      </c>
      <c r="I30" s="891">
        <f t="shared" si="19"/>
        <v>2.5375890935857748</v>
      </c>
      <c r="J30" s="891">
        <f t="shared" si="19"/>
        <v>2.0292847142740658</v>
      </c>
      <c r="K30" s="891">
        <f t="shared" si="19"/>
        <v>2.2880072418028456</v>
      </c>
      <c r="L30" s="891" t="e">
        <f t="shared" si="19"/>
        <v>#DIV/0!</v>
      </c>
      <c r="M30" s="891" t="e">
        <f t="shared" si="19"/>
        <v>#DIV/0!</v>
      </c>
      <c r="N30" s="891" t="e">
        <f t="shared" si="19"/>
        <v>#DIV/0!</v>
      </c>
    </row>
    <row r="31" spans="2:14">
      <c r="B31" s="889" t="s">
        <v>292</v>
      </c>
      <c r="C31" s="890" t="e">
        <f t="shared" ref="C31:N31" si="20">+(C7-C9)/C12</f>
        <v>#DIV/0!</v>
      </c>
      <c r="D31" s="890" t="e">
        <f t="shared" si="20"/>
        <v>#DIV/0!</v>
      </c>
      <c r="E31" s="890" t="e">
        <f t="shared" si="20"/>
        <v>#DIV/0!</v>
      </c>
      <c r="F31" s="890" t="e">
        <f t="shared" si="20"/>
        <v>#DIV/0!</v>
      </c>
      <c r="G31" s="890" t="e">
        <f t="shared" si="20"/>
        <v>#DIV/0!</v>
      </c>
      <c r="H31" s="890" t="e">
        <f t="shared" si="20"/>
        <v>#DIV/0!</v>
      </c>
      <c r="I31" s="890">
        <f t="shared" si="20"/>
        <v>2.5375890935857748</v>
      </c>
      <c r="J31" s="890">
        <f t="shared" si="20"/>
        <v>2.0292847142740658</v>
      </c>
      <c r="K31" s="890">
        <f t="shared" si="20"/>
        <v>2.2880072418028456</v>
      </c>
      <c r="L31" s="890" t="e">
        <f t="shared" si="20"/>
        <v>#DIV/0!</v>
      </c>
      <c r="M31" s="890" t="e">
        <f t="shared" si="20"/>
        <v>#DIV/0!</v>
      </c>
      <c r="N31" s="890" t="e">
        <f t="shared" si="20"/>
        <v>#DIV/0!</v>
      </c>
    </row>
    <row r="32" spans="2:14">
      <c r="B32" s="892" t="s">
        <v>153</v>
      </c>
      <c r="C32" s="893" t="e">
        <f t="shared" ref="C32:N32" si="21">C14/C11</f>
        <v>#DIV/0!</v>
      </c>
      <c r="D32" s="893" t="e">
        <f t="shared" si="21"/>
        <v>#DIV/0!</v>
      </c>
      <c r="E32" s="893" t="e">
        <f t="shared" si="21"/>
        <v>#DIV/0!</v>
      </c>
      <c r="F32" s="893" t="e">
        <f t="shared" si="21"/>
        <v>#DIV/0!</v>
      </c>
      <c r="G32" s="893" t="e">
        <f t="shared" si="21"/>
        <v>#DIV/0!</v>
      </c>
      <c r="H32" s="893" t="e">
        <f t="shared" si="21"/>
        <v>#DIV/0!</v>
      </c>
      <c r="I32" s="893">
        <f t="shared" si="21"/>
        <v>0.16175559010484467</v>
      </c>
      <c r="J32" s="893">
        <f t="shared" si="21"/>
        <v>0.17677741487409654</v>
      </c>
      <c r="K32" s="893">
        <f t="shared" si="21"/>
        <v>0.15436244757414452</v>
      </c>
      <c r="L32" s="893" t="e">
        <f t="shared" ca="1" si="21"/>
        <v>#DIV/0!</v>
      </c>
      <c r="M32" s="893" t="e">
        <f t="shared" ca="1" si="21"/>
        <v>#DIV/0!</v>
      </c>
      <c r="N32" s="893" t="e">
        <f t="shared" ca="1" si="21"/>
        <v>#DIV/0!</v>
      </c>
    </row>
    <row r="35" spans="2:14">
      <c r="B35" s="894" t="s">
        <v>293</v>
      </c>
      <c r="C35" s="895">
        <f>+C121</f>
        <v>0</v>
      </c>
      <c r="D35" s="895">
        <f t="shared" ref="D35:N35" si="22">+D121</f>
        <v>0</v>
      </c>
      <c r="E35" s="895">
        <f t="shared" si="22"/>
        <v>0</v>
      </c>
      <c r="F35" s="895">
        <f t="shared" si="22"/>
        <v>0</v>
      </c>
      <c r="G35" s="895">
        <f t="shared" si="22"/>
        <v>0</v>
      </c>
      <c r="H35" s="895">
        <f t="shared" si="22"/>
        <v>0</v>
      </c>
      <c r="I35" s="895">
        <f t="shared" si="22"/>
        <v>20290560</v>
      </c>
      <c r="J35" s="895">
        <f t="shared" si="22"/>
        <v>139199071</v>
      </c>
      <c r="K35" s="895">
        <f>+K121</f>
        <v>148677948</v>
      </c>
      <c r="L35" s="895">
        <f t="shared" si="22"/>
        <v>0</v>
      </c>
      <c r="M35" s="895">
        <f t="shared" si="22"/>
        <v>0</v>
      </c>
      <c r="N35" s="895">
        <f t="shared" si="22"/>
        <v>0</v>
      </c>
    </row>
    <row r="36" spans="2:14" ht="13.15">
      <c r="B36" s="896" t="s">
        <v>156</v>
      </c>
      <c r="C36" s="897">
        <f>+C129</f>
        <v>0</v>
      </c>
      <c r="D36" s="897">
        <f t="shared" ref="D36:I36" si="23">+D129</f>
        <v>0</v>
      </c>
      <c r="E36" s="897">
        <f t="shared" si="23"/>
        <v>0</v>
      </c>
      <c r="F36" s="897">
        <f t="shared" si="23"/>
        <v>0</v>
      </c>
      <c r="G36" s="897">
        <f t="shared" si="23"/>
        <v>0</v>
      </c>
      <c r="H36" s="897">
        <f t="shared" si="23"/>
        <v>0</v>
      </c>
      <c r="I36" s="897">
        <f t="shared" si="23"/>
        <v>40633322</v>
      </c>
      <c r="J36" s="897">
        <f>+J129</f>
        <v>279545290</v>
      </c>
      <c r="K36" s="897">
        <f t="shared" ref="K36:N36" si="24">+K129</f>
        <v>297417666</v>
      </c>
      <c r="L36" s="897">
        <f t="shared" si="24"/>
        <v>0</v>
      </c>
      <c r="M36" s="897">
        <f t="shared" si="24"/>
        <v>0</v>
      </c>
      <c r="N36" s="897">
        <f t="shared" si="24"/>
        <v>0</v>
      </c>
    </row>
    <row r="37" spans="2:14">
      <c r="B37" s="894" t="s">
        <v>381</v>
      </c>
      <c r="C37" s="898" t="e">
        <f>C36/C35</f>
        <v>#DIV/0!</v>
      </c>
      <c r="D37" s="898" t="e">
        <f t="shared" ref="D37:N37" si="25">D36/D35</f>
        <v>#DIV/0!</v>
      </c>
      <c r="E37" s="898" t="e">
        <f t="shared" si="25"/>
        <v>#DIV/0!</v>
      </c>
      <c r="F37" s="898" t="e">
        <f t="shared" si="25"/>
        <v>#DIV/0!</v>
      </c>
      <c r="G37" s="898" t="e">
        <f t="shared" si="25"/>
        <v>#DIV/0!</v>
      </c>
      <c r="H37" s="898" t="e">
        <f t="shared" si="25"/>
        <v>#DIV/0!</v>
      </c>
      <c r="I37" s="898">
        <f>I36/I35</f>
        <v>2.0025727234733788</v>
      </c>
      <c r="J37" s="898">
        <f t="shared" si="25"/>
        <v>2.0082410607467343</v>
      </c>
      <c r="K37" s="898">
        <f t="shared" si="25"/>
        <v>2.0004154617468894</v>
      </c>
      <c r="L37" s="898" t="e">
        <f t="shared" si="25"/>
        <v>#DIV/0!</v>
      </c>
      <c r="M37" s="898" t="e">
        <f t="shared" si="25"/>
        <v>#DIV/0!</v>
      </c>
      <c r="N37" s="898" t="e">
        <f t="shared" si="25"/>
        <v>#DIV/0!</v>
      </c>
    </row>
    <row r="38" spans="2:14" ht="13.15">
      <c r="B38" s="899" t="s">
        <v>295</v>
      </c>
      <c r="C38" s="900">
        <f>+C137</f>
        <v>0</v>
      </c>
      <c r="D38" s="900">
        <f t="shared" ref="D38:N38" si="26">+D137</f>
        <v>0</v>
      </c>
      <c r="E38" s="900">
        <f t="shared" si="26"/>
        <v>0</v>
      </c>
      <c r="F38" s="900">
        <f t="shared" si="26"/>
        <v>0</v>
      </c>
      <c r="G38" s="900">
        <f t="shared" si="26"/>
        <v>0</v>
      </c>
      <c r="H38" s="900">
        <f t="shared" si="26"/>
        <v>0</v>
      </c>
      <c r="I38" s="900">
        <f t="shared" si="26"/>
        <v>3036838</v>
      </c>
      <c r="J38" s="900">
        <f t="shared" si="26"/>
        <v>35822364</v>
      </c>
      <c r="K38" s="900">
        <f t="shared" si="26"/>
        <v>34894573</v>
      </c>
      <c r="L38" s="900">
        <f t="shared" si="26"/>
        <v>0</v>
      </c>
      <c r="M38" s="900">
        <f t="shared" si="26"/>
        <v>0</v>
      </c>
      <c r="N38" s="900">
        <f t="shared" si="26"/>
        <v>0</v>
      </c>
    </row>
    <row r="39" spans="2:14">
      <c r="B39" s="889" t="s">
        <v>296</v>
      </c>
      <c r="C39" s="901" t="e">
        <f>C38/C35</f>
        <v>#DIV/0!</v>
      </c>
      <c r="D39" s="901" t="e">
        <f t="shared" ref="D39:N39" si="27">D38/D35</f>
        <v>#DIV/0!</v>
      </c>
      <c r="E39" s="901" t="e">
        <f t="shared" si="27"/>
        <v>#DIV/0!</v>
      </c>
      <c r="F39" s="901" t="e">
        <f>F38/F35</f>
        <v>#DIV/0!</v>
      </c>
      <c r="G39" s="901" t="e">
        <f t="shared" si="27"/>
        <v>#DIV/0!</v>
      </c>
      <c r="H39" s="901" t="e">
        <f t="shared" si="27"/>
        <v>#DIV/0!</v>
      </c>
      <c r="I39" s="901">
        <f t="shared" si="27"/>
        <v>0.14966753012238204</v>
      </c>
      <c r="J39" s="901">
        <f t="shared" si="27"/>
        <v>0.25734628645617902</v>
      </c>
      <c r="K39" s="901">
        <f t="shared" si="27"/>
        <v>0.23469904898068678</v>
      </c>
      <c r="L39" s="901" t="e">
        <f t="shared" si="27"/>
        <v>#DIV/0!</v>
      </c>
      <c r="M39" s="901" t="e">
        <f t="shared" si="27"/>
        <v>#DIV/0!</v>
      </c>
      <c r="N39" s="901" t="e">
        <f t="shared" si="27"/>
        <v>#DIV/0!</v>
      </c>
    </row>
    <row r="40" spans="2:14">
      <c r="B40" s="902" t="s">
        <v>159</v>
      </c>
      <c r="C40" s="903">
        <f>+C139</f>
        <v>0</v>
      </c>
      <c r="D40" s="903">
        <f t="shared" ref="D40:N40" si="28">+D139</f>
        <v>0</v>
      </c>
      <c r="E40" s="903">
        <f t="shared" si="28"/>
        <v>0</v>
      </c>
      <c r="F40" s="903">
        <f t="shared" si="28"/>
        <v>0</v>
      </c>
      <c r="G40" s="903">
        <f t="shared" si="28"/>
        <v>0</v>
      </c>
      <c r="H40" s="903">
        <f t="shared" si="28"/>
        <v>0</v>
      </c>
      <c r="I40" s="903">
        <f t="shared" si="28"/>
        <v>30.58</v>
      </c>
      <c r="J40" s="903">
        <f t="shared" si="28"/>
        <v>363.71</v>
      </c>
      <c r="K40" s="903">
        <f t="shared" si="28"/>
        <v>356.49</v>
      </c>
      <c r="L40" s="903">
        <f t="shared" si="28"/>
        <v>0</v>
      </c>
      <c r="M40" s="903">
        <f t="shared" si="28"/>
        <v>0</v>
      </c>
      <c r="N40" s="903">
        <f t="shared" si="28"/>
        <v>0</v>
      </c>
    </row>
    <row r="41" spans="2:14" ht="13.15">
      <c r="B41" s="904" t="s">
        <v>160</v>
      </c>
      <c r="C41" s="905" t="e">
        <f t="shared" ref="C41:N41" si="29">C38/C15</f>
        <v>#DIV/0!</v>
      </c>
      <c r="D41" s="905" t="e">
        <f t="shared" si="29"/>
        <v>#DIV/0!</v>
      </c>
      <c r="E41" s="905" t="e">
        <f t="shared" si="29"/>
        <v>#DIV/0!</v>
      </c>
      <c r="F41" s="905" t="e">
        <f t="shared" si="29"/>
        <v>#DIV/0!</v>
      </c>
      <c r="G41" s="905" t="e">
        <f t="shared" si="29"/>
        <v>#DIV/0!</v>
      </c>
      <c r="H41" s="905" t="e">
        <f t="shared" si="29"/>
        <v>#DIV/0!</v>
      </c>
      <c r="I41" s="905">
        <f>I38/I15</f>
        <v>7.1309293656025112E-3</v>
      </c>
      <c r="J41" s="905">
        <f t="shared" si="29"/>
        <v>7.9939144573528395E-2</v>
      </c>
      <c r="K41" s="905">
        <f t="shared" si="29"/>
        <v>7.4377264337960311E-2</v>
      </c>
      <c r="L41" s="905" t="e">
        <f t="shared" si="29"/>
        <v>#DIV/0!</v>
      </c>
      <c r="M41" s="905" t="e">
        <f t="shared" si="29"/>
        <v>#DIV/0!</v>
      </c>
      <c r="N41" s="905" t="e">
        <f t="shared" si="29"/>
        <v>#DIV/0!</v>
      </c>
    </row>
    <row r="42" spans="2:14" ht="13.15">
      <c r="B42" s="904" t="s">
        <v>382</v>
      </c>
      <c r="C42" s="905" t="e">
        <f>AVERAGE(G41:I41)</f>
        <v>#DIV/0!</v>
      </c>
      <c r="D42" s="905"/>
      <c r="E42" s="905"/>
      <c r="F42" s="905"/>
      <c r="G42" s="905"/>
      <c r="H42" s="905"/>
      <c r="I42" s="905"/>
      <c r="J42" s="906"/>
      <c r="K42" s="905"/>
      <c r="L42" s="905"/>
      <c r="M42" s="905"/>
      <c r="N42" s="905"/>
    </row>
    <row r="43" spans="2:14" ht="13.15">
      <c r="B43" s="904" t="s">
        <v>298</v>
      </c>
      <c r="C43" s="907">
        <f>+C151</f>
        <v>0</v>
      </c>
      <c r="D43" s="907">
        <f t="shared" ref="D43:N43" si="30">+D151</f>
        <v>0</v>
      </c>
      <c r="E43" s="907">
        <f t="shared" si="30"/>
        <v>0</v>
      </c>
      <c r="F43" s="907">
        <f t="shared" si="30"/>
        <v>0</v>
      </c>
      <c r="G43" s="907">
        <f t="shared" si="30"/>
        <v>0</v>
      </c>
      <c r="H43" s="907">
        <f t="shared" si="30"/>
        <v>0</v>
      </c>
      <c r="I43" s="907">
        <f t="shared" si="30"/>
        <v>329304</v>
      </c>
      <c r="J43" s="907">
        <f t="shared" si="30"/>
        <v>33534300</v>
      </c>
      <c r="K43" s="907">
        <f t="shared" si="30"/>
        <v>33425291</v>
      </c>
      <c r="L43" s="907">
        <f t="shared" si="30"/>
        <v>0</v>
      </c>
      <c r="M43" s="907">
        <f t="shared" si="30"/>
        <v>0</v>
      </c>
      <c r="N43" s="907">
        <f t="shared" si="30"/>
        <v>0</v>
      </c>
    </row>
    <row r="44" spans="2:14">
      <c r="B44" s="908" t="s">
        <v>111</v>
      </c>
      <c r="C44" s="908">
        <f>SUM(C46:C49)</f>
        <v>76</v>
      </c>
      <c r="D44" s="908">
        <f t="shared" ref="D44" si="31">SUM(D46:D49)</f>
        <v>107</v>
      </c>
      <c r="E44" s="908"/>
      <c r="F44" s="908"/>
      <c r="G44" s="908"/>
      <c r="H44" s="908"/>
      <c r="I44" s="908"/>
      <c r="J44" s="1309">
        <f t="shared" ref="J44:N44" si="32">SUM(J46:J49)</f>
        <v>140.00035334</v>
      </c>
      <c r="K44" s="908">
        <f t="shared" si="32"/>
        <v>181.86</v>
      </c>
      <c r="L44" s="908">
        <f t="shared" si="32"/>
        <v>0</v>
      </c>
      <c r="M44" s="908">
        <f t="shared" si="32"/>
        <v>0</v>
      </c>
      <c r="N44" s="908">
        <f t="shared" si="32"/>
        <v>0</v>
      </c>
    </row>
    <row r="45" spans="2:14">
      <c r="B45" s="908" t="s">
        <v>112</v>
      </c>
      <c r="C45" s="908">
        <f>+C46+C47+C48</f>
        <v>76</v>
      </c>
      <c r="D45" s="908">
        <f t="shared" ref="D45:N45" si="33">+D46+D47+D48</f>
        <v>86</v>
      </c>
      <c r="E45" s="908"/>
      <c r="F45" s="908"/>
      <c r="G45" s="908"/>
      <c r="H45" s="908"/>
      <c r="I45" s="908"/>
      <c r="J45" s="1309">
        <f t="shared" si="33"/>
        <v>28.124353339999999</v>
      </c>
      <c r="K45" s="908">
        <f t="shared" si="33"/>
        <v>181.86</v>
      </c>
      <c r="L45" s="908">
        <f t="shared" si="33"/>
        <v>0</v>
      </c>
      <c r="M45" s="908">
        <f t="shared" si="33"/>
        <v>0</v>
      </c>
      <c r="N45" s="908">
        <f t="shared" si="33"/>
        <v>0</v>
      </c>
    </row>
    <row r="46" spans="2:14">
      <c r="B46" s="909" t="s">
        <v>114</v>
      </c>
      <c r="C46" s="875">
        <v>19</v>
      </c>
      <c r="D46" s="875">
        <v>21.5</v>
      </c>
      <c r="E46" s="875"/>
      <c r="F46" s="875"/>
      <c r="G46" s="875"/>
      <c r="H46" s="875"/>
      <c r="I46" s="875"/>
      <c r="J46" s="1312">
        <v>9.0563533399999994</v>
      </c>
      <c r="K46" s="875">
        <v>109.116</v>
      </c>
      <c r="L46" s="875"/>
      <c r="M46" s="875"/>
      <c r="N46" s="875"/>
    </row>
    <row r="47" spans="2:14">
      <c r="B47" s="909" t="s">
        <v>115</v>
      </c>
      <c r="C47" s="875">
        <f>19+19</f>
        <v>38</v>
      </c>
      <c r="D47" s="875">
        <f>21.5+21.5</f>
        <v>43</v>
      </c>
      <c r="E47" s="875"/>
      <c r="F47" s="875"/>
      <c r="G47" s="875"/>
      <c r="H47" s="875"/>
      <c r="I47" s="875"/>
      <c r="J47" s="875"/>
      <c r="K47" s="875"/>
      <c r="L47" s="875"/>
      <c r="M47" s="875"/>
      <c r="N47" s="875"/>
    </row>
    <row r="48" spans="2:14">
      <c r="B48" s="909" t="s">
        <v>116</v>
      </c>
      <c r="C48" s="875">
        <v>19</v>
      </c>
      <c r="D48" s="875">
        <v>21.5</v>
      </c>
      <c r="E48" s="875"/>
      <c r="F48" s="875"/>
      <c r="G48" s="875"/>
      <c r="H48" s="875"/>
      <c r="I48" s="875"/>
      <c r="J48" s="1311">
        <v>19.068000000000001</v>
      </c>
      <c r="K48" s="875">
        <v>72.744</v>
      </c>
      <c r="L48" s="875"/>
      <c r="M48" s="875"/>
      <c r="N48" s="875"/>
    </row>
    <row r="49" spans="2:16">
      <c r="B49" s="909" t="s">
        <v>117</v>
      </c>
      <c r="C49" s="875"/>
      <c r="D49" s="875">
        <v>21</v>
      </c>
      <c r="E49" s="875"/>
      <c r="F49" s="875"/>
      <c r="G49" s="875"/>
      <c r="H49" s="875"/>
      <c r="I49" s="875"/>
      <c r="J49" s="1311">
        <v>111.876</v>
      </c>
      <c r="K49" s="875"/>
      <c r="L49" s="875"/>
      <c r="M49" s="875"/>
      <c r="N49" s="875"/>
    </row>
    <row r="50" spans="2:16" s="910" customFormat="1">
      <c r="B50" s="908" t="s">
        <v>119</v>
      </c>
      <c r="C50" s="908">
        <f>SUM(C52:C55)</f>
        <v>81</v>
      </c>
      <c r="D50" s="908">
        <f t="shared" ref="D50:N50" si="34">SUM(D52:D55)</f>
        <v>86</v>
      </c>
      <c r="E50" s="908"/>
      <c r="F50" s="908"/>
      <c r="G50" s="908"/>
      <c r="H50" s="908"/>
      <c r="I50" s="1310">
        <f t="shared" ref="I50" si="35">SUM(I52:I55)</f>
        <v>9.0563533399999994</v>
      </c>
      <c r="J50" s="1310">
        <f t="shared" si="34"/>
        <v>240.06</v>
      </c>
      <c r="K50" s="908">
        <f t="shared" si="34"/>
        <v>72.744</v>
      </c>
      <c r="L50" s="908">
        <f t="shared" si="34"/>
        <v>0</v>
      </c>
      <c r="M50" s="908">
        <f t="shared" si="34"/>
        <v>0</v>
      </c>
      <c r="N50" s="908">
        <f t="shared" si="34"/>
        <v>0</v>
      </c>
    </row>
    <row r="51" spans="2:16" s="910" customFormat="1">
      <c r="B51" s="908" t="s">
        <v>120</v>
      </c>
      <c r="C51" s="908">
        <f>+C52+C53+C54</f>
        <v>81</v>
      </c>
      <c r="D51" s="908">
        <f t="shared" ref="D51:N51" si="36">+D52+D53+D54</f>
        <v>86</v>
      </c>
      <c r="E51" s="908"/>
      <c r="F51" s="908"/>
      <c r="G51" s="908"/>
      <c r="H51" s="908"/>
      <c r="I51" s="1310">
        <f>+I52+I53+I54</f>
        <v>9.0563533399999994</v>
      </c>
      <c r="J51" s="1310">
        <f>+J52+J53+J54</f>
        <v>128.184</v>
      </c>
      <c r="K51" s="908">
        <f t="shared" si="36"/>
        <v>72.744</v>
      </c>
      <c r="L51" s="908">
        <f t="shared" si="36"/>
        <v>0</v>
      </c>
      <c r="M51" s="908">
        <f t="shared" si="36"/>
        <v>0</v>
      </c>
      <c r="N51" s="908">
        <f t="shared" si="36"/>
        <v>0</v>
      </c>
    </row>
    <row r="52" spans="2:16">
      <c r="B52" s="909" t="s">
        <v>121</v>
      </c>
      <c r="C52" s="875">
        <v>21.5</v>
      </c>
      <c r="D52" s="875">
        <v>21.5</v>
      </c>
      <c r="E52" s="875"/>
      <c r="F52" s="875"/>
      <c r="G52" s="875"/>
      <c r="H52" s="875"/>
      <c r="I52" s="1311">
        <v>9.0563533399999994</v>
      </c>
      <c r="J52" s="1313">
        <v>109.116</v>
      </c>
      <c r="K52" s="875"/>
      <c r="L52" s="875"/>
      <c r="M52" s="875"/>
      <c r="N52" s="875"/>
    </row>
    <row r="53" spans="2:16">
      <c r="B53" s="909" t="s">
        <v>122</v>
      </c>
      <c r="C53" s="875">
        <f>21.5+19</f>
        <v>40.5</v>
      </c>
      <c r="D53" s="875">
        <f>21.5+21.5</f>
        <v>43</v>
      </c>
      <c r="E53" s="875"/>
      <c r="F53" s="875"/>
      <c r="G53" s="875"/>
      <c r="H53" s="875"/>
      <c r="I53" s="875"/>
      <c r="J53" s="1313"/>
      <c r="K53" s="875"/>
      <c r="L53" s="875"/>
      <c r="M53" s="875"/>
      <c r="N53" s="875"/>
    </row>
    <row r="54" spans="2:16">
      <c r="B54" s="909" t="s">
        <v>123</v>
      </c>
      <c r="C54" s="875">
        <v>19</v>
      </c>
      <c r="D54" s="875">
        <v>21.5</v>
      </c>
      <c r="E54" s="875"/>
      <c r="F54" s="875"/>
      <c r="G54" s="875"/>
      <c r="H54" s="875"/>
      <c r="I54" s="875"/>
      <c r="J54" s="1311">
        <v>19.068000000000001</v>
      </c>
      <c r="K54" s="875">
        <v>72.744</v>
      </c>
      <c r="L54" s="875"/>
      <c r="M54" s="875"/>
      <c r="N54" s="875"/>
    </row>
    <row r="55" spans="2:16">
      <c r="B55" s="909" t="s">
        <v>124</v>
      </c>
      <c r="C55" s="875"/>
      <c r="D55" s="875"/>
      <c r="E55" s="875"/>
      <c r="F55" s="875"/>
      <c r="G55" s="875"/>
      <c r="H55" s="875"/>
      <c r="I55" s="875"/>
      <c r="J55" s="1311">
        <v>111.876</v>
      </c>
      <c r="K55" s="875"/>
      <c r="L55" s="875"/>
      <c r="M55" s="875"/>
      <c r="N55" s="875"/>
    </row>
    <row r="56" spans="2:16">
      <c r="B56" s="911" t="s">
        <v>167</v>
      </c>
      <c r="C56" s="912" t="e">
        <f>(C52+C53+C54)/C40</f>
        <v>#DIV/0!</v>
      </c>
      <c r="D56" s="912" t="e">
        <f t="shared" ref="D56:N56" si="37">(D52+D53+D54)/D40</f>
        <v>#DIV/0!</v>
      </c>
      <c r="E56" s="912" t="e">
        <f t="shared" si="37"/>
        <v>#DIV/0!</v>
      </c>
      <c r="F56" s="912" t="e">
        <f t="shared" si="37"/>
        <v>#DIV/0!</v>
      </c>
      <c r="G56" s="912" t="e">
        <f t="shared" si="37"/>
        <v>#DIV/0!</v>
      </c>
      <c r="H56" s="912" t="e">
        <f t="shared" si="37"/>
        <v>#DIV/0!</v>
      </c>
      <c r="I56" s="912">
        <f>(I52+I53+I54)/I40</f>
        <v>0.29615282341399607</v>
      </c>
      <c r="J56" s="912">
        <f>(J52+J53+J54)/J40</f>
        <v>0.35243463198702263</v>
      </c>
      <c r="K56" s="912">
        <f t="shared" si="37"/>
        <v>0.20405621476058233</v>
      </c>
      <c r="L56" s="912" t="e">
        <f t="shared" si="37"/>
        <v>#DIV/0!</v>
      </c>
      <c r="M56" s="912" t="e">
        <f t="shared" si="37"/>
        <v>#DIV/0!</v>
      </c>
      <c r="N56" s="912" t="e">
        <f t="shared" si="37"/>
        <v>#DIV/0!</v>
      </c>
    </row>
    <row r="57" spans="2:16">
      <c r="B57" s="913" t="s">
        <v>303</v>
      </c>
      <c r="C57" s="914" t="e">
        <f>AVERAGE(H56:J56)</f>
        <v>#DIV/0!</v>
      </c>
      <c r="D57" s="914"/>
      <c r="E57" s="914"/>
      <c r="F57" s="914"/>
      <c r="G57" s="914"/>
      <c r="H57" s="914"/>
      <c r="I57" s="914"/>
      <c r="J57" s="914"/>
      <c r="K57" s="914"/>
      <c r="L57" s="914"/>
      <c r="M57" s="914"/>
      <c r="N57" s="914"/>
    </row>
    <row r="58" spans="2:16">
      <c r="B58" s="911" t="s">
        <v>299</v>
      </c>
      <c r="C58" s="912" t="e">
        <f>+D45/C19</f>
        <v>#DIV/0!</v>
      </c>
      <c r="D58" s="912" t="e">
        <f t="shared" ref="D58:N58" si="38">+E45/D19</f>
        <v>#DIV/0!</v>
      </c>
      <c r="E58" s="912" t="e">
        <f t="shared" si="38"/>
        <v>#DIV/0!</v>
      </c>
      <c r="F58" s="912" t="e">
        <f>+G45/F19</f>
        <v>#DIV/0!</v>
      </c>
      <c r="G58" s="912" t="e">
        <f t="shared" si="38"/>
        <v>#DIV/0!</v>
      </c>
      <c r="H58" s="912" t="e">
        <f t="shared" si="38"/>
        <v>#DIV/0!</v>
      </c>
      <c r="I58" s="912">
        <f>+J45/I19</f>
        <v>6.2498562977777779E-3</v>
      </c>
      <c r="J58" s="912">
        <f t="shared" si="38"/>
        <v>4.5465000000000005E-2</v>
      </c>
      <c r="K58" s="912">
        <f>+L45/K19</f>
        <v>0</v>
      </c>
      <c r="L58" s="912" t="e">
        <f t="shared" si="38"/>
        <v>#DIV/0!</v>
      </c>
      <c r="M58" s="912" t="e">
        <f t="shared" si="38"/>
        <v>#DIV/0!</v>
      </c>
      <c r="N58" s="912" t="e">
        <f t="shared" si="38"/>
        <v>#DIV/0!</v>
      </c>
    </row>
    <row r="59" spans="2:16">
      <c r="B59" s="915" t="s">
        <v>384</v>
      </c>
      <c r="C59" s="916" t="e">
        <f>AVERAGE(G58:I58)</f>
        <v>#DIV/0!</v>
      </c>
      <c r="D59" s="916"/>
      <c r="E59" s="916"/>
      <c r="F59" s="916"/>
      <c r="G59" s="916"/>
      <c r="H59" s="916"/>
      <c r="I59" s="916"/>
      <c r="J59" s="916"/>
      <c r="K59" s="916"/>
      <c r="L59" s="916"/>
      <c r="M59" s="916"/>
      <c r="N59" s="916"/>
      <c r="O59" s="916"/>
      <c r="P59" s="916"/>
    </row>
    <row r="60" spans="2:16">
      <c r="B60" s="917" t="s">
        <v>176</v>
      </c>
      <c r="C60" s="918" t="e">
        <f>+C41*(100%-C56)</f>
        <v>#DIV/0!</v>
      </c>
      <c r="D60" s="918" t="e">
        <f t="shared" ref="D60:N60" si="39">+D41*(100%-D56)</f>
        <v>#DIV/0!</v>
      </c>
      <c r="E60" s="918" t="e">
        <f t="shared" si="39"/>
        <v>#DIV/0!</v>
      </c>
      <c r="F60" s="919" t="e">
        <f>+F41*(100%-F56)</f>
        <v>#DIV/0!</v>
      </c>
      <c r="G60" s="918" t="e">
        <f t="shared" si="39"/>
        <v>#DIV/0!</v>
      </c>
      <c r="H60" s="918" t="e">
        <f>+H41*(100%-H56)</f>
        <v>#DIV/0!</v>
      </c>
      <c r="I60" s="918">
        <f t="shared" si="39"/>
        <v>5.0190845004135518E-3</v>
      </c>
      <c r="J60" s="918">
        <f t="shared" si="39"/>
        <v>5.1765821574399518E-2</v>
      </c>
      <c r="K60" s="918">
        <f t="shared" si="39"/>
        <v>5.9200121312908881E-2</v>
      </c>
      <c r="L60" s="918" t="e">
        <f t="shared" si="39"/>
        <v>#DIV/0!</v>
      </c>
      <c r="M60" s="918" t="e">
        <f t="shared" si="39"/>
        <v>#DIV/0!</v>
      </c>
      <c r="N60" s="918" t="e">
        <f t="shared" si="39"/>
        <v>#DIV/0!</v>
      </c>
    </row>
    <row r="61" spans="2:16">
      <c r="B61" s="915" t="s">
        <v>306</v>
      </c>
      <c r="C61" s="916" t="e">
        <f>AVERAGE(G60:I60)</f>
        <v>#DIV/0!</v>
      </c>
      <c r="D61" s="916"/>
      <c r="E61" s="916"/>
      <c r="F61" s="916"/>
      <c r="G61" s="916"/>
      <c r="H61" s="916"/>
      <c r="I61" s="916"/>
      <c r="J61" s="916"/>
      <c r="K61" s="916"/>
      <c r="L61" s="916"/>
      <c r="M61" s="916"/>
      <c r="N61" s="916"/>
      <c r="O61" s="916"/>
    </row>
    <row r="62" spans="2:16">
      <c r="B62" s="917" t="s">
        <v>300</v>
      </c>
      <c r="C62" s="920">
        <f ca="1">B3</f>
        <v>5032.3999999999996</v>
      </c>
      <c r="D62" s="916"/>
      <c r="E62" s="916"/>
      <c r="F62" s="916"/>
      <c r="G62" s="916"/>
      <c r="H62" s="916"/>
      <c r="I62" s="916"/>
      <c r="J62" s="916"/>
      <c r="K62" s="916"/>
      <c r="L62" s="916"/>
      <c r="M62" s="916"/>
      <c r="N62" s="916"/>
      <c r="O62" s="916"/>
    </row>
    <row r="64" spans="2:16" ht="13.15">
      <c r="B64" s="921" t="s">
        <v>307</v>
      </c>
    </row>
    <row r="66" spans="2:14" ht="13.15">
      <c r="B66" s="922" t="s">
        <v>385</v>
      </c>
      <c r="C66" s="923">
        <v>2017</v>
      </c>
      <c r="D66" s="923">
        <v>2018</v>
      </c>
      <c r="E66" s="923">
        <v>2019</v>
      </c>
      <c r="F66" s="923">
        <v>2020</v>
      </c>
      <c r="G66" s="923">
        <v>2021</v>
      </c>
      <c r="H66" s="923">
        <v>2022</v>
      </c>
      <c r="I66" s="923">
        <v>2023</v>
      </c>
      <c r="J66" s="923">
        <v>2024</v>
      </c>
      <c r="K66" s="923">
        <v>2025</v>
      </c>
      <c r="L66" s="923">
        <v>2026</v>
      </c>
      <c r="M66" s="923">
        <v>2027</v>
      </c>
      <c r="N66" s="923">
        <v>2028</v>
      </c>
    </row>
    <row r="67" spans="2:14" ht="13.15">
      <c r="B67" s="924" t="s">
        <v>309</v>
      </c>
      <c r="C67" s="925"/>
      <c r="D67" s="925"/>
      <c r="E67" s="925"/>
      <c r="F67" s="925"/>
      <c r="G67" s="925"/>
      <c r="H67" s="925"/>
      <c r="I67" s="925"/>
      <c r="J67" s="925"/>
      <c r="K67" s="925"/>
      <c r="L67" s="925"/>
      <c r="M67" s="925"/>
      <c r="N67" s="925"/>
    </row>
    <row r="68" spans="2:14" ht="13.15">
      <c r="B68" s="926" t="s">
        <v>310</v>
      </c>
      <c r="C68" s="927"/>
      <c r="D68" s="927"/>
      <c r="E68" s="927"/>
      <c r="F68" s="928"/>
      <c r="G68" s="927"/>
      <c r="H68" s="929"/>
      <c r="I68" s="927">
        <f>SUM(I69:I75)</f>
        <v>79152276</v>
      </c>
      <c r="J68" s="927">
        <f>SUM(J69:J76)</f>
        <v>105546217</v>
      </c>
      <c r="K68" s="927">
        <f>SUM(K69:K75)</f>
        <v>97851780</v>
      </c>
      <c r="L68" s="927">
        <f t="shared" ref="K68:M68" si="40">SUM(L69:L75)</f>
        <v>0</v>
      </c>
      <c r="M68" s="927">
        <f t="shared" si="40"/>
        <v>0</v>
      </c>
      <c r="N68" s="927">
        <f>SUM(N69:N75)</f>
        <v>0</v>
      </c>
    </row>
    <row r="69" spans="2:14">
      <c r="B69" s="930" t="s">
        <v>386</v>
      </c>
      <c r="C69" s="925"/>
      <c r="D69" s="925"/>
      <c r="E69" s="925"/>
      <c r="F69" s="925"/>
      <c r="G69" s="925"/>
      <c r="H69" s="931"/>
      <c r="I69" s="925">
        <v>37484606</v>
      </c>
      <c r="J69" s="925">
        <v>33589340</v>
      </c>
      <c r="K69" s="925">
        <v>38892857</v>
      </c>
      <c r="L69" s="925"/>
      <c r="M69" s="925"/>
      <c r="N69" s="925"/>
    </row>
    <row r="70" spans="2:14">
      <c r="B70" s="930" t="s">
        <v>387</v>
      </c>
      <c r="C70" s="925"/>
      <c r="D70" s="925"/>
      <c r="E70" s="925"/>
      <c r="F70" s="925"/>
      <c r="G70" s="925"/>
      <c r="H70" s="931"/>
      <c r="I70" s="925">
        <v>18184860</v>
      </c>
      <c r="J70" s="925">
        <v>41836633</v>
      </c>
      <c r="K70" s="925">
        <v>36488229</v>
      </c>
      <c r="L70" s="925"/>
      <c r="M70" s="925"/>
      <c r="N70" s="925"/>
    </row>
    <row r="71" spans="2:14">
      <c r="B71" s="930" t="s">
        <v>388</v>
      </c>
      <c r="C71" s="925"/>
      <c r="D71" s="925"/>
      <c r="E71" s="925"/>
      <c r="F71" s="925"/>
      <c r="G71" s="925"/>
      <c r="H71" s="931"/>
      <c r="I71" s="925">
        <v>1969582</v>
      </c>
      <c r="J71" s="925">
        <v>2537871</v>
      </c>
      <c r="K71" s="925">
        <v>2797121</v>
      </c>
      <c r="L71" s="925"/>
      <c r="M71" s="925"/>
      <c r="N71" s="925"/>
    </row>
    <row r="72" spans="2:14">
      <c r="B72" s="930" t="s">
        <v>389</v>
      </c>
      <c r="C72" s="925"/>
      <c r="D72" s="925"/>
      <c r="E72" s="925"/>
      <c r="F72" s="925"/>
      <c r="G72" s="925"/>
      <c r="H72" s="931"/>
      <c r="I72" s="925">
        <v>13368882</v>
      </c>
      <c r="J72" s="925">
        <v>16187121</v>
      </c>
      <c r="K72" s="925">
        <v>16067486</v>
      </c>
      <c r="L72" s="925"/>
      <c r="M72" s="925"/>
      <c r="N72" s="925"/>
    </row>
    <row r="73" spans="2:14">
      <c r="B73" s="930" t="s">
        <v>390</v>
      </c>
      <c r="C73" s="925"/>
      <c r="D73" s="925"/>
      <c r="E73" s="925"/>
      <c r="F73" s="925"/>
      <c r="G73" s="925"/>
      <c r="H73" s="931"/>
      <c r="I73" s="925">
        <v>500009</v>
      </c>
      <c r="J73" s="925">
        <v>213552</v>
      </c>
      <c r="K73" s="925">
        <v>315515</v>
      </c>
      <c r="L73" s="925"/>
      <c r="M73" s="925"/>
      <c r="N73" s="925"/>
    </row>
    <row r="74" spans="2:14">
      <c r="B74" s="930" t="s">
        <v>391</v>
      </c>
      <c r="C74" s="932"/>
      <c r="D74" s="925"/>
      <c r="E74" s="925"/>
      <c r="F74" s="925"/>
      <c r="G74" s="925"/>
      <c r="H74" s="931"/>
      <c r="I74" s="925">
        <v>0</v>
      </c>
      <c r="J74" s="925">
        <v>0</v>
      </c>
      <c r="K74" s="925">
        <v>0</v>
      </c>
      <c r="L74" s="925"/>
      <c r="M74" s="925"/>
      <c r="N74" s="925"/>
    </row>
    <row r="75" spans="2:14">
      <c r="B75" s="930" t="s">
        <v>392</v>
      </c>
      <c r="C75" s="925"/>
      <c r="D75" s="925"/>
      <c r="E75" s="925"/>
      <c r="F75" s="925"/>
      <c r="G75" s="925"/>
      <c r="H75" s="931"/>
      <c r="I75" s="925">
        <v>7644337</v>
      </c>
      <c r="J75" s="925">
        <v>6505665</v>
      </c>
      <c r="K75" s="925">
        <v>3290572</v>
      </c>
      <c r="L75" s="925"/>
      <c r="M75" s="925"/>
      <c r="N75" s="925"/>
    </row>
    <row r="76" spans="2:14">
      <c r="B76" s="930" t="s">
        <v>318</v>
      </c>
      <c r="C76" s="925"/>
      <c r="D76" s="925"/>
      <c r="E76" s="925"/>
      <c r="F76" s="925"/>
      <c r="G76" s="925"/>
      <c r="H76" s="925"/>
      <c r="I76" s="925"/>
      <c r="J76" s="925">
        <v>4676035</v>
      </c>
      <c r="K76" s="925">
        <f>+K68-K69-K74-K75-K73-K72-K71-K70</f>
        <v>0</v>
      </c>
      <c r="L76" s="925">
        <f t="shared" ref="K76:N76" si="41">+L68-L69-L74-L75-L73-L72-L71-L70</f>
        <v>0</v>
      </c>
      <c r="M76" s="925">
        <f t="shared" si="41"/>
        <v>0</v>
      </c>
      <c r="N76" s="925">
        <f t="shared" si="41"/>
        <v>0</v>
      </c>
    </row>
    <row r="77" spans="2:14" ht="13.15">
      <c r="B77" s="926" t="s">
        <v>319</v>
      </c>
      <c r="C77" s="927"/>
      <c r="D77" s="927"/>
      <c r="E77" s="927"/>
      <c r="F77" s="928"/>
      <c r="G77" s="927"/>
      <c r="H77" s="929"/>
      <c r="I77" s="927">
        <f>SUM(I78:I87)</f>
        <v>496720644</v>
      </c>
      <c r="J77" s="927">
        <f>SUM(J78:J87)</f>
        <v>490100354</v>
      </c>
      <c r="K77" s="927">
        <f>SUM(K78:K87)</f>
        <v>507666236</v>
      </c>
      <c r="L77" s="927">
        <f ca="1">SUM(L78:L87)</f>
        <v>0</v>
      </c>
      <c r="M77" s="927"/>
      <c r="N77" s="927"/>
    </row>
    <row r="78" spans="2:14">
      <c r="B78" s="930" t="s">
        <v>393</v>
      </c>
      <c r="C78" s="925"/>
      <c r="D78" s="925"/>
      <c r="E78" s="925"/>
      <c r="F78" s="925"/>
      <c r="G78" s="925"/>
      <c r="H78" s="931"/>
      <c r="I78" s="925">
        <v>3439016</v>
      </c>
      <c r="J78" s="925">
        <v>6765633</v>
      </c>
      <c r="K78" s="925">
        <v>6916990</v>
      </c>
      <c r="L78" s="925"/>
      <c r="M78" s="925"/>
      <c r="N78" s="925"/>
    </row>
    <row r="79" spans="2:14">
      <c r="B79" s="930" t="s">
        <v>394</v>
      </c>
      <c r="C79" s="925"/>
      <c r="D79" s="925"/>
      <c r="E79" s="925"/>
      <c r="F79" s="925"/>
      <c r="G79" s="925"/>
      <c r="H79" s="931"/>
      <c r="I79" s="925">
        <v>11939656</v>
      </c>
      <c r="J79" s="925">
        <v>1109125</v>
      </c>
      <c r="K79" s="925">
        <v>1970057</v>
      </c>
      <c r="L79" s="925"/>
      <c r="M79" s="925"/>
      <c r="N79" s="925"/>
    </row>
    <row r="80" spans="2:14">
      <c r="B80" s="930" t="s">
        <v>377</v>
      </c>
      <c r="C80" s="925"/>
      <c r="D80" s="925"/>
      <c r="E80" s="925"/>
      <c r="F80" s="925"/>
      <c r="G80" s="925"/>
      <c r="H80" s="931"/>
      <c r="I80" s="925"/>
      <c r="J80" s="925"/>
      <c r="K80" s="925">
        <v>0</v>
      </c>
      <c r="L80" s="925"/>
      <c r="M80" s="925"/>
      <c r="N80" s="925"/>
    </row>
    <row r="81" spans="2:14">
      <c r="B81" s="930" t="s">
        <v>484</v>
      </c>
      <c r="C81" s="925"/>
      <c r="D81" s="925"/>
      <c r="E81" s="925"/>
      <c r="F81" s="925"/>
      <c r="G81" s="925"/>
      <c r="H81" s="931"/>
      <c r="I81" s="925"/>
      <c r="J81" s="925">
        <v>139056</v>
      </c>
      <c r="K81" s="925"/>
      <c r="L81" s="925"/>
      <c r="M81" s="925"/>
      <c r="N81" s="925"/>
    </row>
    <row r="82" spans="2:14">
      <c r="B82" s="930" t="s">
        <v>487</v>
      </c>
      <c r="C82" s="925"/>
      <c r="D82" s="925"/>
      <c r="E82" s="925"/>
      <c r="F82" s="925"/>
      <c r="G82" s="925"/>
      <c r="H82" s="931"/>
      <c r="I82" s="925">
        <v>81724897</v>
      </c>
      <c r="J82" s="925">
        <v>90006673</v>
      </c>
      <c r="K82" s="925">
        <v>90384475</v>
      </c>
      <c r="L82" s="925"/>
      <c r="M82" s="925"/>
      <c r="N82" s="925"/>
    </row>
    <row r="83" spans="2:14">
      <c r="B83" s="930" t="s">
        <v>522</v>
      </c>
      <c r="C83" s="925"/>
      <c r="D83" s="925"/>
      <c r="E83" s="925"/>
      <c r="F83" s="925"/>
      <c r="G83" s="925"/>
      <c r="H83" s="931"/>
      <c r="I83" s="925">
        <v>203774350</v>
      </c>
      <c r="J83" s="925">
        <v>160648358</v>
      </c>
      <c r="K83" s="925">
        <v>177037943</v>
      </c>
      <c r="L83" s="925"/>
      <c r="M83" s="925"/>
      <c r="N83" s="925"/>
    </row>
    <row r="84" spans="2:14">
      <c r="B84" s="930" t="s">
        <v>396</v>
      </c>
      <c r="C84" s="925"/>
      <c r="D84" s="925"/>
      <c r="E84" s="925"/>
      <c r="F84" s="925"/>
      <c r="G84" s="925"/>
      <c r="H84" s="931"/>
      <c r="I84" s="925">
        <v>165439135</v>
      </c>
      <c r="J84" s="925">
        <v>192389404</v>
      </c>
      <c r="K84" s="925">
        <v>195822707</v>
      </c>
      <c r="L84" s="925"/>
      <c r="M84" s="925"/>
      <c r="N84" s="925"/>
    </row>
    <row r="85" spans="2:14">
      <c r="B85" s="930" t="s">
        <v>398</v>
      </c>
      <c r="C85" s="925"/>
      <c r="D85" s="925"/>
      <c r="E85" s="925"/>
      <c r="F85" s="932"/>
      <c r="G85" s="925"/>
      <c r="H85" s="931"/>
      <c r="I85" s="925">
        <v>26360580</v>
      </c>
      <c r="J85" s="925">
        <v>33516006</v>
      </c>
      <c r="K85" s="925">
        <v>32315156</v>
      </c>
      <c r="L85" s="925"/>
      <c r="M85" s="925"/>
      <c r="N85" s="925"/>
    </row>
    <row r="86" spans="2:14">
      <c r="B86" s="930" t="s">
        <v>523</v>
      </c>
      <c r="C86" s="925"/>
      <c r="D86" s="925"/>
      <c r="E86" s="925"/>
      <c r="F86" s="925"/>
      <c r="G86" s="925"/>
      <c r="H86" s="931"/>
      <c r="I86" s="925"/>
      <c r="J86" s="925">
        <v>1605977</v>
      </c>
      <c r="K86" s="925">
        <v>196946</v>
      </c>
      <c r="L86" s="925"/>
      <c r="M86" s="925"/>
      <c r="N86" s="925"/>
    </row>
    <row r="87" spans="2:14">
      <c r="B87" s="930" t="s">
        <v>328</v>
      </c>
      <c r="C87" s="925"/>
      <c r="D87" s="925"/>
      <c r="E87" s="925"/>
      <c r="F87" s="925"/>
      <c r="G87" s="925"/>
      <c r="H87" s="925"/>
      <c r="I87" s="925">
        <v>4043010</v>
      </c>
      <c r="J87" s="925">
        <v>3920122</v>
      </c>
      <c r="K87" s="925">
        <v>3021962</v>
      </c>
      <c r="L87" s="925">
        <f t="shared" ref="K87:N87" ca="1" si="42">+L77-L84-L85-L83-L78-L86-L82-L81-L80-L79</f>
        <v>0</v>
      </c>
      <c r="M87" s="925">
        <f t="shared" si="42"/>
        <v>0</v>
      </c>
      <c r="N87" s="925">
        <f t="shared" si="42"/>
        <v>0</v>
      </c>
    </row>
    <row r="88" spans="2:14" ht="13.15">
      <c r="B88" s="933" t="s">
        <v>329</v>
      </c>
      <c r="C88" s="934"/>
      <c r="D88" s="934"/>
      <c r="E88" s="934"/>
      <c r="F88" s="934"/>
      <c r="G88" s="934"/>
      <c r="H88" s="935"/>
      <c r="I88" s="935">
        <f>SUM(I77+I68)</f>
        <v>575872920</v>
      </c>
      <c r="J88" s="935">
        <f>SUM(J77+J68)</f>
        <v>595646571</v>
      </c>
      <c r="K88" s="935">
        <f>SUM(K77+K68)</f>
        <v>605518016</v>
      </c>
      <c r="L88" s="935">
        <f t="shared" ref="K88:N88" ca="1" si="43">+L77+L68</f>
        <v>0</v>
      </c>
      <c r="M88" s="935">
        <f t="shared" si="43"/>
        <v>0</v>
      </c>
      <c r="N88" s="935">
        <f t="shared" si="43"/>
        <v>0</v>
      </c>
    </row>
    <row r="89" spans="2:14">
      <c r="B89" s="936"/>
      <c r="C89" s="937"/>
      <c r="D89" s="937"/>
      <c r="E89" s="937"/>
      <c r="F89" s="937"/>
      <c r="G89" s="937"/>
      <c r="H89" s="938"/>
      <c r="I89" s="937"/>
      <c r="J89" s="937"/>
      <c r="K89" s="937"/>
      <c r="L89" s="937"/>
      <c r="M89" s="937"/>
      <c r="N89" s="937"/>
    </row>
    <row r="90" spans="2:14" ht="13.15">
      <c r="B90" s="922" t="s">
        <v>330</v>
      </c>
      <c r="C90" s="939"/>
      <c r="D90" s="939"/>
      <c r="E90" s="940"/>
      <c r="F90" s="940"/>
      <c r="G90" s="939"/>
      <c r="H90" s="941"/>
      <c r="I90" s="939"/>
      <c r="J90" s="939"/>
      <c r="K90" s="939"/>
      <c r="L90" s="939"/>
      <c r="M90" s="939"/>
      <c r="N90" s="939"/>
    </row>
    <row r="91" spans="2:14" ht="13.15">
      <c r="B91" s="926" t="s">
        <v>310</v>
      </c>
      <c r="C91" s="927"/>
      <c r="D91" s="927"/>
      <c r="E91" s="940"/>
      <c r="F91" s="940"/>
      <c r="G91" s="927"/>
      <c r="H91" s="929"/>
      <c r="I91" s="927">
        <f>SUM(I92:I99)</f>
        <v>31191920</v>
      </c>
      <c r="J91" s="927">
        <f>SUM(J92:J100)</f>
        <v>52011537</v>
      </c>
      <c r="K91" s="927">
        <f t="shared" ref="K91:N91" si="44">SUM(K92:K99)</f>
        <v>42767251</v>
      </c>
      <c r="L91" s="927">
        <f t="shared" si="44"/>
        <v>0</v>
      </c>
      <c r="M91" s="927">
        <f t="shared" si="44"/>
        <v>0</v>
      </c>
      <c r="N91" s="927">
        <f t="shared" si="44"/>
        <v>0</v>
      </c>
    </row>
    <row r="92" spans="2:14" ht="15">
      <c r="B92" s="930" t="s">
        <v>525</v>
      </c>
      <c r="C92" s="925"/>
      <c r="D92" s="925"/>
      <c r="E92" s="925"/>
      <c r="F92" s="925"/>
      <c r="G92" s="925"/>
      <c r="H92" s="931"/>
      <c r="I92" s="925">
        <v>1667377</v>
      </c>
      <c r="J92" s="925">
        <v>11291535</v>
      </c>
      <c r="K92">
        <v>5025688</v>
      </c>
      <c r="L92" s="925"/>
      <c r="M92" s="925"/>
      <c r="N92" s="925"/>
    </row>
    <row r="93" spans="2:14">
      <c r="B93" s="930" t="s">
        <v>405</v>
      </c>
      <c r="C93" s="925"/>
      <c r="D93" s="925"/>
      <c r="E93" s="925"/>
      <c r="F93" s="925"/>
      <c r="G93" s="925"/>
      <c r="H93" s="931"/>
      <c r="I93" s="925">
        <v>11551990</v>
      </c>
      <c r="J93" s="925">
        <v>22082563</v>
      </c>
      <c r="K93" s="925">
        <v>20992144</v>
      </c>
      <c r="L93" s="925"/>
      <c r="M93" s="925"/>
      <c r="N93" s="925"/>
    </row>
    <row r="94" spans="2:14">
      <c r="B94" s="930" t="s">
        <v>528</v>
      </c>
      <c r="C94" s="925"/>
      <c r="D94" s="925"/>
      <c r="E94" s="925"/>
      <c r="F94" s="925"/>
      <c r="G94" s="925"/>
      <c r="H94" s="931"/>
      <c r="I94" s="925">
        <v>111482</v>
      </c>
      <c r="J94" s="925">
        <v>117381</v>
      </c>
      <c r="K94" s="925">
        <v>49976</v>
      </c>
      <c r="L94" s="925"/>
      <c r="M94" s="925"/>
      <c r="N94" s="925"/>
    </row>
    <row r="95" spans="2:14">
      <c r="B95" s="930" t="s">
        <v>407</v>
      </c>
      <c r="C95" s="925"/>
      <c r="D95" s="925"/>
      <c r="E95" s="925"/>
      <c r="F95" s="925"/>
      <c r="G95" s="925"/>
      <c r="H95" s="931"/>
      <c r="I95" s="925"/>
      <c r="J95" s="925">
        <v>5063</v>
      </c>
      <c r="K95" s="925">
        <v>5384</v>
      </c>
      <c r="L95" s="925"/>
      <c r="M95" s="925"/>
      <c r="N95" s="925"/>
    </row>
    <row r="96" spans="2:14">
      <c r="B96" s="930" t="s">
        <v>527</v>
      </c>
      <c r="C96" s="925"/>
      <c r="D96" s="925"/>
      <c r="E96" s="925"/>
      <c r="F96" s="925"/>
      <c r="G96" s="925"/>
      <c r="H96" s="931"/>
      <c r="I96" s="925">
        <v>8896845</v>
      </c>
      <c r="J96" s="925">
        <v>6920906</v>
      </c>
      <c r="K96" s="925">
        <v>4249008</v>
      </c>
      <c r="L96" s="925"/>
      <c r="M96" s="925"/>
      <c r="N96" s="925"/>
    </row>
    <row r="97" spans="2:14">
      <c r="B97" s="930" t="s">
        <v>495</v>
      </c>
      <c r="C97" s="925"/>
      <c r="D97" s="925"/>
      <c r="E97" s="925"/>
      <c r="F97" s="925"/>
      <c r="G97" s="925"/>
      <c r="H97" s="931"/>
      <c r="I97" s="925">
        <v>5813531</v>
      </c>
      <c r="J97" s="925">
        <v>7314014</v>
      </c>
      <c r="K97" s="925">
        <v>8422591</v>
      </c>
      <c r="L97" s="925"/>
      <c r="M97" s="925"/>
      <c r="N97" s="925"/>
    </row>
    <row r="98" spans="2:14">
      <c r="B98" s="930" t="s">
        <v>404</v>
      </c>
      <c r="C98" s="925"/>
      <c r="D98" s="925"/>
      <c r="E98" s="925"/>
      <c r="F98" s="925"/>
      <c r="G98" s="925"/>
      <c r="H98" s="931"/>
      <c r="I98" s="925">
        <v>2246980</v>
      </c>
      <c r="J98" s="925">
        <v>2330033</v>
      </c>
      <c r="K98" s="925">
        <v>3116978</v>
      </c>
      <c r="L98" s="925"/>
      <c r="M98" s="925"/>
      <c r="N98" s="925"/>
    </row>
    <row r="99" spans="2:14">
      <c r="B99" s="930" t="s">
        <v>679</v>
      </c>
      <c r="C99" s="925"/>
      <c r="D99" s="925"/>
      <c r="E99" s="925"/>
      <c r="F99" s="925"/>
      <c r="G99" s="925"/>
      <c r="H99" s="931"/>
      <c r="I99" s="925">
        <v>903715</v>
      </c>
      <c r="J99" s="925">
        <v>1084393</v>
      </c>
      <c r="K99" s="925">
        <v>905482</v>
      </c>
      <c r="L99" s="925"/>
      <c r="M99" s="925"/>
      <c r="N99" s="925"/>
    </row>
    <row r="100" spans="2:14">
      <c r="B100" s="930" t="s">
        <v>410</v>
      </c>
      <c r="C100" s="925"/>
      <c r="D100" s="925"/>
      <c r="E100" s="925"/>
      <c r="F100" s="925"/>
      <c r="G100" s="925"/>
      <c r="H100" s="925"/>
      <c r="I100" s="925"/>
      <c r="J100" s="925">
        <v>865649</v>
      </c>
      <c r="K100" s="925">
        <f t="shared" ref="K100:N100" si="45">+K91-K92-K98-K99-K97-K96-K95-K94-K93</f>
        <v>0</v>
      </c>
      <c r="L100" s="925">
        <f t="shared" si="45"/>
        <v>0</v>
      </c>
      <c r="M100" s="925">
        <f t="shared" si="45"/>
        <v>0</v>
      </c>
      <c r="N100" s="925">
        <f t="shared" si="45"/>
        <v>0</v>
      </c>
    </row>
    <row r="101" spans="2:14" ht="13.15">
      <c r="B101" s="926" t="s">
        <v>319</v>
      </c>
      <c r="C101" s="927"/>
      <c r="D101" s="927"/>
      <c r="E101" s="927"/>
      <c r="F101" s="927"/>
      <c r="G101" s="927"/>
      <c r="H101" s="927"/>
      <c r="I101" s="927">
        <f>SUM(I102:I109)</f>
        <v>61958744</v>
      </c>
      <c r="J101" s="927">
        <f>SUM(J102:J109)</f>
        <v>53285324</v>
      </c>
      <c r="K101" s="927">
        <f t="shared" ref="K101:M101" si="46">SUM(K102:K109)</f>
        <v>50701992</v>
      </c>
      <c r="L101" s="927">
        <f t="shared" ca="1" si="46"/>
        <v>61958744</v>
      </c>
      <c r="M101" s="927">
        <f t="shared" ca="1" si="46"/>
        <v>61958744</v>
      </c>
      <c r="N101" s="927">
        <f t="shared" ref="N101" ca="1" si="47">SUM(N102:N109)</f>
        <v>61958744</v>
      </c>
    </row>
    <row r="102" spans="2:14">
      <c r="B102" s="930" t="s">
        <v>525</v>
      </c>
      <c r="C102" s="925"/>
      <c r="D102" s="925"/>
      <c r="E102" s="925"/>
      <c r="F102" s="925"/>
      <c r="G102" s="925"/>
      <c r="H102" s="925"/>
      <c r="I102" s="925">
        <v>2044569</v>
      </c>
      <c r="J102" s="925">
        <v>2708629</v>
      </c>
      <c r="K102" s="925">
        <v>2601045</v>
      </c>
      <c r="L102" s="925"/>
      <c r="M102" s="925"/>
      <c r="N102" s="925"/>
    </row>
    <row r="103" spans="2:14">
      <c r="B103" s="930" t="s">
        <v>405</v>
      </c>
      <c r="C103" s="925"/>
      <c r="D103" s="925"/>
      <c r="E103" s="925"/>
      <c r="F103" s="925"/>
      <c r="G103" s="925"/>
      <c r="H103" s="931"/>
      <c r="I103" s="925"/>
      <c r="J103" s="925">
        <v>140223</v>
      </c>
      <c r="K103" s="925">
        <v>136429</v>
      </c>
      <c r="L103" s="925"/>
      <c r="M103" s="925"/>
      <c r="N103" s="925"/>
    </row>
    <row r="104" spans="2:14">
      <c r="B104" s="930" t="s">
        <v>528</v>
      </c>
      <c r="C104" s="925"/>
      <c r="D104" s="925"/>
      <c r="E104" s="925"/>
      <c r="F104" s="925"/>
      <c r="G104" s="925"/>
      <c r="H104" s="931"/>
      <c r="I104" s="925"/>
      <c r="J104" s="925"/>
      <c r="K104" s="925"/>
      <c r="L104" s="925"/>
      <c r="M104" s="925"/>
      <c r="N104" s="925"/>
    </row>
    <row r="105" spans="2:14">
      <c r="B105" s="930" t="s">
        <v>407</v>
      </c>
      <c r="C105" s="925"/>
      <c r="D105" s="925"/>
      <c r="E105" s="925"/>
      <c r="F105" s="925"/>
      <c r="G105" s="925"/>
      <c r="H105" s="931"/>
      <c r="I105" s="925">
        <v>266195</v>
      </c>
      <c r="J105" s="925">
        <v>379826</v>
      </c>
      <c r="K105" s="925">
        <v>424451</v>
      </c>
      <c r="L105" s="925"/>
      <c r="M105" s="925"/>
      <c r="N105" s="925"/>
    </row>
    <row r="106" spans="2:14">
      <c r="B106" s="930" t="s">
        <v>339</v>
      </c>
      <c r="C106" s="925"/>
      <c r="D106" s="925"/>
      <c r="E106" s="925"/>
      <c r="F106" s="925"/>
      <c r="G106" s="925"/>
      <c r="H106" s="931"/>
      <c r="I106" s="925">
        <v>43828238</v>
      </c>
      <c r="J106" s="925">
        <v>35004526</v>
      </c>
      <c r="K106" s="925">
        <v>32390520</v>
      </c>
      <c r="L106" s="925"/>
      <c r="M106" s="925"/>
      <c r="N106" s="925"/>
    </row>
    <row r="107" spans="2:14">
      <c r="B107" s="930" t="s">
        <v>529</v>
      </c>
      <c r="C107" s="925"/>
      <c r="D107" s="925"/>
      <c r="E107" s="925"/>
      <c r="F107" s="925"/>
      <c r="G107" s="925"/>
      <c r="H107" s="931"/>
      <c r="I107" s="925">
        <v>4157630</v>
      </c>
      <c r="J107" s="925">
        <v>4821667</v>
      </c>
      <c r="K107" s="925">
        <v>6029337</v>
      </c>
      <c r="L107" s="925"/>
      <c r="M107" s="925"/>
      <c r="N107" s="925"/>
    </row>
    <row r="108" spans="2:14">
      <c r="B108" s="930" t="s">
        <v>530</v>
      </c>
      <c r="C108" s="925"/>
      <c r="D108" s="925"/>
      <c r="E108" s="925"/>
      <c r="F108" s="925"/>
      <c r="G108" s="925"/>
      <c r="H108" s="931"/>
      <c r="I108" s="925">
        <v>7576180</v>
      </c>
      <c r="J108" s="925">
        <v>6318292</v>
      </c>
      <c r="K108" s="925">
        <v>6403750</v>
      </c>
      <c r="L108" s="925"/>
      <c r="M108" s="925"/>
      <c r="N108" s="925"/>
    </row>
    <row r="109" spans="2:14">
      <c r="B109" s="930" t="s">
        <v>679</v>
      </c>
      <c r="C109" s="925"/>
      <c r="D109" s="925"/>
      <c r="E109" s="925"/>
      <c r="F109" s="925"/>
      <c r="G109" s="925"/>
      <c r="H109" s="925"/>
      <c r="I109" s="925">
        <v>4085932</v>
      </c>
      <c r="J109" s="925">
        <v>3912161</v>
      </c>
      <c r="K109" s="925">
        <v>2716460</v>
      </c>
      <c r="L109" s="925">
        <f t="shared" ref="K109:N109" ca="1" si="48">+L101-L102-L103-L104-L105-L106-L107-L108</f>
        <v>0</v>
      </c>
      <c r="M109" s="925">
        <f t="shared" ca="1" si="48"/>
        <v>0</v>
      </c>
      <c r="N109" s="925">
        <f t="shared" ca="1" si="48"/>
        <v>0</v>
      </c>
    </row>
    <row r="110" spans="2:14" s="1307" customFormat="1" ht="13.15">
      <c r="B110" s="933" t="s">
        <v>342</v>
      </c>
      <c r="C110" s="934"/>
      <c r="D110" s="934"/>
      <c r="E110" s="934"/>
      <c r="F110" s="934"/>
      <c r="G110" s="934"/>
      <c r="H110" s="935"/>
      <c r="I110" s="1308">
        <f>SUM(I101+I91)</f>
        <v>93150664</v>
      </c>
      <c r="J110" s="1308">
        <f t="shared" ref="J110:N110" si="49">SUM(J101+J91)</f>
        <v>105296861</v>
      </c>
      <c r="K110" s="1308">
        <f t="shared" si="49"/>
        <v>93469243</v>
      </c>
      <c r="L110" s="1308">
        <f t="shared" ca="1" si="49"/>
        <v>93150664</v>
      </c>
      <c r="M110" s="1308">
        <f t="shared" ca="1" si="49"/>
        <v>93150664</v>
      </c>
      <c r="N110" s="1308">
        <f t="shared" ca="1" si="49"/>
        <v>93150664</v>
      </c>
    </row>
    <row r="111" spans="2:14">
      <c r="B111" s="936"/>
      <c r="C111" s="936"/>
      <c r="D111" s="936"/>
      <c r="E111" s="936"/>
      <c r="F111" s="936"/>
      <c r="G111" s="936"/>
      <c r="H111" s="936"/>
      <c r="J111" s="936"/>
      <c r="K111" s="936"/>
      <c r="L111" s="936"/>
      <c r="M111" s="936"/>
      <c r="N111" s="936"/>
    </row>
    <row r="112" spans="2:14" ht="13.15">
      <c r="B112" s="922" t="s">
        <v>343</v>
      </c>
      <c r="C112" s="939"/>
      <c r="D112" s="939"/>
      <c r="E112" s="939"/>
      <c r="F112" s="939"/>
      <c r="G112" s="939"/>
      <c r="H112" s="941"/>
      <c r="I112" s="939"/>
      <c r="J112" s="939"/>
      <c r="K112" s="939"/>
      <c r="L112" s="939"/>
      <c r="M112" s="939"/>
      <c r="N112" s="939"/>
    </row>
    <row r="113" spans="2:14">
      <c r="B113" s="930" t="s">
        <v>532</v>
      </c>
      <c r="C113" s="931"/>
      <c r="D113" s="931"/>
      <c r="E113" s="931"/>
      <c r="F113" s="931"/>
      <c r="G113" s="931"/>
      <c r="H113" s="931"/>
      <c r="I113" s="931">
        <v>273309821</v>
      </c>
      <c r="J113" s="931">
        <v>297283635</v>
      </c>
      <c r="K113" s="931">
        <v>297283635</v>
      </c>
      <c r="L113" s="931"/>
      <c r="M113" s="931"/>
      <c r="N113" s="931"/>
    </row>
    <row r="114" spans="2:14">
      <c r="B114" s="930" t="s">
        <v>533</v>
      </c>
      <c r="C114" s="925"/>
      <c r="D114" s="925"/>
      <c r="E114" s="925"/>
      <c r="F114" s="925"/>
      <c r="G114" s="925"/>
      <c r="H114" s="931"/>
      <c r="I114" s="925">
        <v>15484470</v>
      </c>
      <c r="J114" s="925">
        <v>26415404</v>
      </c>
      <c r="K114" s="925">
        <v>42021335</v>
      </c>
      <c r="L114" s="925"/>
      <c r="M114" s="925"/>
      <c r="N114" s="925"/>
    </row>
    <row r="115" spans="2:14">
      <c r="B115" s="930" t="s">
        <v>345</v>
      </c>
      <c r="C115" s="925"/>
      <c r="D115" s="925"/>
      <c r="E115" s="925"/>
      <c r="F115" s="925"/>
      <c r="G115" s="925"/>
      <c r="H115" s="931"/>
      <c r="I115" s="925">
        <v>137074182</v>
      </c>
      <c r="J115" s="925">
        <v>124421393</v>
      </c>
      <c r="K115" s="925">
        <v>124075340</v>
      </c>
      <c r="L115" s="925"/>
      <c r="M115" s="925"/>
      <c r="N115" s="925"/>
    </row>
    <row r="116" spans="2:14">
      <c r="B116" s="930" t="s">
        <v>419</v>
      </c>
      <c r="C116" s="925"/>
      <c r="D116" s="925"/>
      <c r="E116" s="925"/>
      <c r="F116" s="925"/>
      <c r="G116" s="925"/>
      <c r="H116" s="931"/>
      <c r="I116" s="925">
        <v>56853783</v>
      </c>
      <c r="J116" s="925">
        <v>42229278</v>
      </c>
      <c r="K116" s="925">
        <v>42892327</v>
      </c>
      <c r="L116" s="925"/>
      <c r="M116" s="925"/>
      <c r="N116" s="925"/>
    </row>
    <row r="117" spans="2:14" ht="13.15">
      <c r="B117" s="933" t="s">
        <v>420</v>
      </c>
      <c r="C117" s="934"/>
      <c r="D117" s="934"/>
      <c r="E117" s="934"/>
      <c r="F117" s="934"/>
      <c r="G117" s="934"/>
      <c r="H117" s="934"/>
      <c r="I117" s="934">
        <v>425868473</v>
      </c>
      <c r="J117" s="934">
        <v>448120432</v>
      </c>
      <c r="K117" s="934">
        <v>469156446</v>
      </c>
      <c r="L117" s="934"/>
      <c r="M117" s="934"/>
      <c r="N117" s="934"/>
    </row>
    <row r="119" spans="2:14" ht="13.15">
      <c r="B119" s="921" t="s">
        <v>348</v>
      </c>
    </row>
    <row r="120" spans="2:14" ht="13.15">
      <c r="B120" s="942" t="s">
        <v>308</v>
      </c>
      <c r="C120" s="943"/>
      <c r="D120" s="943"/>
      <c r="E120" s="943"/>
      <c r="F120" s="943"/>
      <c r="G120" s="943"/>
      <c r="H120" s="943"/>
      <c r="I120" s="943"/>
      <c r="J120" s="943"/>
      <c r="K120" s="943">
        <v>2025</v>
      </c>
      <c r="L120" s="943">
        <v>2026</v>
      </c>
      <c r="M120" s="943">
        <v>2027</v>
      </c>
      <c r="N120" s="943">
        <v>2028</v>
      </c>
    </row>
    <row r="121" spans="2:14" ht="13.15">
      <c r="B121" s="944" t="s">
        <v>349</v>
      </c>
      <c r="C121" s="945"/>
      <c r="D121" s="945"/>
      <c r="E121" s="945"/>
      <c r="F121" s="945"/>
      <c r="G121" s="945"/>
      <c r="H121" s="945"/>
      <c r="I121" s="945">
        <v>20290560</v>
      </c>
      <c r="J121" s="945">
        <v>139199071</v>
      </c>
      <c r="K121" s="945">
        <v>148677948</v>
      </c>
      <c r="L121" s="945"/>
      <c r="M121" s="945"/>
      <c r="N121" s="945"/>
    </row>
    <row r="122" spans="2:14">
      <c r="B122" s="946" t="s">
        <v>534</v>
      </c>
      <c r="C122" s="925"/>
      <c r="D122" s="925"/>
      <c r="E122" s="925"/>
      <c r="F122" s="925"/>
      <c r="G122" s="925"/>
      <c r="H122" s="925"/>
      <c r="I122" s="925"/>
      <c r="J122" s="925"/>
      <c r="K122" s="925"/>
      <c r="L122" s="925"/>
      <c r="M122" s="925"/>
      <c r="N122" s="925"/>
    </row>
    <row r="123" spans="2:14" ht="13.15">
      <c r="B123" s="947" t="s">
        <v>422</v>
      </c>
      <c r="C123" s="927"/>
      <c r="D123" s="927"/>
      <c r="E123" s="927"/>
      <c r="F123" s="927"/>
      <c r="G123" s="927"/>
      <c r="H123" s="927"/>
      <c r="I123" s="927">
        <f>SUM(I121:I122)</f>
        <v>20290560</v>
      </c>
      <c r="J123" s="927">
        <f t="shared" ref="J123:N123" si="50">SUM(J121:J122)</f>
        <v>139199071</v>
      </c>
      <c r="K123" s="927">
        <f t="shared" si="50"/>
        <v>148677948</v>
      </c>
      <c r="L123" s="927">
        <f t="shared" si="50"/>
        <v>0</v>
      </c>
      <c r="M123" s="927">
        <f t="shared" si="50"/>
        <v>0</v>
      </c>
      <c r="N123" s="927">
        <f t="shared" si="50"/>
        <v>0</v>
      </c>
    </row>
    <row r="124" spans="2:14">
      <c r="B124" s="946" t="s">
        <v>535</v>
      </c>
      <c r="C124" s="925"/>
      <c r="D124" s="925"/>
      <c r="E124" s="925"/>
      <c r="F124" s="925"/>
      <c r="G124" s="925"/>
      <c r="H124" s="925"/>
      <c r="I124" s="925">
        <v>453175</v>
      </c>
      <c r="J124" s="925">
        <v>3373112</v>
      </c>
      <c r="K124" s="925">
        <v>977761</v>
      </c>
      <c r="L124" s="925"/>
      <c r="M124" s="925"/>
      <c r="N124" s="925"/>
    </row>
    <row r="125" spans="2:14">
      <c r="B125" s="946" t="s">
        <v>536</v>
      </c>
      <c r="C125" s="925"/>
      <c r="D125" s="925"/>
      <c r="E125" s="925"/>
      <c r="F125" s="925"/>
      <c r="G125" s="925"/>
      <c r="H125" s="925"/>
      <c r="I125" s="925"/>
      <c r="J125" s="925"/>
      <c r="K125" s="925"/>
      <c r="L125" s="925"/>
      <c r="M125" s="925"/>
      <c r="N125" s="925"/>
    </row>
    <row r="126" spans="2:14">
      <c r="B126" s="946" t="s">
        <v>537</v>
      </c>
      <c r="C126" s="925"/>
      <c r="D126" s="925"/>
      <c r="E126" s="925"/>
      <c r="F126" s="925"/>
      <c r="G126" s="925"/>
      <c r="H126" s="925"/>
      <c r="I126" s="925"/>
      <c r="J126" s="925"/>
      <c r="K126" s="925"/>
      <c r="L126" s="925"/>
      <c r="M126" s="925"/>
      <c r="N126" s="925"/>
    </row>
    <row r="127" spans="2:14">
      <c r="B127" s="946" t="s">
        <v>510</v>
      </c>
      <c r="C127" s="925"/>
      <c r="D127" s="925"/>
      <c r="E127" s="925"/>
      <c r="F127" s="925"/>
      <c r="G127" s="925"/>
      <c r="H127" s="925"/>
      <c r="I127" s="925"/>
      <c r="J127" s="925"/>
      <c r="K127" s="925"/>
      <c r="L127" s="925"/>
      <c r="M127" s="925"/>
      <c r="N127" s="925"/>
    </row>
    <row r="128" spans="2:14">
      <c r="B128" s="946" t="s">
        <v>427</v>
      </c>
      <c r="C128" s="925"/>
      <c r="D128" s="925"/>
      <c r="E128" s="925"/>
      <c r="F128" s="925"/>
      <c r="G128" s="925"/>
      <c r="H128" s="925"/>
      <c r="I128" s="925">
        <v>-400973</v>
      </c>
      <c r="J128" s="925">
        <v>-2225964</v>
      </c>
      <c r="K128" s="925">
        <v>-915991</v>
      </c>
      <c r="L128" s="925"/>
      <c r="M128" s="925"/>
      <c r="N128" s="925"/>
    </row>
    <row r="129" spans="2:14" ht="13.15">
      <c r="B129" s="947" t="s">
        <v>428</v>
      </c>
      <c r="C129" s="927"/>
      <c r="D129" s="927"/>
      <c r="E129" s="927"/>
      <c r="F129" s="927"/>
      <c r="G129" s="927"/>
      <c r="H129" s="927"/>
      <c r="I129" s="927">
        <f>SUM(I121:I128)</f>
        <v>40633322</v>
      </c>
      <c r="J129" s="927">
        <f>SUM(J121:J128)</f>
        <v>279545290</v>
      </c>
      <c r="K129" s="927">
        <f t="shared" ref="K129:N129" si="51">SUM(K121:K128)</f>
        <v>297417666</v>
      </c>
      <c r="L129" s="927">
        <f t="shared" si="51"/>
        <v>0</v>
      </c>
      <c r="M129" s="927">
        <f t="shared" si="51"/>
        <v>0</v>
      </c>
      <c r="N129" s="927">
        <f t="shared" si="51"/>
        <v>0</v>
      </c>
    </row>
    <row r="130" spans="2:14">
      <c r="B130" s="946" t="s">
        <v>429</v>
      </c>
      <c r="C130" s="925"/>
      <c r="D130" s="925"/>
      <c r="E130" s="925"/>
      <c r="F130" s="925"/>
      <c r="G130" s="948"/>
      <c r="H130" s="948"/>
      <c r="I130" s="948">
        <v>1568729</v>
      </c>
      <c r="J130" s="948">
        <v>6449876</v>
      </c>
      <c r="K130" s="948">
        <v>4568376</v>
      </c>
      <c r="L130" s="948"/>
      <c r="M130" s="948"/>
      <c r="N130" s="948"/>
    </row>
    <row r="131" spans="2:14">
      <c r="B131" s="946" t="s">
        <v>430</v>
      </c>
      <c r="C131" s="925"/>
      <c r="D131" s="925"/>
      <c r="E131" s="925"/>
      <c r="F131" s="925"/>
      <c r="G131" s="948"/>
      <c r="H131" s="948"/>
      <c r="I131" s="948">
        <v>-30556</v>
      </c>
      <c r="J131" s="948">
        <v>-843453</v>
      </c>
      <c r="K131" s="948">
        <v>-971969</v>
      </c>
      <c r="L131" s="948"/>
      <c r="M131" s="948"/>
      <c r="N131" s="948"/>
    </row>
    <row r="132" spans="2:14">
      <c r="B132" s="946" t="s">
        <v>431</v>
      </c>
      <c r="C132" s="925"/>
      <c r="D132" s="925"/>
      <c r="E132" s="925"/>
      <c r="F132" s="925"/>
      <c r="G132" s="948"/>
      <c r="H132" s="948"/>
      <c r="I132" s="948">
        <v>514022</v>
      </c>
      <c r="J132" s="948">
        <v>5861995</v>
      </c>
      <c r="K132" s="948">
        <v>5874386</v>
      </c>
      <c r="L132" s="948"/>
      <c r="M132" s="948"/>
      <c r="N132" s="948"/>
    </row>
    <row r="133" spans="2:14">
      <c r="B133" s="946" t="s">
        <v>432</v>
      </c>
      <c r="C133" s="925"/>
      <c r="D133" s="925"/>
      <c r="E133" s="925"/>
      <c r="F133" s="925"/>
      <c r="G133" s="948"/>
      <c r="H133" s="948"/>
      <c r="I133" s="948">
        <v>-169364</v>
      </c>
      <c r="J133" s="948">
        <v>-1509788</v>
      </c>
      <c r="K133" s="948">
        <v>-1417907</v>
      </c>
      <c r="L133" s="948"/>
      <c r="M133" s="948"/>
      <c r="N133" s="948"/>
    </row>
    <row r="134" spans="2:14">
      <c r="B134" s="946" t="s">
        <v>433</v>
      </c>
      <c r="C134" s="925"/>
      <c r="D134" s="925"/>
      <c r="E134" s="925"/>
      <c r="F134" s="925"/>
      <c r="G134" s="948"/>
      <c r="H134" s="948"/>
      <c r="I134" s="948">
        <v>24588</v>
      </c>
      <c r="J134" s="948">
        <v>39685</v>
      </c>
      <c r="K134" s="948">
        <v>-6980</v>
      </c>
      <c r="L134" s="948"/>
      <c r="M134" s="948"/>
      <c r="N134" s="948"/>
    </row>
    <row r="135" spans="2:14" ht="13.15">
      <c r="B135" s="947" t="s">
        <v>362</v>
      </c>
      <c r="C135" s="927"/>
      <c r="D135" s="927"/>
      <c r="E135" s="927"/>
      <c r="F135" s="927"/>
      <c r="G135" s="927"/>
      <c r="H135" s="927"/>
      <c r="I135" s="927">
        <v>4120888</v>
      </c>
      <c r="J135" s="927">
        <v>56054218</v>
      </c>
      <c r="K135" s="927">
        <v>55614772</v>
      </c>
      <c r="L135" s="927"/>
      <c r="M135" s="927"/>
      <c r="N135" s="927"/>
    </row>
    <row r="136" spans="2:14">
      <c r="B136" s="946" t="s">
        <v>363</v>
      </c>
      <c r="C136" s="925"/>
      <c r="D136" s="925"/>
      <c r="E136" s="925"/>
      <c r="F136" s="925"/>
      <c r="G136" s="949"/>
      <c r="H136" s="949"/>
      <c r="I136" s="949">
        <v>-1084050</v>
      </c>
      <c r="J136" s="949">
        <v>-20231854</v>
      </c>
      <c r="K136" s="949">
        <v>-20720199</v>
      </c>
      <c r="L136" s="949"/>
      <c r="M136" s="949"/>
      <c r="N136" s="949"/>
    </row>
    <row r="137" spans="2:14" ht="13.15">
      <c r="B137" s="950" t="s">
        <v>365</v>
      </c>
      <c r="C137" s="951"/>
      <c r="D137" s="951"/>
      <c r="E137" s="951"/>
      <c r="F137" s="951"/>
      <c r="G137" s="951"/>
      <c r="H137" s="951"/>
      <c r="I137" s="951">
        <v>3036838</v>
      </c>
      <c r="J137" s="951">
        <v>35822364</v>
      </c>
      <c r="K137" s="951">
        <v>34894573</v>
      </c>
      <c r="L137" s="951"/>
      <c r="M137" s="951"/>
      <c r="N137" s="951"/>
    </row>
    <row r="138" spans="2:14" ht="51">
      <c r="B138" s="952" t="s">
        <v>435</v>
      </c>
      <c r="C138" s="925"/>
      <c r="D138" s="925"/>
      <c r="E138" s="925"/>
      <c r="F138" s="925"/>
      <c r="G138" s="949"/>
      <c r="H138" s="949"/>
      <c r="I138" s="949">
        <v>476211</v>
      </c>
      <c r="J138" s="949">
        <v>3679362</v>
      </c>
      <c r="K138" s="949">
        <v>3389270</v>
      </c>
      <c r="L138" s="949"/>
      <c r="M138" s="949"/>
      <c r="N138" s="949"/>
    </row>
    <row r="139" spans="2:14" ht="13.15">
      <c r="B139" s="950" t="s">
        <v>538</v>
      </c>
      <c r="C139" s="953"/>
      <c r="D139" s="953"/>
      <c r="E139" s="953"/>
      <c r="F139" s="954"/>
      <c r="G139" s="954"/>
      <c r="H139" s="954"/>
      <c r="I139" s="954">
        <v>30.58</v>
      </c>
      <c r="J139" s="954">
        <v>363.71</v>
      </c>
      <c r="K139" s="954">
        <v>356.49</v>
      </c>
      <c r="L139" s="954"/>
      <c r="M139" s="954"/>
      <c r="N139" s="954"/>
    </row>
    <row r="141" spans="2:14" ht="13.15">
      <c r="B141" s="921" t="s">
        <v>367</v>
      </c>
    </row>
    <row r="142" spans="2:14" ht="13.15">
      <c r="B142" s="942" t="s">
        <v>308</v>
      </c>
      <c r="C142" s="943"/>
      <c r="D142" s="943"/>
      <c r="E142" s="943"/>
      <c r="F142" s="943"/>
      <c r="G142" s="943"/>
      <c r="H142" s="943"/>
      <c r="I142" s="943"/>
      <c r="J142" s="943"/>
      <c r="K142" s="943">
        <v>2025</v>
      </c>
      <c r="L142" s="943">
        <v>2026</v>
      </c>
      <c r="M142" s="943">
        <v>2027</v>
      </c>
      <c r="N142" s="943">
        <v>2028</v>
      </c>
    </row>
    <row r="143" spans="2:14" ht="13.15">
      <c r="B143" s="944" t="s">
        <v>368</v>
      </c>
      <c r="C143" s="945"/>
      <c r="D143" s="945"/>
      <c r="E143" s="945"/>
      <c r="F143" s="945"/>
      <c r="G143" s="945"/>
      <c r="H143" s="945"/>
      <c r="I143" s="945">
        <v>433186</v>
      </c>
      <c r="J143" s="945">
        <v>40644217</v>
      </c>
      <c r="K143" s="945">
        <v>36396162</v>
      </c>
      <c r="L143" s="945"/>
      <c r="M143" s="945"/>
      <c r="N143" s="945"/>
    </row>
    <row r="144" spans="2:14" ht="13.15">
      <c r="B144" s="947" t="s">
        <v>369</v>
      </c>
      <c r="C144" s="949"/>
      <c r="D144" s="955"/>
      <c r="E144" s="955"/>
      <c r="F144" s="925"/>
      <c r="G144" s="955"/>
      <c r="H144" s="925"/>
      <c r="I144" s="925">
        <v>3449722</v>
      </c>
      <c r="J144" s="925">
        <v>-35853209</v>
      </c>
      <c r="K144" s="925">
        <v>-3467639</v>
      </c>
      <c r="L144" s="925"/>
      <c r="M144" s="925"/>
      <c r="N144" s="925"/>
    </row>
    <row r="145" spans="2:14">
      <c r="B145" s="946" t="s">
        <v>370</v>
      </c>
      <c r="C145" s="955"/>
      <c r="D145" s="955"/>
      <c r="E145" s="955"/>
      <c r="F145" s="955"/>
      <c r="G145" s="955"/>
      <c r="H145" s="955"/>
      <c r="I145" s="955">
        <v>-72791</v>
      </c>
      <c r="J145" s="955">
        <v>-7094003</v>
      </c>
      <c r="K145" s="955">
        <v>-2970871</v>
      </c>
      <c r="L145" s="955"/>
      <c r="M145" s="955"/>
      <c r="N145" s="955"/>
    </row>
    <row r="146" spans="2:14">
      <c r="B146" s="947" t="s">
        <v>372</v>
      </c>
      <c r="C146" s="956"/>
      <c r="D146" s="956"/>
      <c r="E146" s="927"/>
      <c r="F146" s="956"/>
      <c r="G146" s="956"/>
      <c r="H146" s="956"/>
      <c r="I146" s="956">
        <v>-995407</v>
      </c>
      <c r="J146" s="956">
        <v>-7702628</v>
      </c>
      <c r="K146" s="956">
        <v>-27783286</v>
      </c>
      <c r="L146" s="956"/>
      <c r="M146" s="956"/>
      <c r="N146" s="956"/>
    </row>
    <row r="147" spans="2:14">
      <c r="B147" s="946" t="s">
        <v>373</v>
      </c>
      <c r="C147" s="955"/>
      <c r="D147" s="955"/>
      <c r="E147" s="925"/>
      <c r="F147" s="955"/>
      <c r="G147" s="955"/>
      <c r="H147" s="955"/>
      <c r="I147" s="955">
        <v>-210097</v>
      </c>
      <c r="J147" s="955">
        <v>-12337737</v>
      </c>
      <c r="K147" s="955">
        <v>-16072054</v>
      </c>
      <c r="L147" s="955"/>
      <c r="M147" s="955"/>
      <c r="N147" s="955"/>
    </row>
    <row r="148" spans="2:14">
      <c r="B148" s="946" t="s">
        <v>437</v>
      </c>
      <c r="C148" s="955"/>
      <c r="D148" s="955"/>
      <c r="E148" s="925"/>
      <c r="F148" s="955"/>
      <c r="G148" s="955"/>
      <c r="H148" s="955"/>
      <c r="I148" s="955">
        <v>-31091</v>
      </c>
      <c r="J148" s="955">
        <v>-15914</v>
      </c>
      <c r="K148" s="955">
        <v>0</v>
      </c>
      <c r="L148" s="955"/>
      <c r="M148" s="955"/>
      <c r="N148" s="955"/>
    </row>
    <row r="149" spans="2:14" ht="13.15">
      <c r="B149" s="947" t="s">
        <v>375</v>
      </c>
      <c r="C149" s="927"/>
      <c r="D149" s="927"/>
      <c r="E149" s="927"/>
      <c r="F149" s="927"/>
      <c r="G149" s="927"/>
      <c r="H149" s="927"/>
      <c r="I149" s="927">
        <v>36123516</v>
      </c>
      <c r="J149" s="927">
        <v>33589340</v>
      </c>
      <c r="K149" s="927">
        <v>38892857</v>
      </c>
      <c r="L149" s="927"/>
      <c r="M149" s="927"/>
      <c r="N149" s="927"/>
    </row>
    <row r="150" spans="2:14">
      <c r="B150" s="946"/>
      <c r="C150" s="925"/>
      <c r="D150" s="925"/>
      <c r="E150" s="925"/>
      <c r="F150" s="925"/>
      <c r="G150" s="925"/>
      <c r="H150" s="925"/>
      <c r="I150" s="925"/>
      <c r="J150" s="925"/>
      <c r="K150" s="925"/>
      <c r="L150" s="925"/>
      <c r="M150" s="925"/>
      <c r="N150" s="925"/>
    </row>
    <row r="151" spans="2:14" ht="13.15">
      <c r="B151" s="950" t="s">
        <v>376</v>
      </c>
      <c r="C151" s="948"/>
      <c r="D151" s="948"/>
      <c r="E151" s="948"/>
      <c r="F151" s="948"/>
      <c r="G151" s="948"/>
      <c r="H151" s="948"/>
      <c r="I151" s="948">
        <f>SUM(I143,I145,I148)</f>
        <v>329304</v>
      </c>
      <c r="J151" s="948">
        <f t="shared" ref="J151:N151" si="52">SUM(J143,J145,J148)</f>
        <v>33534300</v>
      </c>
      <c r="K151" s="948">
        <f t="shared" si="52"/>
        <v>33425291</v>
      </c>
      <c r="L151" s="948">
        <f t="shared" si="52"/>
        <v>0</v>
      </c>
      <c r="M151" s="948">
        <f t="shared" si="52"/>
        <v>0</v>
      </c>
      <c r="N151" s="948">
        <f t="shared" si="52"/>
        <v>0</v>
      </c>
    </row>
  </sheetData>
  <conditionalFormatting sqref="C67:H73 D74:H74 C75:H110">
    <cfRule type="cellIs" dxfId="68" priority="4" operator="lessThan">
      <formula>0</formula>
    </cfRule>
  </conditionalFormatting>
  <conditionalFormatting sqref="C121:N139">
    <cfRule type="cellIs" dxfId="67" priority="2" operator="lessThan">
      <formula>0</formula>
    </cfRule>
  </conditionalFormatting>
  <conditionalFormatting sqref="C143:N151">
    <cfRule type="cellIs" dxfId="66" priority="1" operator="lessThan">
      <formula>0</formula>
    </cfRule>
  </conditionalFormatting>
  <conditionalFormatting sqref="C112:N117 I93:N110 I92:J92 L92:N92 I67:N91">
    <cfRule type="cellIs" dxfId="65" priority="3" operator="lessThan">
      <formula>0</formula>
    </cfRule>
  </conditionalFormatting>
  <pageMargins left="0.7" right="0.7" top="0.75" bottom="0.75" header="0.3" footer="0.3"/>
  <pageSetup paperSize="9" orientation="portrait"/>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1EEB-611D-46A0-AEE7-838FB60B3188}">
  <dimension ref="B2:P145"/>
  <sheetViews>
    <sheetView zoomScale="70" zoomScaleNormal="70" workbookViewId="0">
      <pane xSplit="2" ySplit="6" topLeftCell="I136" activePane="bottomRight" state="frozen"/>
      <selection pane="bottomRight" activeCell="I136" sqref="I136"/>
      <selection pane="bottomLeft" activeCell="A7" sqref="A7"/>
      <selection pane="topRight" activeCell="C1" sqref="C1"/>
    </sheetView>
  </sheetViews>
  <sheetFormatPr defaultColWidth="10.7109375" defaultRowHeight="14.25"/>
  <cols>
    <col min="1" max="1" width="7.7109375" customWidth="1"/>
    <col min="2" max="2" width="50.42578125" customWidth="1"/>
    <col min="3" max="3" width="35.28515625" customWidth="1"/>
    <col min="4" max="4" width="37" bestFit="1" customWidth="1"/>
    <col min="5" max="8" width="35.28515625" customWidth="1"/>
    <col min="9" max="9" width="33.5703125" bestFit="1" customWidth="1"/>
    <col min="10" max="14" width="27.7109375" customWidth="1"/>
  </cols>
  <sheetData>
    <row r="2" spans="2:14" ht="21">
      <c r="B2" s="313">
        <f ca="1">TODAY()-1</f>
        <v>46105</v>
      </c>
      <c r="C2" s="314"/>
      <c r="D2" s="344" t="s">
        <v>265</v>
      </c>
      <c r="E2" s="345" t="s">
        <v>266</v>
      </c>
    </row>
    <row r="3" spans="2:14" ht="25.5">
      <c r="B3" s="315">
        <v>6510</v>
      </c>
      <c r="C3" s="316"/>
      <c r="D3" s="346">
        <f>AVERAGE(G46:I46)</f>
        <v>589</v>
      </c>
      <c r="E3" s="346">
        <f>AVERAGE(G45:I45)</f>
        <v>656</v>
      </c>
    </row>
    <row r="4" spans="2:14" ht="28.5">
      <c r="B4" s="319"/>
      <c r="C4" s="320"/>
      <c r="D4" s="328"/>
      <c r="E4" s="328"/>
    </row>
    <row r="6" spans="2:14" ht="33.4">
      <c r="B6" s="3" t="s">
        <v>202</v>
      </c>
      <c r="C6" s="3">
        <v>2017</v>
      </c>
      <c r="D6" s="3">
        <v>2018</v>
      </c>
      <c r="E6" s="3">
        <v>2019</v>
      </c>
      <c r="F6" s="3">
        <v>2020</v>
      </c>
      <c r="G6" s="3">
        <v>2021</v>
      </c>
      <c r="H6" s="3">
        <v>2022</v>
      </c>
      <c r="I6" s="3">
        <v>2023</v>
      </c>
      <c r="J6" s="3">
        <v>2024</v>
      </c>
      <c r="K6" s="3">
        <v>2025</v>
      </c>
      <c r="L6" s="3">
        <v>2026</v>
      </c>
      <c r="M6" s="3">
        <v>2027</v>
      </c>
      <c r="N6" s="3">
        <v>2028</v>
      </c>
    </row>
    <row r="7" spans="2:14" ht="25.5">
      <c r="B7" s="4" t="s">
        <v>267</v>
      </c>
      <c r="C7" s="5">
        <f>+C63</f>
        <v>44640083000</v>
      </c>
      <c r="D7" s="5">
        <f t="shared" ref="D7:H7" si="0">+D63</f>
        <v>51748620000</v>
      </c>
      <c r="E7" s="5">
        <f t="shared" si="0"/>
        <v>51058194000</v>
      </c>
      <c r="F7" s="5">
        <f t="shared" si="0"/>
        <v>50583038000</v>
      </c>
      <c r="G7" s="5">
        <f t="shared" si="0"/>
        <v>68435717000</v>
      </c>
      <c r="H7" s="5">
        <f t="shared" si="0"/>
        <v>79994205000</v>
      </c>
      <c r="I7" s="5">
        <f>+I63</f>
        <v>72173954000</v>
      </c>
      <c r="J7" s="5">
        <f t="shared" ref="J7:N7" si="1">+J63</f>
        <v>0</v>
      </c>
      <c r="K7" s="5">
        <f t="shared" si="1"/>
        <v>0</v>
      </c>
      <c r="L7" s="5">
        <f t="shared" si="1"/>
        <v>0</v>
      </c>
      <c r="M7" s="5">
        <f t="shared" si="1"/>
        <v>0</v>
      </c>
      <c r="N7" s="5">
        <f t="shared" si="1"/>
        <v>0</v>
      </c>
    </row>
    <row r="8" spans="2:14" ht="25.5">
      <c r="B8" s="146" t="s">
        <v>377</v>
      </c>
      <c r="C8" s="147">
        <f>+C67</f>
        <v>26762924000</v>
      </c>
      <c r="D8" s="147">
        <f t="shared" ref="D8:I8" si="2">+D67</f>
        <v>28296226000</v>
      </c>
      <c r="E8" s="147">
        <f t="shared" si="2"/>
        <v>26984866000</v>
      </c>
      <c r="F8" s="147">
        <f t="shared" si="2"/>
        <v>25321983000</v>
      </c>
      <c r="G8" s="147">
        <f t="shared" si="2"/>
        <v>35197617000</v>
      </c>
      <c r="H8" s="147">
        <f t="shared" si="2"/>
        <v>36821948000</v>
      </c>
      <c r="I8" s="147">
        <f t="shared" si="2"/>
        <v>37244471000</v>
      </c>
      <c r="J8" s="147">
        <f t="shared" ref="J8:N8" si="3">+J67</f>
        <v>0</v>
      </c>
      <c r="K8" s="147">
        <f t="shared" si="3"/>
        <v>0</v>
      </c>
      <c r="L8" s="147">
        <f t="shared" si="3"/>
        <v>0</v>
      </c>
      <c r="M8" s="147">
        <f t="shared" si="3"/>
        <v>0</v>
      </c>
      <c r="N8" s="147">
        <f t="shared" si="3"/>
        <v>0</v>
      </c>
    </row>
    <row r="9" spans="2:14" ht="25.5">
      <c r="B9" s="211" t="s">
        <v>471</v>
      </c>
      <c r="C9" s="212">
        <f>+C69</f>
        <v>12168489000</v>
      </c>
      <c r="D9" s="212">
        <f t="shared" ref="D9:I9" si="4">+D69</f>
        <v>17005078000</v>
      </c>
      <c r="E9" s="212">
        <f t="shared" si="4"/>
        <v>13953753000</v>
      </c>
      <c r="F9" s="212">
        <f t="shared" si="4"/>
        <v>12737373000</v>
      </c>
      <c r="G9" s="212">
        <f t="shared" si="4"/>
        <v>20604346000</v>
      </c>
      <c r="H9" s="212">
        <f t="shared" si="4"/>
        <v>31058784000</v>
      </c>
      <c r="I9" s="212">
        <f t="shared" si="4"/>
        <v>21099348000</v>
      </c>
      <c r="J9" s="212">
        <f t="shared" ref="J9:N9" si="5">+J69</f>
        <v>0</v>
      </c>
      <c r="K9" s="212">
        <f t="shared" si="5"/>
        <v>0</v>
      </c>
      <c r="L9" s="212">
        <f t="shared" si="5"/>
        <v>0</v>
      </c>
      <c r="M9" s="212">
        <f t="shared" si="5"/>
        <v>0</v>
      </c>
      <c r="N9" s="212">
        <f t="shared" si="5"/>
        <v>0</v>
      </c>
    </row>
    <row r="10" spans="2:14" ht="25.5">
      <c r="B10" s="211" t="s">
        <v>798</v>
      </c>
      <c r="C10" s="353">
        <f>+C9/C7</f>
        <v>0.27259109262856879</v>
      </c>
      <c r="D10" s="353">
        <f t="shared" ref="D10:I10" si="6">+D9/D7</f>
        <v>0.32860930397757465</v>
      </c>
      <c r="E10" s="353">
        <f t="shared" si="6"/>
        <v>0.27329115871195914</v>
      </c>
      <c r="F10" s="353">
        <f t="shared" si="6"/>
        <v>0.25181115060744275</v>
      </c>
      <c r="G10" s="353">
        <f t="shared" si="6"/>
        <v>0.30107591332753919</v>
      </c>
      <c r="H10" s="353">
        <f t="shared" si="6"/>
        <v>0.38826292479561486</v>
      </c>
      <c r="I10" s="353">
        <f t="shared" si="6"/>
        <v>0.29234019796116478</v>
      </c>
      <c r="J10" s="353" t="e">
        <f t="shared" ref="J10:N10" si="7">+J9/J7</f>
        <v>#DIV/0!</v>
      </c>
      <c r="K10" s="353" t="e">
        <f t="shared" si="7"/>
        <v>#DIV/0!</v>
      </c>
      <c r="L10" s="353" t="e">
        <f t="shared" si="7"/>
        <v>#DIV/0!</v>
      </c>
      <c r="M10" s="353" t="e">
        <f t="shared" si="7"/>
        <v>#DIV/0!</v>
      </c>
      <c r="N10" s="353" t="e">
        <f t="shared" si="7"/>
        <v>#DIV/0!</v>
      </c>
    </row>
    <row r="11" spans="2:14" ht="25.5">
      <c r="B11" s="4" t="s">
        <v>269</v>
      </c>
      <c r="C11" s="5">
        <f>+C73</f>
        <v>88816009000</v>
      </c>
      <c r="D11" s="5">
        <f t="shared" ref="D11:I11" si="8">+D73</f>
        <v>93466454000</v>
      </c>
      <c r="E11" s="5">
        <f t="shared" si="8"/>
        <v>105322368000</v>
      </c>
      <c r="F11" s="5">
        <f t="shared" si="8"/>
        <v>118016585000</v>
      </c>
      <c r="G11" s="5">
        <f t="shared" si="8"/>
        <v>126752725000</v>
      </c>
      <c r="H11" s="5">
        <f t="shared" si="8"/>
        <v>144219758000</v>
      </c>
      <c r="I11" s="5">
        <f t="shared" si="8"/>
        <v>153153586000</v>
      </c>
      <c r="J11" s="5">
        <f t="shared" ref="J11:N11" si="9">+J73</f>
        <v>0</v>
      </c>
      <c r="K11" s="5">
        <f t="shared" si="9"/>
        <v>0</v>
      </c>
      <c r="L11" s="5">
        <f t="shared" si="9"/>
        <v>0</v>
      </c>
      <c r="M11" s="5">
        <f t="shared" si="9"/>
        <v>0</v>
      </c>
      <c r="N11" s="5">
        <f t="shared" si="9"/>
        <v>0</v>
      </c>
    </row>
    <row r="12" spans="2:14" ht="25.5">
      <c r="B12" s="8" t="s">
        <v>272</v>
      </c>
      <c r="C12" s="9">
        <f>+C7+C11</f>
        <v>133456092000</v>
      </c>
      <c r="D12" s="9">
        <f t="shared" ref="D12:I12" si="10">+D7+D11</f>
        <v>145215074000</v>
      </c>
      <c r="E12" s="9">
        <f t="shared" si="10"/>
        <v>156380562000</v>
      </c>
      <c r="F12" s="9">
        <f t="shared" si="10"/>
        <v>168599623000</v>
      </c>
      <c r="G12" s="9">
        <f t="shared" si="10"/>
        <v>195188442000</v>
      </c>
      <c r="H12" s="9">
        <f t="shared" si="10"/>
        <v>224213963000</v>
      </c>
      <c r="I12" s="9">
        <f t="shared" si="10"/>
        <v>225327540000</v>
      </c>
      <c r="J12" s="9">
        <f t="shared" ref="J12:N12" si="11">+J7+J11</f>
        <v>0</v>
      </c>
      <c r="K12" s="9">
        <f t="shared" si="11"/>
        <v>0</v>
      </c>
      <c r="L12" s="9">
        <f t="shared" si="11"/>
        <v>0</v>
      </c>
      <c r="M12" s="9">
        <f t="shared" si="11"/>
        <v>0</v>
      </c>
      <c r="N12" s="9">
        <f t="shared" si="11"/>
        <v>0</v>
      </c>
    </row>
    <row r="13" spans="2:14" ht="25.5">
      <c r="B13" s="10" t="s">
        <v>273</v>
      </c>
      <c r="C13" s="11">
        <f>+C86</f>
        <v>25171161000</v>
      </c>
      <c r="D13" s="11">
        <f t="shared" ref="D13:I13" si="12">+D86</f>
        <v>33355611000</v>
      </c>
      <c r="E13" s="11">
        <f t="shared" si="12"/>
        <v>30234595000</v>
      </c>
      <c r="F13" s="11">
        <f t="shared" si="12"/>
        <v>35929291000</v>
      </c>
      <c r="G13" s="11">
        <f t="shared" si="12"/>
        <v>51474344000</v>
      </c>
      <c r="H13" s="11">
        <f t="shared" si="12"/>
        <v>54254703000</v>
      </c>
      <c r="I13" s="11">
        <f t="shared" si="12"/>
        <v>54530324000</v>
      </c>
      <c r="J13" s="11">
        <f t="shared" ref="J13:N13" si="13">+J86</f>
        <v>0</v>
      </c>
      <c r="K13" s="11">
        <f t="shared" si="13"/>
        <v>0</v>
      </c>
      <c r="L13" s="11">
        <f t="shared" si="13"/>
        <v>0</v>
      </c>
      <c r="M13" s="11">
        <f t="shared" si="13"/>
        <v>0</v>
      </c>
      <c r="N13" s="11">
        <f t="shared" si="13"/>
        <v>0</v>
      </c>
    </row>
    <row r="14" spans="2:14" ht="25.5">
      <c r="B14" s="10" t="s">
        <v>274</v>
      </c>
      <c r="C14" s="11">
        <f>+C94</f>
        <v>37799265000</v>
      </c>
      <c r="D14" s="11">
        <f t="shared" ref="D14:I14" si="14">+D94</f>
        <v>37574987000</v>
      </c>
      <c r="E14" s="11">
        <f t="shared" si="14"/>
        <v>42463676000</v>
      </c>
      <c r="F14" s="11">
        <f t="shared" si="14"/>
        <v>54410918000</v>
      </c>
      <c r="G14" s="11">
        <f t="shared" si="14"/>
        <v>58881175000</v>
      </c>
      <c r="H14" s="11">
        <f t="shared" si="14"/>
        <v>71128597000</v>
      </c>
      <c r="I14" s="11">
        <f t="shared" si="14"/>
        <v>63201312000</v>
      </c>
      <c r="J14" s="11">
        <f t="shared" ref="J14:N14" si="15">+J94</f>
        <v>0</v>
      </c>
      <c r="K14" s="11">
        <f t="shared" si="15"/>
        <v>0</v>
      </c>
      <c r="L14" s="11">
        <f t="shared" si="15"/>
        <v>0</v>
      </c>
      <c r="M14" s="11">
        <f t="shared" si="15"/>
        <v>0</v>
      </c>
      <c r="N14" s="11">
        <f t="shared" si="15"/>
        <v>0</v>
      </c>
    </row>
    <row r="15" spans="2:14" ht="25.5">
      <c r="B15" s="12" t="s">
        <v>275</v>
      </c>
      <c r="C15" s="13">
        <f t="shared" ref="C15:F15" si="16">SUM(C13:C14)</f>
        <v>62970426000</v>
      </c>
      <c r="D15" s="13">
        <f t="shared" si="16"/>
        <v>70930598000</v>
      </c>
      <c r="E15" s="13">
        <f t="shared" si="16"/>
        <v>72698271000</v>
      </c>
      <c r="F15" s="13">
        <f t="shared" si="16"/>
        <v>90340209000</v>
      </c>
      <c r="G15" s="13">
        <f t="shared" ref="G15:H15" si="17">SUM(G13:G14)</f>
        <v>110355519000</v>
      </c>
      <c r="H15" s="13">
        <f t="shared" si="17"/>
        <v>125383300000</v>
      </c>
      <c r="I15" s="13">
        <f t="shared" ref="I15:J15" si="18">SUM(I13:I14)</f>
        <v>117731636000</v>
      </c>
      <c r="J15" s="13">
        <f t="shared" si="18"/>
        <v>0</v>
      </c>
      <c r="K15" s="13">
        <f t="shared" ref="K15:N15" si="19">SUM(K13:K14)</f>
        <v>0</v>
      </c>
      <c r="L15" s="13">
        <f t="shared" si="19"/>
        <v>0</v>
      </c>
      <c r="M15" s="13">
        <f t="shared" si="19"/>
        <v>0</v>
      </c>
      <c r="N15" s="13">
        <f t="shared" si="19"/>
        <v>0</v>
      </c>
    </row>
    <row r="16" spans="2:14" ht="25.5">
      <c r="B16" s="14" t="s">
        <v>473</v>
      </c>
      <c r="C16" s="15">
        <f>+C108</f>
        <v>70485660000</v>
      </c>
      <c r="D16" s="15">
        <f t="shared" ref="D16:I16" si="20">+D108</f>
        <v>74284470000</v>
      </c>
      <c r="E16" s="15">
        <f t="shared" si="20"/>
        <v>83682285000</v>
      </c>
      <c r="F16" s="15">
        <f t="shared" si="20"/>
        <v>78259408000</v>
      </c>
      <c r="G16" s="15">
        <f t="shared" si="20"/>
        <v>84832917000</v>
      </c>
      <c r="H16" s="15">
        <f t="shared" si="20"/>
        <v>98830660000</v>
      </c>
      <c r="I16" s="15">
        <f t="shared" si="20"/>
        <v>107595898000</v>
      </c>
      <c r="J16" s="15">
        <f t="shared" ref="J16:N16" si="21">+J108</f>
        <v>0</v>
      </c>
      <c r="K16" s="15">
        <f t="shared" si="21"/>
        <v>0</v>
      </c>
      <c r="L16" s="15">
        <f t="shared" si="21"/>
        <v>0</v>
      </c>
      <c r="M16" s="15">
        <f t="shared" si="21"/>
        <v>0</v>
      </c>
      <c r="N16" s="15">
        <f t="shared" si="21"/>
        <v>0</v>
      </c>
    </row>
    <row r="17" spans="2:14" ht="25.5">
      <c r="B17" s="79" t="s">
        <v>278</v>
      </c>
      <c r="C17" s="80">
        <v>24886705</v>
      </c>
      <c r="D17" s="80">
        <v>24886705</v>
      </c>
      <c r="E17" s="80">
        <v>24886705</v>
      </c>
      <c r="F17" s="80">
        <v>24886705</v>
      </c>
      <c r="G17" s="80">
        <v>24886705</v>
      </c>
      <c r="H17" s="80">
        <v>24886705</v>
      </c>
      <c r="I17" s="80">
        <v>24886705</v>
      </c>
      <c r="J17" s="80">
        <v>24886705</v>
      </c>
      <c r="K17" s="80"/>
      <c r="L17" s="80"/>
      <c r="M17" s="80"/>
      <c r="N17" s="80"/>
    </row>
    <row r="18" spans="2:14" ht="12.75" customHeight="1">
      <c r="B18" s="55"/>
      <c r="C18" s="56"/>
      <c r="D18" s="56"/>
      <c r="E18" s="56"/>
      <c r="F18" s="56"/>
      <c r="G18" s="56"/>
      <c r="H18" s="56"/>
      <c r="I18" s="56"/>
      <c r="J18" s="56"/>
      <c r="K18" s="56"/>
      <c r="L18" s="56"/>
      <c r="M18" s="56"/>
      <c r="N18" s="56"/>
    </row>
    <row r="19" spans="2:14" ht="25.5">
      <c r="B19" s="18" t="s">
        <v>279</v>
      </c>
      <c r="C19" s="19">
        <f t="shared" ref="C19:I19" si="22">(C16/C17)</f>
        <v>2832.2616433151757</v>
      </c>
      <c r="D19" s="19">
        <f t="shared" si="22"/>
        <v>2984.9057960867058</v>
      </c>
      <c r="E19" s="19">
        <f t="shared" si="22"/>
        <v>3362.5297121495191</v>
      </c>
      <c r="F19" s="19">
        <f t="shared" si="22"/>
        <v>3144.6271412788474</v>
      </c>
      <c r="G19" s="19">
        <f t="shared" si="22"/>
        <v>3408.7645190474191</v>
      </c>
      <c r="H19" s="19">
        <f t="shared" si="22"/>
        <v>3971.2231892490386</v>
      </c>
      <c r="I19" s="19">
        <f t="shared" si="22"/>
        <v>4323.4288347935171</v>
      </c>
      <c r="J19" s="19">
        <f t="shared" ref="J19:N19" si="23">(J16/J17)</f>
        <v>0</v>
      </c>
      <c r="K19" s="19" t="e">
        <f t="shared" si="23"/>
        <v>#DIV/0!</v>
      </c>
      <c r="L19" s="19" t="e">
        <f t="shared" si="23"/>
        <v>#DIV/0!</v>
      </c>
      <c r="M19" s="19" t="e">
        <f t="shared" si="23"/>
        <v>#DIV/0!</v>
      </c>
      <c r="N19" s="19" t="e">
        <f t="shared" si="23"/>
        <v>#DIV/0!</v>
      </c>
    </row>
    <row r="20" spans="2:14" ht="25.5">
      <c r="B20" s="76" t="s">
        <v>282</v>
      </c>
      <c r="C20" s="77">
        <v>6800</v>
      </c>
      <c r="D20" s="77">
        <v>5009</v>
      </c>
      <c r="E20" s="77">
        <v>5036</v>
      </c>
      <c r="F20" s="77">
        <v>5504</v>
      </c>
      <c r="G20" s="77">
        <v>6502</v>
      </c>
      <c r="H20" s="77">
        <v>6350</v>
      </c>
      <c r="I20" s="77">
        <v>6512</v>
      </c>
      <c r="J20" s="77">
        <v>0</v>
      </c>
      <c r="K20" s="77">
        <v>0</v>
      </c>
      <c r="L20" s="77">
        <v>0</v>
      </c>
      <c r="M20" s="77">
        <v>0</v>
      </c>
      <c r="N20" s="77">
        <v>0</v>
      </c>
    </row>
    <row r="21" spans="2:14" ht="25.5">
      <c r="B21" s="18" t="s">
        <v>283</v>
      </c>
      <c r="C21" s="22">
        <f>+C20/C41</f>
        <v>9.292156326865264</v>
      </c>
      <c r="D21" s="22">
        <f t="shared" ref="D21:I21" si="24">+D20/D41</f>
        <v>8.7097896018083834</v>
      </c>
      <c r="E21" s="22">
        <f t="shared" si="24"/>
        <v>8.0178315554847952</v>
      </c>
      <c r="F21" s="22">
        <f t="shared" si="24"/>
        <v>7.9491623339110342</v>
      </c>
      <c r="G21" s="22">
        <f t="shared" si="24"/>
        <v>7.812274715240064</v>
      </c>
      <c r="H21" s="22">
        <f t="shared" si="24"/>
        <v>5.4024161987408537</v>
      </c>
      <c r="I21" s="22">
        <f t="shared" si="24"/>
        <v>6.7819204332430738</v>
      </c>
      <c r="J21" s="22" t="e">
        <f t="shared" ref="J21:N21" si="25">+J20/J41</f>
        <v>#DIV/0!</v>
      </c>
      <c r="K21" s="22" t="e">
        <f t="shared" si="25"/>
        <v>#DIV/0!</v>
      </c>
      <c r="L21" s="22" t="e">
        <f t="shared" si="25"/>
        <v>#DIV/0!</v>
      </c>
      <c r="M21" s="22" t="e">
        <f t="shared" si="25"/>
        <v>#DIV/0!</v>
      </c>
      <c r="N21" s="22" t="e">
        <f t="shared" si="25"/>
        <v>#DIV/0!</v>
      </c>
    </row>
    <row r="22" spans="2:14" ht="25.5">
      <c r="B22" s="18" t="s">
        <v>474</v>
      </c>
      <c r="C22" s="22">
        <f>+C20/C19</f>
        <v>2.4009081279795068</v>
      </c>
      <c r="D22" s="22">
        <f t="shared" ref="D22:I22" si="26">+D20/D19</f>
        <v>1.678109911062164</v>
      </c>
      <c r="E22" s="22">
        <f t="shared" si="26"/>
        <v>1.4976819332789491</v>
      </c>
      <c r="F22" s="22">
        <f t="shared" si="26"/>
        <v>1.7502869983376312</v>
      </c>
      <c r="G22" s="22">
        <f t="shared" si="26"/>
        <v>1.907435953310435</v>
      </c>
      <c r="H22" s="22">
        <f t="shared" si="26"/>
        <v>1.5990035556779647</v>
      </c>
      <c r="I22" s="22">
        <f t="shared" si="26"/>
        <v>1.5062119093053157</v>
      </c>
      <c r="J22" s="22" t="e">
        <f t="shared" ref="J22:N22" si="27">+J20/J19</f>
        <v>#DIV/0!</v>
      </c>
      <c r="K22" s="22" t="e">
        <f t="shared" si="27"/>
        <v>#DIV/0!</v>
      </c>
      <c r="L22" s="22" t="e">
        <f t="shared" si="27"/>
        <v>#DIV/0!</v>
      </c>
      <c r="M22" s="22" t="e">
        <f t="shared" si="27"/>
        <v>#DIV/0!</v>
      </c>
      <c r="N22" s="22" t="e">
        <f t="shared" si="27"/>
        <v>#DIV/0!</v>
      </c>
    </row>
    <row r="23" spans="2:14" ht="25.5">
      <c r="B23" s="18" t="s">
        <v>285</v>
      </c>
      <c r="C23" s="22">
        <f>+C21*C22</f>
        <v>22.309613651627011</v>
      </c>
      <c r="D23" s="22">
        <f t="shared" ref="D23:I23" si="28">+D21*D22</f>
        <v>14.615984254060827</v>
      </c>
      <c r="E23" s="22">
        <f t="shared" si="28"/>
        <v>12.008161464723431</v>
      </c>
      <c r="F23" s="22">
        <f t="shared" si="28"/>
        <v>13.913315480719703</v>
      </c>
      <c r="G23" s="22">
        <f t="shared" si="28"/>
        <v>14.901413668986939</v>
      </c>
      <c r="H23" s="22">
        <f t="shared" si="28"/>
        <v>8.6384827110388596</v>
      </c>
      <c r="I23" s="22">
        <f t="shared" si="28"/>
        <v>10.215009324511783</v>
      </c>
      <c r="J23" s="22" t="e">
        <f t="shared" ref="J23:N23" si="29">+J21*J22</f>
        <v>#DIV/0!</v>
      </c>
      <c r="K23" s="22" t="e">
        <f t="shared" si="29"/>
        <v>#DIV/0!</v>
      </c>
      <c r="L23" s="22" t="e">
        <f t="shared" si="29"/>
        <v>#DIV/0!</v>
      </c>
      <c r="M23" s="22" t="e">
        <f t="shared" si="29"/>
        <v>#DIV/0!</v>
      </c>
      <c r="N23" s="22" t="e">
        <f t="shared" si="29"/>
        <v>#DIV/0!</v>
      </c>
    </row>
    <row r="24" spans="2:14" ht="25.5">
      <c r="B24" s="23" t="s">
        <v>286</v>
      </c>
      <c r="C24" s="24">
        <f>IF(C42&lt;10%,0,IF(15%&lt;C42,2,1))</f>
        <v>2</v>
      </c>
      <c r="D24" s="24">
        <f t="shared" ref="D24:I24" si="30">IF(D42&lt;10%,0,IF(15%&lt;D42,2,1))</f>
        <v>2</v>
      </c>
      <c r="E24" s="24">
        <f t="shared" si="30"/>
        <v>2</v>
      </c>
      <c r="F24" s="24">
        <f t="shared" si="30"/>
        <v>2</v>
      </c>
      <c r="G24" s="24">
        <f t="shared" si="30"/>
        <v>2</v>
      </c>
      <c r="H24" s="24">
        <f t="shared" si="30"/>
        <v>2</v>
      </c>
      <c r="I24" s="24">
        <f t="shared" si="30"/>
        <v>2</v>
      </c>
      <c r="J24" s="24" t="e">
        <f t="shared" ref="J24:N24" si="31">IF(J42&lt;10%,0,IF(15%&lt;J42,2,1))</f>
        <v>#DIV/0!</v>
      </c>
      <c r="K24" s="24" t="e">
        <f t="shared" si="31"/>
        <v>#DIV/0!</v>
      </c>
      <c r="L24" s="24" t="e">
        <f t="shared" si="31"/>
        <v>#DIV/0!</v>
      </c>
      <c r="M24" s="24" t="e">
        <f t="shared" si="31"/>
        <v>#DIV/0!</v>
      </c>
      <c r="N24" s="24" t="e">
        <f t="shared" si="31"/>
        <v>#DIV/0!</v>
      </c>
    </row>
    <row r="25" spans="2:14" ht="25.5">
      <c r="B25" s="23" t="s">
        <v>287</v>
      </c>
      <c r="C25" s="24">
        <f>IF(C42&lt;10%,1,IF(15%&lt;C42,2.5,2))</f>
        <v>2.5</v>
      </c>
      <c r="D25" s="24">
        <f t="shared" ref="D25:I25" si="32">IF(D42&lt;10%,1,IF(15%&lt;D42,2.5,2))</f>
        <v>2.5</v>
      </c>
      <c r="E25" s="24">
        <f t="shared" si="32"/>
        <v>2.5</v>
      </c>
      <c r="F25" s="24">
        <f t="shared" si="32"/>
        <v>2.5</v>
      </c>
      <c r="G25" s="24">
        <f t="shared" si="32"/>
        <v>2.5</v>
      </c>
      <c r="H25" s="24">
        <f t="shared" si="32"/>
        <v>2.5</v>
      </c>
      <c r="I25" s="24">
        <f t="shared" si="32"/>
        <v>2.5</v>
      </c>
      <c r="J25" s="24" t="e">
        <f t="shared" ref="J25:N25" si="33">IF(J42&lt;10%,1,IF(15%&lt;J42,2.5,2))</f>
        <v>#DIV/0!</v>
      </c>
      <c r="K25" s="24" t="e">
        <f t="shared" si="33"/>
        <v>#DIV/0!</v>
      </c>
      <c r="L25" s="24" t="e">
        <f t="shared" si="33"/>
        <v>#DIV/0!</v>
      </c>
      <c r="M25" s="24" t="e">
        <f t="shared" si="33"/>
        <v>#DIV/0!</v>
      </c>
      <c r="N25" s="24" t="e">
        <f t="shared" si="33"/>
        <v>#DIV/0!</v>
      </c>
    </row>
    <row r="26" spans="2:14" ht="25.5">
      <c r="B26" s="25" t="s">
        <v>288</v>
      </c>
      <c r="C26" s="26">
        <f t="shared" ref="C26:I26" si="34">+C24*C19</f>
        <v>5664.5232866303513</v>
      </c>
      <c r="D26" s="26">
        <f t="shared" si="34"/>
        <v>5969.8115921734116</v>
      </c>
      <c r="E26" s="26">
        <f t="shared" si="34"/>
        <v>6725.0594242990383</v>
      </c>
      <c r="F26" s="26">
        <f t="shared" si="34"/>
        <v>6289.2542825576948</v>
      </c>
      <c r="G26" s="26">
        <f t="shared" si="34"/>
        <v>6817.5290380948381</v>
      </c>
      <c r="H26" s="26">
        <f t="shared" si="34"/>
        <v>7942.4463784980771</v>
      </c>
      <c r="I26" s="26">
        <f t="shared" si="34"/>
        <v>8646.8576695870343</v>
      </c>
      <c r="J26" s="26" t="e">
        <f t="shared" ref="J26:N26" si="35">+J24*J19</f>
        <v>#DIV/0!</v>
      </c>
      <c r="K26" s="26" t="e">
        <f t="shared" si="35"/>
        <v>#DIV/0!</v>
      </c>
      <c r="L26" s="26" t="e">
        <f t="shared" si="35"/>
        <v>#DIV/0!</v>
      </c>
      <c r="M26" s="26" t="e">
        <f t="shared" si="35"/>
        <v>#DIV/0!</v>
      </c>
      <c r="N26" s="26" t="e">
        <f t="shared" si="35"/>
        <v>#DIV/0!</v>
      </c>
    </row>
    <row r="27" spans="2:14" ht="25.5">
      <c r="B27" s="25" t="s">
        <v>289</v>
      </c>
      <c r="C27" s="26">
        <f>AVERAGE(C26,C28)</f>
        <v>6372.5886974591449</v>
      </c>
      <c r="D27" s="26">
        <f t="shared" ref="D27:H27" si="36">AVERAGE(D26,D28)</f>
        <v>6716.0380411950882</v>
      </c>
      <c r="E27" s="26">
        <f t="shared" si="36"/>
        <v>7565.6918523364184</v>
      </c>
      <c r="F27" s="26">
        <f t="shared" si="36"/>
        <v>7075.4110678774068</v>
      </c>
      <c r="G27" s="26">
        <f t="shared" si="36"/>
        <v>7669.7201678566926</v>
      </c>
      <c r="H27" s="26">
        <f t="shared" si="36"/>
        <v>8935.2521758103376</v>
      </c>
      <c r="I27" s="26">
        <f t="shared" ref="I27:J27" si="37">AVERAGE(I26,I28)</f>
        <v>9727.7148782854129</v>
      </c>
      <c r="J27" s="26" t="e">
        <f t="shared" si="37"/>
        <v>#DIV/0!</v>
      </c>
      <c r="K27" s="26" t="e">
        <f t="shared" ref="K27:N27" si="38">AVERAGE(K26,K28)</f>
        <v>#DIV/0!</v>
      </c>
      <c r="L27" s="26" t="e">
        <f t="shared" si="38"/>
        <v>#DIV/0!</v>
      </c>
      <c r="M27" s="26" t="e">
        <f t="shared" si="38"/>
        <v>#DIV/0!</v>
      </c>
      <c r="N27" s="26" t="e">
        <f t="shared" si="38"/>
        <v>#DIV/0!</v>
      </c>
    </row>
    <row r="28" spans="2:14" ht="25.5">
      <c r="B28" s="25" t="s">
        <v>290</v>
      </c>
      <c r="C28" s="26">
        <f t="shared" ref="C28:I28" si="39">+C19*C25</f>
        <v>7080.6541082879394</v>
      </c>
      <c r="D28" s="26">
        <f t="shared" si="39"/>
        <v>7462.2644902167649</v>
      </c>
      <c r="E28" s="26">
        <f t="shared" si="39"/>
        <v>8406.3242803737976</v>
      </c>
      <c r="F28" s="26">
        <f t="shared" si="39"/>
        <v>7861.5678531971189</v>
      </c>
      <c r="G28" s="26">
        <f t="shared" si="39"/>
        <v>8521.9112976185479</v>
      </c>
      <c r="H28" s="26">
        <f t="shared" si="39"/>
        <v>9928.0579731225971</v>
      </c>
      <c r="I28" s="26">
        <f t="shared" si="39"/>
        <v>10808.572086983793</v>
      </c>
      <c r="J28" s="26" t="e">
        <f t="shared" ref="J28:N28" si="40">+J19*J25</f>
        <v>#DIV/0!</v>
      </c>
      <c r="K28" s="26" t="e">
        <f t="shared" si="40"/>
        <v>#DIV/0!</v>
      </c>
      <c r="L28" s="26" t="e">
        <f t="shared" si="40"/>
        <v>#DIV/0!</v>
      </c>
      <c r="M28" s="26" t="e">
        <f t="shared" si="40"/>
        <v>#DIV/0!</v>
      </c>
      <c r="N28" s="26" t="e">
        <f t="shared" si="40"/>
        <v>#DIV/0!</v>
      </c>
    </row>
    <row r="30" spans="2:14" ht="25.5">
      <c r="B30" s="27" t="s">
        <v>291</v>
      </c>
      <c r="C30" s="28">
        <f t="shared" ref="C30:I30" si="41">C7-C13</f>
        <v>19468922000</v>
      </c>
      <c r="D30" s="28">
        <f t="shared" si="41"/>
        <v>18393009000</v>
      </c>
      <c r="E30" s="28">
        <f t="shared" si="41"/>
        <v>20823599000</v>
      </c>
      <c r="F30" s="28">
        <f t="shared" si="41"/>
        <v>14653747000</v>
      </c>
      <c r="G30" s="28">
        <f t="shared" si="41"/>
        <v>16961373000</v>
      </c>
      <c r="H30" s="28">
        <f t="shared" si="41"/>
        <v>25739502000</v>
      </c>
      <c r="I30" s="28">
        <f t="shared" si="41"/>
        <v>17643630000</v>
      </c>
      <c r="J30" s="28">
        <f t="shared" ref="J30:N30" si="42">J7-J13</f>
        <v>0</v>
      </c>
      <c r="K30" s="28">
        <f t="shared" si="42"/>
        <v>0</v>
      </c>
      <c r="L30" s="28">
        <f t="shared" si="42"/>
        <v>0</v>
      </c>
      <c r="M30" s="28">
        <f t="shared" si="42"/>
        <v>0</v>
      </c>
      <c r="N30" s="28">
        <f t="shared" si="42"/>
        <v>0</v>
      </c>
    </row>
    <row r="31" spans="2:14" ht="25.5">
      <c r="B31" s="30" t="s">
        <v>149</v>
      </c>
      <c r="C31" s="204">
        <f t="shared" ref="C31:I31" si="43">C7/C13</f>
        <v>1.773461422776645</v>
      </c>
      <c r="D31" s="204">
        <f t="shared" si="43"/>
        <v>1.5514217383096356</v>
      </c>
      <c r="E31" s="204">
        <f t="shared" si="43"/>
        <v>1.6887341801667923</v>
      </c>
      <c r="F31" s="204">
        <f t="shared" si="43"/>
        <v>1.4078496010399983</v>
      </c>
      <c r="G31" s="204">
        <f t="shared" si="43"/>
        <v>1.3295112027071194</v>
      </c>
      <c r="H31" s="204">
        <f t="shared" si="43"/>
        <v>1.4744197383220401</v>
      </c>
      <c r="I31" s="204">
        <f t="shared" si="43"/>
        <v>1.3235563023612329</v>
      </c>
      <c r="J31" s="204" t="e">
        <f t="shared" ref="J31:N31" si="44">J7/J13</f>
        <v>#DIV/0!</v>
      </c>
      <c r="K31" s="204" t="e">
        <f t="shared" si="44"/>
        <v>#DIV/0!</v>
      </c>
      <c r="L31" s="204" t="e">
        <f t="shared" si="44"/>
        <v>#DIV/0!</v>
      </c>
      <c r="M31" s="204" t="e">
        <f t="shared" si="44"/>
        <v>#DIV/0!</v>
      </c>
      <c r="N31" s="204" t="e">
        <f t="shared" si="44"/>
        <v>#DIV/0!</v>
      </c>
    </row>
    <row r="32" spans="2:14" ht="25.5">
      <c r="B32" s="30" t="s">
        <v>292</v>
      </c>
      <c r="C32" s="204">
        <f t="shared" ref="C32:I32" si="45">+(C7-C9)/C13</f>
        <v>1.2900316358073431</v>
      </c>
      <c r="D32" s="204">
        <f t="shared" si="45"/>
        <v>1.0416101207080273</v>
      </c>
      <c r="E32" s="204">
        <f t="shared" si="45"/>
        <v>1.2272180593125193</v>
      </c>
      <c r="F32" s="204">
        <f t="shared" si="45"/>
        <v>1.053337373119887</v>
      </c>
      <c r="G32" s="204">
        <f t="shared" si="45"/>
        <v>0.92922740307287843</v>
      </c>
      <c r="H32" s="204">
        <f t="shared" si="45"/>
        <v>0.90195721834473963</v>
      </c>
      <c r="I32" s="204">
        <f t="shared" si="45"/>
        <v>0.93662759091620285</v>
      </c>
      <c r="J32" s="204" t="e">
        <f t="shared" ref="J32:N32" si="46">+(J7-J9)/J13</f>
        <v>#DIV/0!</v>
      </c>
      <c r="K32" s="204" t="e">
        <f t="shared" si="46"/>
        <v>#DIV/0!</v>
      </c>
      <c r="L32" s="204" t="e">
        <f t="shared" si="46"/>
        <v>#DIV/0!</v>
      </c>
      <c r="M32" s="204" t="e">
        <f t="shared" si="46"/>
        <v>#DIV/0!</v>
      </c>
      <c r="N32" s="204" t="e">
        <f t="shared" si="46"/>
        <v>#DIV/0!</v>
      </c>
    </row>
    <row r="33" spans="2:14" ht="25.5">
      <c r="B33" s="32" t="s">
        <v>153</v>
      </c>
      <c r="C33" s="33">
        <f t="shared" ref="C33:I33" si="47">C15/C12</f>
        <v>0.47184377315649256</v>
      </c>
      <c r="D33" s="33">
        <f t="shared" si="47"/>
        <v>0.4884520321905424</v>
      </c>
      <c r="E33" s="33">
        <f t="shared" si="47"/>
        <v>0.46488048175706131</v>
      </c>
      <c r="F33" s="33">
        <f t="shared" si="47"/>
        <v>0.53582687429852671</v>
      </c>
      <c r="G33" s="33">
        <f t="shared" si="47"/>
        <v>0.56537937323153586</v>
      </c>
      <c r="H33" s="33">
        <f t="shared" si="47"/>
        <v>0.55921271950400342</v>
      </c>
      <c r="I33" s="33">
        <f t="shared" si="47"/>
        <v>0.52249110783351205</v>
      </c>
      <c r="J33" s="33" t="e">
        <f t="shared" ref="J33:N33" si="48">J15/J12</f>
        <v>#DIV/0!</v>
      </c>
      <c r="K33" s="33" t="e">
        <f t="shared" si="48"/>
        <v>#DIV/0!</v>
      </c>
      <c r="L33" s="33" t="e">
        <f t="shared" si="48"/>
        <v>#DIV/0!</v>
      </c>
      <c r="M33" s="33" t="e">
        <f t="shared" si="48"/>
        <v>#DIV/0!</v>
      </c>
      <c r="N33" s="33" t="e">
        <f t="shared" si="48"/>
        <v>#DIV/0!</v>
      </c>
    </row>
    <row r="36" spans="2:14" ht="25.5">
      <c r="B36" s="35" t="s">
        <v>293</v>
      </c>
      <c r="C36" s="36">
        <f>+C114</f>
        <v>144252755000</v>
      </c>
      <c r="D36" s="36">
        <f t="shared" ref="D36:I36" si="49">+D114</f>
        <v>156501537000</v>
      </c>
      <c r="E36" s="36">
        <f t="shared" si="49"/>
        <v>152021485000</v>
      </c>
      <c r="F36" s="36">
        <f t="shared" si="49"/>
        <v>158134874000</v>
      </c>
      <c r="G36" s="36">
        <f t="shared" si="49"/>
        <v>191127555000</v>
      </c>
      <c r="H36" s="36">
        <f t="shared" si="49"/>
        <v>264695337000</v>
      </c>
      <c r="I36" s="36">
        <f t="shared" si="49"/>
        <v>214648545000</v>
      </c>
      <c r="J36" s="36">
        <f t="shared" ref="J36:N36" si="50">+J114</f>
        <v>0</v>
      </c>
      <c r="K36" s="36">
        <f t="shared" si="50"/>
        <v>0</v>
      </c>
      <c r="L36" s="36">
        <f t="shared" si="50"/>
        <v>0</v>
      </c>
      <c r="M36" s="36">
        <f t="shared" si="50"/>
        <v>0</v>
      </c>
      <c r="N36" s="36">
        <f t="shared" si="50"/>
        <v>0</v>
      </c>
    </row>
    <row r="37" spans="2:14" ht="25.5">
      <c r="B37" s="39" t="s">
        <v>156</v>
      </c>
      <c r="C37" s="40">
        <f>+C122</f>
        <v>23292967000</v>
      </c>
      <c r="D37" s="40">
        <f t="shared" ref="D37:I37" si="51">+D122</f>
        <v>19525929000</v>
      </c>
      <c r="E37" s="40">
        <f t="shared" si="51"/>
        <v>20239629000</v>
      </c>
      <c r="F37" s="40">
        <f t="shared" si="51"/>
        <v>21521124000</v>
      </c>
      <c r="G37" s="40">
        <f t="shared" si="51"/>
        <v>26864454000</v>
      </c>
      <c r="H37" s="40">
        <f t="shared" si="51"/>
        <v>34651609000</v>
      </c>
      <c r="I37" s="40">
        <f t="shared" si="51"/>
        <v>28602182000</v>
      </c>
      <c r="J37" s="40">
        <f t="shared" ref="J37:N37" si="52">+J122</f>
        <v>0</v>
      </c>
      <c r="K37" s="40">
        <f t="shared" si="52"/>
        <v>0</v>
      </c>
      <c r="L37" s="40">
        <f t="shared" si="52"/>
        <v>0</v>
      </c>
      <c r="M37" s="40">
        <f t="shared" si="52"/>
        <v>0</v>
      </c>
      <c r="N37" s="40">
        <f t="shared" si="52"/>
        <v>0</v>
      </c>
    </row>
    <row r="38" spans="2:14" ht="25.5">
      <c r="B38" s="35" t="s">
        <v>381</v>
      </c>
      <c r="C38" s="41">
        <f>C37/C36</f>
        <v>0.1614732904061347</v>
      </c>
      <c r="D38" s="41">
        <f t="shared" ref="D38:I38" si="53">D37/D36</f>
        <v>0.12476509416006566</v>
      </c>
      <c r="E38" s="41">
        <f t="shared" si="53"/>
        <v>0.13313663525915431</v>
      </c>
      <c r="F38" s="41">
        <f t="shared" si="53"/>
        <v>0.13609347170314878</v>
      </c>
      <c r="G38" s="41">
        <f t="shared" si="53"/>
        <v>0.140557723348682</v>
      </c>
      <c r="H38" s="41">
        <f t="shared" si="53"/>
        <v>0.13091129368856241</v>
      </c>
      <c r="I38" s="41">
        <f t="shared" si="53"/>
        <v>0.13325122702322534</v>
      </c>
      <c r="J38" s="41" t="e">
        <f t="shared" ref="J38:N38" si="54">J37/J36</f>
        <v>#DIV/0!</v>
      </c>
      <c r="K38" s="41" t="e">
        <f t="shared" si="54"/>
        <v>#DIV/0!</v>
      </c>
      <c r="L38" s="41" t="e">
        <f t="shared" si="54"/>
        <v>#DIV/0!</v>
      </c>
      <c r="M38" s="41" t="e">
        <f t="shared" si="54"/>
        <v>#DIV/0!</v>
      </c>
      <c r="N38" s="41" t="e">
        <f t="shared" si="54"/>
        <v>#DIV/0!</v>
      </c>
    </row>
    <row r="39" spans="2:14" ht="25.5">
      <c r="B39" s="43" t="s">
        <v>295</v>
      </c>
      <c r="C39" s="44">
        <f>+C132</f>
        <v>18197831000</v>
      </c>
      <c r="D39" s="44">
        <f t="shared" ref="D39:I39" si="55">+D132</f>
        <v>14239392000</v>
      </c>
      <c r="E39" s="44">
        <f t="shared" si="55"/>
        <v>15604088000</v>
      </c>
      <c r="F39" s="44">
        <f t="shared" si="55"/>
        <v>17218749000</v>
      </c>
      <c r="G39" s="44">
        <f t="shared" si="55"/>
        <v>20701520000</v>
      </c>
      <c r="H39" s="44">
        <f t="shared" si="55"/>
        <v>29060301000</v>
      </c>
      <c r="I39" s="44">
        <f t="shared" si="55"/>
        <v>23896013000</v>
      </c>
      <c r="J39" s="44">
        <f t="shared" ref="J39:N39" si="56">+J132</f>
        <v>0</v>
      </c>
      <c r="K39" s="44">
        <f t="shared" si="56"/>
        <v>0</v>
      </c>
      <c r="L39" s="44">
        <f t="shared" si="56"/>
        <v>0</v>
      </c>
      <c r="M39" s="44">
        <f t="shared" si="56"/>
        <v>0</v>
      </c>
      <c r="N39" s="44">
        <f t="shared" si="56"/>
        <v>0</v>
      </c>
    </row>
    <row r="40" spans="2:14" ht="25.5">
      <c r="B40" s="30" t="s">
        <v>296</v>
      </c>
      <c r="C40" s="45">
        <f>C39/C36</f>
        <v>0.12615239826788749</v>
      </c>
      <c r="D40" s="45">
        <f t="shared" ref="D40:I40" si="57">D39/D36</f>
        <v>9.0985636773650347E-2</v>
      </c>
      <c r="E40" s="45">
        <f t="shared" si="57"/>
        <v>0.10264396509480223</v>
      </c>
      <c r="F40" s="45">
        <f>F39/F36</f>
        <v>0.10888647497199132</v>
      </c>
      <c r="G40" s="45">
        <f t="shared" si="57"/>
        <v>0.10831258737129766</v>
      </c>
      <c r="H40" s="45">
        <f t="shared" si="57"/>
        <v>0.10978773305704286</v>
      </c>
      <c r="I40" s="45">
        <f t="shared" si="57"/>
        <v>0.11132622864972135</v>
      </c>
      <c r="J40" s="45" t="e">
        <f t="shared" ref="J40:N40" si="58">J39/J36</f>
        <v>#DIV/0!</v>
      </c>
      <c r="K40" s="45" t="e">
        <f t="shared" si="58"/>
        <v>#DIV/0!</v>
      </c>
      <c r="L40" s="45" t="e">
        <f t="shared" si="58"/>
        <v>#DIV/0!</v>
      </c>
      <c r="M40" s="45" t="e">
        <f t="shared" si="58"/>
        <v>#DIV/0!</v>
      </c>
      <c r="N40" s="45" t="e">
        <f t="shared" si="58"/>
        <v>#DIV/0!</v>
      </c>
    </row>
    <row r="41" spans="2:14" ht="25.5">
      <c r="B41" s="46" t="s">
        <v>159</v>
      </c>
      <c r="C41" s="47">
        <f>+C133</f>
        <v>731.8</v>
      </c>
      <c r="D41" s="47">
        <f t="shared" ref="D41:I41" si="59">+D133</f>
        <v>575.09999999999991</v>
      </c>
      <c r="E41" s="47">
        <f t="shared" si="59"/>
        <v>628.1</v>
      </c>
      <c r="F41" s="47">
        <f t="shared" si="59"/>
        <v>692.4</v>
      </c>
      <c r="G41" s="47">
        <f t="shared" si="59"/>
        <v>832.28</v>
      </c>
      <c r="H41" s="47">
        <f t="shared" si="59"/>
        <v>1175.4000000000001</v>
      </c>
      <c r="I41" s="47">
        <f t="shared" si="59"/>
        <v>960.2</v>
      </c>
      <c r="J41" s="47">
        <f t="shared" ref="J41:N41" si="60">+J133</f>
        <v>0</v>
      </c>
      <c r="K41" s="47">
        <f t="shared" si="60"/>
        <v>0</v>
      </c>
      <c r="L41" s="47">
        <f t="shared" si="60"/>
        <v>0</v>
      </c>
      <c r="M41" s="47">
        <f t="shared" si="60"/>
        <v>0</v>
      </c>
      <c r="N41" s="47">
        <f t="shared" si="60"/>
        <v>0</v>
      </c>
    </row>
    <row r="42" spans="2:14" ht="25.5">
      <c r="B42" s="48" t="s">
        <v>160</v>
      </c>
      <c r="C42" s="49">
        <f>C39/C16</f>
        <v>0.25817777686979165</v>
      </c>
      <c r="D42" s="49">
        <f t="shared" ref="D42:I42" si="61">D39/D16</f>
        <v>0.19168733383976488</v>
      </c>
      <c r="E42" s="49">
        <f t="shared" si="61"/>
        <v>0.18646823518263156</v>
      </c>
      <c r="F42" s="49">
        <f t="shared" si="61"/>
        <v>0.22002145735628362</v>
      </c>
      <c r="G42" s="49">
        <f t="shared" si="61"/>
        <v>0.24402697363335979</v>
      </c>
      <c r="H42" s="49">
        <f t="shared" si="61"/>
        <v>0.29404135315902979</v>
      </c>
      <c r="I42" s="49">
        <f t="shared" si="61"/>
        <v>0.22209037188387981</v>
      </c>
      <c r="J42" s="49" t="e">
        <f t="shared" ref="J42:N42" si="62">J39/J16</f>
        <v>#DIV/0!</v>
      </c>
      <c r="K42" s="49" t="e">
        <f t="shared" si="62"/>
        <v>#DIV/0!</v>
      </c>
      <c r="L42" s="49" t="e">
        <f t="shared" si="62"/>
        <v>#DIV/0!</v>
      </c>
      <c r="M42" s="49" t="e">
        <f t="shared" si="62"/>
        <v>#DIV/0!</v>
      </c>
      <c r="N42" s="49" t="e">
        <f t="shared" si="62"/>
        <v>#DIV/0!</v>
      </c>
    </row>
    <row r="43" spans="2:14" ht="25.5">
      <c r="B43" s="48" t="s">
        <v>382</v>
      </c>
      <c r="C43" s="49">
        <f>AVERAGE(G42:I42)</f>
        <v>0.25338623289208978</v>
      </c>
      <c r="D43" s="49"/>
      <c r="E43" s="49"/>
      <c r="F43" s="49"/>
      <c r="G43" s="49"/>
      <c r="H43" s="49"/>
      <c r="I43" s="49"/>
      <c r="J43" s="49"/>
      <c r="K43" s="49"/>
      <c r="L43" s="49"/>
      <c r="M43" s="49"/>
      <c r="N43" s="49"/>
    </row>
    <row r="44" spans="2:14" ht="25.5">
      <c r="B44" s="48" t="s">
        <v>298</v>
      </c>
      <c r="C44" s="50">
        <f>+C145</f>
        <v>22537800000</v>
      </c>
      <c r="D44" s="50">
        <f t="shared" ref="D44:I44" si="63">+D145</f>
        <v>9404628000</v>
      </c>
      <c r="E44" s="50">
        <f t="shared" si="63"/>
        <v>12254520000</v>
      </c>
      <c r="F44" s="50">
        <f t="shared" si="63"/>
        <v>11655796000</v>
      </c>
      <c r="G44" s="50">
        <f t="shared" si="63"/>
        <v>10523337000</v>
      </c>
      <c r="H44" s="50">
        <f t="shared" si="63"/>
        <v>3446289000</v>
      </c>
      <c r="I44" s="50">
        <f t="shared" si="63"/>
        <v>27738690000</v>
      </c>
      <c r="J44" s="50">
        <f t="shared" ref="J44:N44" si="64">+J145</f>
        <v>0</v>
      </c>
      <c r="K44" s="50">
        <f t="shared" si="64"/>
        <v>0</v>
      </c>
      <c r="L44" s="50">
        <f t="shared" si="64"/>
        <v>0</v>
      </c>
      <c r="M44" s="50">
        <f t="shared" si="64"/>
        <v>0</v>
      </c>
      <c r="N44" s="50">
        <f t="shared" si="64"/>
        <v>0</v>
      </c>
    </row>
    <row r="45" spans="2:14" ht="25.5">
      <c r="B45" s="51" t="s">
        <v>476</v>
      </c>
      <c r="C45" s="51">
        <f>SUM(C47:C51)</f>
        <v>718</v>
      </c>
      <c r="D45" s="51">
        <f t="shared" ref="D45:I45" si="65">SUM(D47:D51)</f>
        <v>402</v>
      </c>
      <c r="E45" s="51">
        <f t="shared" si="65"/>
        <v>250</v>
      </c>
      <c r="F45" s="51">
        <f t="shared" si="65"/>
        <v>721</v>
      </c>
      <c r="G45" s="51">
        <f t="shared" si="65"/>
        <v>762</v>
      </c>
      <c r="H45" s="51">
        <f t="shared" si="65"/>
        <v>603</v>
      </c>
      <c r="I45" s="51">
        <f t="shared" si="65"/>
        <v>603</v>
      </c>
      <c r="J45" s="51">
        <f t="shared" ref="J45:N45" si="66">SUM(J47:J51)</f>
        <v>342</v>
      </c>
      <c r="K45" s="51">
        <f t="shared" si="66"/>
        <v>0</v>
      </c>
      <c r="L45" s="51">
        <f t="shared" si="66"/>
        <v>0</v>
      </c>
      <c r="M45" s="51">
        <f t="shared" si="66"/>
        <v>0</v>
      </c>
      <c r="N45" s="51">
        <f t="shared" si="66"/>
        <v>0</v>
      </c>
    </row>
    <row r="46" spans="2:14" ht="25.5">
      <c r="B46" s="51" t="s">
        <v>383</v>
      </c>
      <c r="C46" s="51">
        <f>+C47+C48+C49+C50</f>
        <v>556.62400000000002</v>
      </c>
      <c r="D46" s="51">
        <f t="shared" ref="D46:I46" si="67">+D47+D48+D49+D50</f>
        <v>402</v>
      </c>
      <c r="E46" s="51">
        <f t="shared" si="67"/>
        <v>250</v>
      </c>
      <c r="F46" s="51">
        <f t="shared" si="67"/>
        <v>400</v>
      </c>
      <c r="G46" s="51">
        <f t="shared" si="67"/>
        <v>561</v>
      </c>
      <c r="H46" s="51">
        <f t="shared" si="67"/>
        <v>603</v>
      </c>
      <c r="I46" s="51">
        <f t="shared" si="67"/>
        <v>603</v>
      </c>
      <c r="J46" s="51">
        <f t="shared" ref="J46:N46" si="68">+J47+J48+J49+J50</f>
        <v>342</v>
      </c>
      <c r="K46" s="51">
        <f t="shared" si="68"/>
        <v>0</v>
      </c>
      <c r="L46" s="51">
        <f t="shared" si="68"/>
        <v>0</v>
      </c>
      <c r="M46" s="51">
        <f t="shared" si="68"/>
        <v>0</v>
      </c>
      <c r="N46" s="51">
        <f t="shared" si="68"/>
        <v>0</v>
      </c>
    </row>
    <row r="47" spans="2:14" ht="21">
      <c r="B47" s="168" t="s">
        <v>121</v>
      </c>
      <c r="C47" s="325">
        <f>80+16.624</f>
        <v>96.623999999999995</v>
      </c>
      <c r="D47" s="325">
        <v>201</v>
      </c>
      <c r="E47" s="325"/>
      <c r="F47" s="325"/>
      <c r="G47" s="325">
        <v>120</v>
      </c>
      <c r="H47" s="325"/>
      <c r="I47" s="325"/>
      <c r="J47" s="325"/>
      <c r="K47" s="325"/>
      <c r="L47" s="325"/>
      <c r="M47" s="325"/>
      <c r="N47" s="325"/>
    </row>
    <row r="48" spans="2:14" ht="21">
      <c r="B48" s="168" t="s">
        <v>122</v>
      </c>
      <c r="C48" s="325">
        <v>280</v>
      </c>
      <c r="D48" s="325">
        <v>201</v>
      </c>
      <c r="E48" s="325">
        <v>250</v>
      </c>
      <c r="F48" s="325">
        <v>200</v>
      </c>
      <c r="G48" s="325">
        <v>121</v>
      </c>
      <c r="H48" s="325">
        <v>282</v>
      </c>
      <c r="I48" s="325">
        <v>201</v>
      </c>
      <c r="J48" s="325">
        <v>60</v>
      </c>
      <c r="K48" s="325"/>
      <c r="L48" s="325"/>
      <c r="M48" s="325"/>
      <c r="N48" s="325"/>
    </row>
    <row r="49" spans="2:16" ht="21">
      <c r="B49" s="168" t="s">
        <v>122</v>
      </c>
      <c r="C49" s="325">
        <v>180</v>
      </c>
      <c r="D49" s="325"/>
      <c r="E49" s="325"/>
      <c r="F49" s="325">
        <v>200</v>
      </c>
      <c r="G49" s="325">
        <v>160</v>
      </c>
      <c r="H49" s="325">
        <v>321</v>
      </c>
      <c r="I49" s="325">
        <v>402</v>
      </c>
      <c r="J49" s="325"/>
      <c r="K49" s="325"/>
      <c r="L49" s="325"/>
      <c r="M49" s="325"/>
      <c r="N49" s="325"/>
    </row>
    <row r="50" spans="2:16" ht="21">
      <c r="B50" s="168" t="s">
        <v>799</v>
      </c>
      <c r="C50" s="325"/>
      <c r="D50" s="325"/>
      <c r="E50" s="325"/>
      <c r="F50" s="325"/>
      <c r="G50" s="325">
        <v>160</v>
      </c>
      <c r="H50" s="325"/>
      <c r="I50" s="325"/>
      <c r="J50" s="325">
        <v>282</v>
      </c>
      <c r="K50" s="325"/>
      <c r="L50" s="325"/>
      <c r="M50" s="325"/>
      <c r="N50" s="325"/>
    </row>
    <row r="51" spans="2:16" ht="21">
      <c r="B51" s="168" t="s">
        <v>124</v>
      </c>
      <c r="C51" s="325">
        <v>161.376</v>
      </c>
      <c r="D51" s="325"/>
      <c r="E51" s="325"/>
      <c r="F51" s="325">
        <v>321</v>
      </c>
      <c r="G51" s="325">
        <v>201</v>
      </c>
      <c r="H51" s="325"/>
      <c r="I51" s="325"/>
      <c r="J51" s="325"/>
      <c r="K51" s="325"/>
      <c r="L51" s="325"/>
      <c r="M51" s="325"/>
      <c r="N51" s="325"/>
    </row>
    <row r="52" spans="2:16" ht="25.5">
      <c r="B52" s="541" t="s">
        <v>167</v>
      </c>
      <c r="C52" s="99">
        <f>(C48+C49+C50+D47)/C41</f>
        <v>0.90325225471440285</v>
      </c>
      <c r="D52" s="99">
        <f t="shared" ref="D52:N52" si="69">(D48+D49+D50+E47)/D41</f>
        <v>0.34950443401147629</v>
      </c>
      <c r="E52" s="99">
        <f t="shared" si="69"/>
        <v>0.39802579207132621</v>
      </c>
      <c r="F52" s="99">
        <f t="shared" si="69"/>
        <v>0.75101097631426927</v>
      </c>
      <c r="G52" s="99">
        <f t="shared" si="69"/>
        <v>0.52986975537078873</v>
      </c>
      <c r="H52" s="99">
        <f t="shared" si="69"/>
        <v>0.51301684532924963</v>
      </c>
      <c r="I52" s="99">
        <f t="shared" si="69"/>
        <v>0.62799416788169127</v>
      </c>
      <c r="J52" s="99" t="e">
        <f t="shared" si="69"/>
        <v>#DIV/0!</v>
      </c>
      <c r="K52" s="99" t="e">
        <f t="shared" si="69"/>
        <v>#DIV/0!</v>
      </c>
      <c r="L52" s="99" t="e">
        <f t="shared" si="69"/>
        <v>#DIV/0!</v>
      </c>
      <c r="M52" s="99" t="e">
        <f t="shared" si="69"/>
        <v>#DIV/0!</v>
      </c>
      <c r="N52" s="99" t="e">
        <f t="shared" si="69"/>
        <v>#DIV/0!</v>
      </c>
    </row>
    <row r="53" spans="2:16" ht="28.5">
      <c r="B53" s="540" t="s">
        <v>303</v>
      </c>
      <c r="C53" s="54">
        <f>AVERAGE(G52:I52)</f>
        <v>0.55696025619390988</v>
      </c>
      <c r="D53" s="54"/>
      <c r="E53" s="54"/>
      <c r="F53" s="54"/>
      <c r="G53" s="54"/>
      <c r="H53" s="54"/>
      <c r="I53" s="54"/>
      <c r="J53" s="54"/>
      <c r="K53" s="54"/>
      <c r="L53" s="54"/>
      <c r="M53" s="54"/>
      <c r="N53" s="54"/>
    </row>
    <row r="54" spans="2:16" ht="25.5">
      <c r="B54" s="541" t="s">
        <v>478</v>
      </c>
      <c r="C54" s="99">
        <f t="shared" ref="C54:N54" si="70">+C45/C20</f>
        <v>0.10558823529411765</v>
      </c>
      <c r="D54" s="99">
        <f t="shared" si="70"/>
        <v>8.0255540027949684E-2</v>
      </c>
      <c r="E54" s="99">
        <f t="shared" si="70"/>
        <v>4.9642573471008734E-2</v>
      </c>
      <c r="F54" s="99">
        <f t="shared" si="70"/>
        <v>0.13099563953488372</v>
      </c>
      <c r="G54" s="99">
        <f t="shared" si="70"/>
        <v>0.11719470932020917</v>
      </c>
      <c r="H54" s="99">
        <f t="shared" si="70"/>
        <v>9.4960629921259837E-2</v>
      </c>
      <c r="I54" s="99">
        <f t="shared" si="70"/>
        <v>9.2598280098280097E-2</v>
      </c>
      <c r="J54" s="99" t="e">
        <f t="shared" si="70"/>
        <v>#DIV/0!</v>
      </c>
      <c r="K54" s="99" t="e">
        <f t="shared" si="70"/>
        <v>#DIV/0!</v>
      </c>
      <c r="L54" s="99" t="e">
        <f t="shared" si="70"/>
        <v>#DIV/0!</v>
      </c>
      <c r="M54" s="99" t="e">
        <f t="shared" si="70"/>
        <v>#DIV/0!</v>
      </c>
      <c r="N54" s="99" t="e">
        <f t="shared" si="70"/>
        <v>#DIV/0!</v>
      </c>
    </row>
    <row r="55" spans="2:16" ht="25.5">
      <c r="B55" s="542" t="s">
        <v>384</v>
      </c>
      <c r="C55" s="534">
        <f>AVERAGE(G54:I54)</f>
        <v>0.10158453977991637</v>
      </c>
      <c r="D55" s="534"/>
      <c r="E55" s="534"/>
      <c r="F55" s="534"/>
      <c r="G55" s="534"/>
      <c r="H55" s="534"/>
      <c r="I55" s="534"/>
      <c r="J55" s="534"/>
      <c r="K55" s="534"/>
      <c r="L55" s="534"/>
      <c r="M55" s="534"/>
      <c r="N55" s="534"/>
      <c r="O55" s="534"/>
      <c r="P55" s="534"/>
    </row>
    <row r="56" spans="2:16" ht="25.5">
      <c r="B56" s="543" t="s">
        <v>176</v>
      </c>
      <c r="C56" s="355">
        <f>+C42*(100%-C52)</f>
        <v>2.4978117795000337E-2</v>
      </c>
      <c r="D56" s="355">
        <f t="shared" ref="D56:H56" si="71">+D42*(100%-D52)</f>
        <v>0.12469176071892894</v>
      </c>
      <c r="E56" s="355">
        <f t="shared" si="71"/>
        <v>0.11224906817792231</v>
      </c>
      <c r="F56" s="549">
        <f t="shared" si="71"/>
        <v>5.4782927857052695E-2</v>
      </c>
      <c r="G56" s="355">
        <f t="shared" si="71"/>
        <v>0.11472446081037753</v>
      </c>
      <c r="H56" s="355">
        <f t="shared" si="71"/>
        <v>0.14319318576504053</v>
      </c>
      <c r="I56" s="355">
        <f>+I42*(100%-I52)</f>
        <v>8.2618913598127341E-2</v>
      </c>
      <c r="J56" s="355" t="e">
        <f t="shared" ref="J56:N56" si="72">+J42*(100%-J52)</f>
        <v>#DIV/0!</v>
      </c>
      <c r="K56" s="355" t="e">
        <f t="shared" si="72"/>
        <v>#DIV/0!</v>
      </c>
      <c r="L56" s="355" t="e">
        <f t="shared" si="72"/>
        <v>#DIV/0!</v>
      </c>
      <c r="M56" s="355" t="e">
        <f t="shared" si="72"/>
        <v>#DIV/0!</v>
      </c>
      <c r="N56" s="355" t="e">
        <f t="shared" si="72"/>
        <v>#DIV/0!</v>
      </c>
    </row>
    <row r="57" spans="2:16" ht="25.5">
      <c r="B57" s="542" t="s">
        <v>306</v>
      </c>
      <c r="C57" s="534">
        <f>AVERAGE(G56:I56)</f>
        <v>0.11351218672451513</v>
      </c>
      <c r="D57" s="534"/>
      <c r="E57" s="534"/>
      <c r="F57" s="534"/>
      <c r="G57" s="534"/>
      <c r="H57" s="534"/>
      <c r="I57" s="534"/>
      <c r="J57" s="534"/>
      <c r="K57" s="534"/>
      <c r="L57" s="534"/>
      <c r="M57" s="534"/>
      <c r="N57" s="534"/>
      <c r="O57" s="534"/>
    </row>
    <row r="60" spans="2:16" ht="14.65" thickBot="1">
      <c r="B60" s="75" t="s">
        <v>307</v>
      </c>
    </row>
    <row r="61" spans="2:16" ht="14.65" thickBot="1">
      <c r="B61" s="82" t="s">
        <v>800</v>
      </c>
      <c r="C61" s="88">
        <v>2017</v>
      </c>
      <c r="D61" s="88">
        <v>2018</v>
      </c>
      <c r="E61" s="88">
        <v>2019</v>
      </c>
      <c r="F61" s="88">
        <v>2020</v>
      </c>
      <c r="G61" s="88">
        <v>2021</v>
      </c>
      <c r="H61" s="89">
        <v>2022</v>
      </c>
      <c r="I61" s="103">
        <v>2023</v>
      </c>
      <c r="J61" s="88">
        <v>2024</v>
      </c>
      <c r="K61" s="89">
        <v>2025</v>
      </c>
      <c r="L61" s="103">
        <v>2026</v>
      </c>
      <c r="M61" s="88">
        <v>2027</v>
      </c>
      <c r="N61" s="89">
        <v>2028</v>
      </c>
    </row>
    <row r="62" spans="2:16">
      <c r="B62" s="57" t="s">
        <v>309</v>
      </c>
      <c r="C62" s="179"/>
      <c r="D62" s="179"/>
      <c r="E62" s="179"/>
      <c r="F62" s="179"/>
      <c r="G62" s="179"/>
      <c r="H62" s="184"/>
      <c r="I62" s="104"/>
      <c r="J62" s="104"/>
      <c r="K62" s="104"/>
      <c r="L62" s="104"/>
      <c r="M62" s="104"/>
      <c r="N62" s="104"/>
    </row>
    <row r="63" spans="2:16">
      <c r="B63" s="58" t="s">
        <v>310</v>
      </c>
      <c r="C63" s="64">
        <v>44640083000</v>
      </c>
      <c r="D63" s="64">
        <v>51748620000</v>
      </c>
      <c r="E63" s="64">
        <v>51058194000</v>
      </c>
      <c r="F63" s="69">
        <v>50583038000</v>
      </c>
      <c r="G63" s="65">
        <v>68435717000</v>
      </c>
      <c r="H63" s="130">
        <v>79994205000</v>
      </c>
      <c r="I63" s="196">
        <v>72173954000</v>
      </c>
      <c r="J63" s="105"/>
      <c r="K63" s="105"/>
      <c r="L63" s="105"/>
      <c r="M63" s="105"/>
      <c r="N63" s="105"/>
    </row>
    <row r="64" spans="2:16">
      <c r="B64" s="59" t="s">
        <v>480</v>
      </c>
      <c r="C64" s="66">
        <v>4535438000</v>
      </c>
      <c r="D64" s="66">
        <v>4133207000</v>
      </c>
      <c r="E64" s="66">
        <v>6994928000</v>
      </c>
      <c r="F64" s="66">
        <v>9821981000</v>
      </c>
      <c r="G64" s="66">
        <v>9619677000</v>
      </c>
      <c r="H64" s="160">
        <v>7264794000</v>
      </c>
      <c r="I64" s="105">
        <v>9568228000</v>
      </c>
      <c r="J64" s="105"/>
      <c r="K64" s="105"/>
      <c r="L64" s="105"/>
      <c r="M64" s="105"/>
      <c r="N64" s="105"/>
    </row>
    <row r="65" spans="2:14">
      <c r="B65" s="59" t="s">
        <v>481</v>
      </c>
      <c r="C65" s="68">
        <v>0</v>
      </c>
      <c r="D65" s="66">
        <v>48919000</v>
      </c>
      <c r="E65" s="66">
        <v>351022000</v>
      </c>
      <c r="F65" s="66">
        <v>0</v>
      </c>
      <c r="G65" s="67">
        <v>42621000</v>
      </c>
      <c r="H65" s="131">
        <v>47963000</v>
      </c>
      <c r="I65" s="105">
        <v>6282000</v>
      </c>
      <c r="J65" s="105"/>
      <c r="K65" s="105"/>
      <c r="L65" s="105"/>
      <c r="M65" s="105"/>
      <c r="N65" s="105"/>
    </row>
    <row r="66" spans="2:14">
      <c r="B66" s="59" t="s">
        <v>482</v>
      </c>
      <c r="C66" s="68">
        <v>277969000</v>
      </c>
      <c r="D66" s="66">
        <v>314933000</v>
      </c>
      <c r="E66" s="66">
        <v>855583000</v>
      </c>
      <c r="F66" s="66">
        <v>1955367000</v>
      </c>
      <c r="G66" s="67">
        <v>934625000</v>
      </c>
      <c r="H66" s="131">
        <v>1575786000</v>
      </c>
      <c r="I66" s="105">
        <v>2982626000</v>
      </c>
      <c r="J66" s="105"/>
      <c r="K66" s="105"/>
      <c r="L66" s="105"/>
      <c r="M66" s="105"/>
      <c r="N66" s="105"/>
    </row>
    <row r="67" spans="2:14">
      <c r="B67" s="59" t="s">
        <v>483</v>
      </c>
      <c r="C67" s="66">
        <v>26762924000</v>
      </c>
      <c r="D67" s="66">
        <v>28296226000</v>
      </c>
      <c r="E67" s="66">
        <v>26984866000</v>
      </c>
      <c r="F67" s="66">
        <v>25321983000</v>
      </c>
      <c r="G67" s="67">
        <v>35197617000</v>
      </c>
      <c r="H67" s="131">
        <v>36821948000</v>
      </c>
      <c r="I67" s="105">
        <v>37244471000</v>
      </c>
      <c r="J67" s="105"/>
      <c r="K67" s="105"/>
      <c r="L67" s="105"/>
      <c r="M67" s="105"/>
      <c r="N67" s="105"/>
    </row>
    <row r="68" spans="2:14">
      <c r="B68" s="59" t="s">
        <v>484</v>
      </c>
      <c r="C68" s="66">
        <v>358179000</v>
      </c>
      <c r="D68" s="66">
        <v>278022000</v>
      </c>
      <c r="E68" s="66">
        <v>299445000</v>
      </c>
      <c r="F68" s="66">
        <v>131042000</v>
      </c>
      <c r="G68" s="132">
        <v>120748000</v>
      </c>
      <c r="H68" s="131">
        <v>236179000</v>
      </c>
      <c r="I68" s="105">
        <v>132217000</v>
      </c>
      <c r="J68" s="105"/>
      <c r="K68" s="105"/>
      <c r="L68" s="105"/>
      <c r="M68" s="105"/>
      <c r="N68" s="105"/>
    </row>
    <row r="69" spans="2:14">
      <c r="B69" s="59" t="s">
        <v>471</v>
      </c>
      <c r="C69" s="66">
        <v>12168489000</v>
      </c>
      <c r="D69" s="66">
        <v>17005078000</v>
      </c>
      <c r="E69" s="66">
        <v>13953753000</v>
      </c>
      <c r="F69" s="66">
        <v>12737373000</v>
      </c>
      <c r="G69" s="132">
        <v>20604346000</v>
      </c>
      <c r="H69" s="131">
        <v>31058784000</v>
      </c>
      <c r="I69" s="105">
        <v>21099348000</v>
      </c>
      <c r="J69" s="105"/>
      <c r="K69" s="105"/>
      <c r="L69" s="105"/>
      <c r="M69" s="105"/>
      <c r="N69" s="105"/>
    </row>
    <row r="70" spans="2:14">
      <c r="B70" s="59" t="s">
        <v>392</v>
      </c>
      <c r="C70" s="66">
        <v>365477000</v>
      </c>
      <c r="D70" s="66">
        <v>1562963000</v>
      </c>
      <c r="E70" s="66">
        <v>274146000</v>
      </c>
      <c r="F70" s="66">
        <v>39738000</v>
      </c>
      <c r="G70" s="132">
        <v>1489890000</v>
      </c>
      <c r="H70" s="131">
        <v>2749110000</v>
      </c>
      <c r="I70" s="105">
        <v>1140782000</v>
      </c>
      <c r="J70" s="105"/>
      <c r="K70" s="105"/>
      <c r="L70" s="105"/>
      <c r="M70" s="105"/>
      <c r="N70" s="105"/>
    </row>
    <row r="71" spans="2:14">
      <c r="B71" s="59" t="s">
        <v>485</v>
      </c>
      <c r="C71" s="66">
        <v>171607000</v>
      </c>
      <c r="D71" s="66">
        <v>109272000</v>
      </c>
      <c r="E71" s="66">
        <v>1344451000</v>
      </c>
      <c r="F71" s="66">
        <v>575554000</v>
      </c>
      <c r="G71" s="132">
        <v>426193000</v>
      </c>
      <c r="H71" s="131">
        <v>239641000</v>
      </c>
      <c r="I71" s="105">
        <v>0</v>
      </c>
      <c r="J71" s="105"/>
      <c r="K71" s="105"/>
      <c r="L71" s="105"/>
      <c r="M71" s="105"/>
      <c r="N71" s="105"/>
    </row>
    <row r="72" spans="2:14">
      <c r="B72" s="59" t="s">
        <v>317</v>
      </c>
      <c r="C72" s="131">
        <f t="shared" ref="C72:F72" si="73">+C63-C64-C65-C67-C68-C69-C70-C71-C66</f>
        <v>0</v>
      </c>
      <c r="D72" s="131">
        <f t="shared" si="73"/>
        <v>0</v>
      </c>
      <c r="E72" s="131">
        <f t="shared" si="73"/>
        <v>0</v>
      </c>
      <c r="F72" s="131">
        <f t="shared" si="73"/>
        <v>0</v>
      </c>
      <c r="G72" s="131">
        <f>+G63-G64-G65-G67-G68-G69-G70-G71-G66</f>
        <v>0</v>
      </c>
      <c r="H72" s="131">
        <f>+H63-H64-H65-H67-H68-H69-H70-H71-H66</f>
        <v>0</v>
      </c>
      <c r="I72" s="131">
        <f>+I63-I64-I65-I67-I68-I69-I70-I71-I66</f>
        <v>0</v>
      </c>
      <c r="J72" s="131">
        <f t="shared" ref="J72" si="74">+J63-J64-J65-J67-J68-J69-J70-J71-J66</f>
        <v>0</v>
      </c>
      <c r="K72" s="131">
        <f t="shared" ref="K72:N72" si="75">+K63-K64-K65-K67-K68-K69-K70-K71-K66</f>
        <v>0</v>
      </c>
      <c r="L72" s="131">
        <f t="shared" si="75"/>
        <v>0</v>
      </c>
      <c r="M72" s="131">
        <f t="shared" si="75"/>
        <v>0</v>
      </c>
      <c r="N72" s="131">
        <f t="shared" si="75"/>
        <v>0</v>
      </c>
    </row>
    <row r="73" spans="2:14">
      <c r="B73" s="58" t="s">
        <v>319</v>
      </c>
      <c r="C73" s="64">
        <v>88816009000</v>
      </c>
      <c r="D73" s="64">
        <v>93466454000</v>
      </c>
      <c r="E73" s="64">
        <v>105322368000</v>
      </c>
      <c r="F73" s="69">
        <v>118016585000</v>
      </c>
      <c r="G73" s="65">
        <v>126752725000</v>
      </c>
      <c r="H73" s="130">
        <v>144219758000</v>
      </c>
      <c r="I73" s="196">
        <v>153153586000</v>
      </c>
      <c r="J73" s="105"/>
      <c r="K73" s="105"/>
      <c r="L73" s="105"/>
      <c r="M73" s="105"/>
      <c r="N73" s="105"/>
    </row>
    <row r="74" spans="2:14">
      <c r="B74" s="59" t="s">
        <v>801</v>
      </c>
      <c r="C74" s="66">
        <v>9207000</v>
      </c>
      <c r="D74" s="66">
        <v>9207000</v>
      </c>
      <c r="E74" s="66">
        <v>9207000</v>
      </c>
      <c r="F74" s="66">
        <v>9207000</v>
      </c>
      <c r="G74" s="67">
        <v>9207000</v>
      </c>
      <c r="H74" s="131">
        <v>9207000</v>
      </c>
      <c r="I74" s="105">
        <v>8327000</v>
      </c>
      <c r="J74" s="105"/>
      <c r="K74" s="105"/>
      <c r="L74" s="105"/>
      <c r="M74" s="105"/>
      <c r="N74" s="105"/>
    </row>
    <row r="75" spans="2:14">
      <c r="B75" s="59" t="s">
        <v>721</v>
      </c>
      <c r="C75" s="66">
        <v>59572000</v>
      </c>
      <c r="D75" s="66">
        <v>32439000</v>
      </c>
      <c r="E75" s="66">
        <v>119321000</v>
      </c>
      <c r="F75" s="66">
        <v>76690000</v>
      </c>
      <c r="G75" s="67">
        <v>34890000</v>
      </c>
      <c r="H75" s="131">
        <v>12720000</v>
      </c>
      <c r="I75" s="105">
        <v>30019000</v>
      </c>
      <c r="J75" s="105"/>
      <c r="K75" s="105"/>
      <c r="L75" s="105"/>
      <c r="M75" s="105"/>
      <c r="N75" s="105"/>
    </row>
    <row r="76" spans="2:14">
      <c r="B76" s="59" t="s">
        <v>483</v>
      </c>
      <c r="C76" s="66">
        <v>38439720000</v>
      </c>
      <c r="D76" s="66">
        <v>38834724000</v>
      </c>
      <c r="E76" s="66">
        <v>46107643000</v>
      </c>
      <c r="F76" s="66">
        <v>55687095000</v>
      </c>
      <c r="G76" s="67">
        <v>61457255000</v>
      </c>
      <c r="H76" s="131">
        <v>68423347000</v>
      </c>
      <c r="I76" s="105">
        <v>70073165000</v>
      </c>
      <c r="J76" s="105"/>
      <c r="K76" s="105"/>
      <c r="L76" s="105"/>
      <c r="M76" s="105"/>
      <c r="N76" s="105"/>
    </row>
    <row r="77" spans="2:14">
      <c r="B77" s="59" t="s">
        <v>664</v>
      </c>
      <c r="C77" s="66"/>
      <c r="D77" s="66"/>
      <c r="E77" s="66"/>
      <c r="F77" s="68"/>
      <c r="G77" s="67">
        <v>114458000</v>
      </c>
      <c r="H77" s="131">
        <v>117676000</v>
      </c>
      <c r="I77" s="105">
        <v>87178000</v>
      </c>
      <c r="J77" s="105"/>
      <c r="K77" s="105"/>
      <c r="L77" s="105"/>
      <c r="M77" s="105"/>
      <c r="N77" s="105"/>
    </row>
    <row r="78" spans="2:14">
      <c r="B78" s="59" t="s">
        <v>398</v>
      </c>
      <c r="C78" s="66">
        <v>46762226000</v>
      </c>
      <c r="D78" s="66">
        <v>50722344000</v>
      </c>
      <c r="E78" s="66">
        <v>53483265000</v>
      </c>
      <c r="F78" s="66">
        <v>56737944000</v>
      </c>
      <c r="G78" s="132">
        <v>58467581000</v>
      </c>
      <c r="H78" s="197">
        <v>65998562000</v>
      </c>
      <c r="I78" s="105">
        <v>72244200000</v>
      </c>
      <c r="J78" s="105"/>
      <c r="K78" s="105"/>
      <c r="L78" s="105"/>
      <c r="M78" s="105"/>
      <c r="N78" s="105"/>
    </row>
    <row r="79" spans="2:14">
      <c r="B79" s="59" t="s">
        <v>802</v>
      </c>
      <c r="C79" s="66"/>
      <c r="D79" s="66"/>
      <c r="E79" s="66">
        <v>2124416000</v>
      </c>
      <c r="F79" s="66">
        <v>1844912000</v>
      </c>
      <c r="G79" s="132">
        <v>1623320000</v>
      </c>
      <c r="H79" s="197">
        <v>1383216000</v>
      </c>
      <c r="I79" s="105">
        <v>1573705000</v>
      </c>
      <c r="J79" s="105"/>
      <c r="K79" s="105"/>
      <c r="L79" s="105"/>
      <c r="M79" s="105"/>
      <c r="N79" s="105"/>
    </row>
    <row r="80" spans="2:14">
      <c r="B80" s="59" t="s">
        <v>399</v>
      </c>
      <c r="C80" s="66">
        <v>174401000</v>
      </c>
      <c r="D80" s="66">
        <v>166798000</v>
      </c>
      <c r="E80" s="66">
        <v>160782000</v>
      </c>
      <c r="F80" s="66">
        <v>154767000</v>
      </c>
      <c r="G80" s="132">
        <v>148751000</v>
      </c>
      <c r="H80" s="197">
        <v>142735000</v>
      </c>
      <c r="I80" s="105">
        <v>136720000</v>
      </c>
      <c r="J80" s="105"/>
      <c r="K80" s="105"/>
      <c r="L80" s="105"/>
      <c r="M80" s="105"/>
      <c r="N80" s="105"/>
    </row>
    <row r="81" spans="2:14">
      <c r="B81" s="59" t="s">
        <v>325</v>
      </c>
      <c r="C81" s="66">
        <v>3370883000</v>
      </c>
      <c r="D81" s="66">
        <v>3700942000</v>
      </c>
      <c r="E81" s="66">
        <v>3317734000</v>
      </c>
      <c r="F81" s="66">
        <v>3505970000</v>
      </c>
      <c r="G81" s="132">
        <v>4897263000</v>
      </c>
      <c r="H81" s="197">
        <v>8132295000</v>
      </c>
      <c r="I81" s="105">
        <v>9000272000</v>
      </c>
      <c r="J81" s="105"/>
      <c r="K81" s="105"/>
      <c r="L81" s="105"/>
      <c r="M81" s="105"/>
      <c r="N81" s="105"/>
    </row>
    <row r="82" spans="2:14">
      <c r="B82" s="59" t="s">
        <v>490</v>
      </c>
      <c r="C82" s="160">
        <f t="shared" ref="C82:G82" si="76">+C73-C76-C77-C75-C74-C78-C79-C80-C81</f>
        <v>0</v>
      </c>
      <c r="D82" s="160">
        <f t="shared" si="76"/>
        <v>0</v>
      </c>
      <c r="E82" s="160">
        <f t="shared" si="76"/>
        <v>0</v>
      </c>
      <c r="F82" s="160">
        <f t="shared" si="76"/>
        <v>0</v>
      </c>
      <c r="G82" s="160">
        <f t="shared" si="76"/>
        <v>0</v>
      </c>
      <c r="H82" s="160">
        <f>+H73-H76-H77-H75-H74-H78-H79-H80-H81</f>
        <v>0</v>
      </c>
      <c r="I82" s="160">
        <f>+I73-I76-I77-I75-I74-I78-I79-I80-I81</f>
        <v>0</v>
      </c>
      <c r="J82" s="160">
        <f t="shared" ref="J82:L82" si="77">+J73-J76-J77-J75-J74-J78-J79-J80-J81</f>
        <v>0</v>
      </c>
      <c r="K82" s="160">
        <f t="shared" si="77"/>
        <v>0</v>
      </c>
      <c r="L82" s="160">
        <f t="shared" si="77"/>
        <v>0</v>
      </c>
      <c r="M82" s="66">
        <f t="shared" ref="M82:N82" si="78">+M73-M76-M77-M75-M74-M78</f>
        <v>0</v>
      </c>
      <c r="N82" s="66">
        <f t="shared" si="78"/>
        <v>0</v>
      </c>
    </row>
    <row r="83" spans="2:14" ht="14.65" thickBot="1">
      <c r="B83" s="60" t="s">
        <v>329</v>
      </c>
      <c r="C83" s="70">
        <f t="shared" ref="C83:H83" si="79">+C73+C63</f>
        <v>133456092000</v>
      </c>
      <c r="D83" s="70">
        <f t="shared" si="79"/>
        <v>145215074000</v>
      </c>
      <c r="E83" s="70">
        <f t="shared" si="79"/>
        <v>156380562000</v>
      </c>
      <c r="F83" s="70">
        <f t="shared" si="79"/>
        <v>168599623000</v>
      </c>
      <c r="G83" s="70">
        <f t="shared" si="79"/>
        <v>195188442000</v>
      </c>
      <c r="H83" s="185">
        <f t="shared" si="79"/>
        <v>224213963000</v>
      </c>
      <c r="I83" s="106">
        <f>+I73+I63</f>
        <v>225327540000</v>
      </c>
      <c r="J83" s="106">
        <f t="shared" ref="J83:N83" si="80">+J73+J63</f>
        <v>0</v>
      </c>
      <c r="K83" s="106">
        <f t="shared" si="80"/>
        <v>0</v>
      </c>
      <c r="L83" s="106">
        <f t="shared" si="80"/>
        <v>0</v>
      </c>
      <c r="M83" s="106">
        <f t="shared" si="80"/>
        <v>0</v>
      </c>
      <c r="N83" s="106">
        <f t="shared" si="80"/>
        <v>0</v>
      </c>
    </row>
    <row r="84" spans="2:14" ht="14.65" thickBot="1">
      <c r="B84" s="61"/>
      <c r="C84" s="72"/>
      <c r="D84" s="72"/>
      <c r="E84" s="72"/>
      <c r="F84" s="72"/>
      <c r="G84" s="72"/>
      <c r="H84" s="186"/>
      <c r="I84" s="107"/>
      <c r="J84" s="107"/>
      <c r="K84" s="107"/>
      <c r="L84" s="107"/>
      <c r="M84" s="107"/>
      <c r="N84" s="107"/>
    </row>
    <row r="85" spans="2:14">
      <c r="B85" s="57" t="s">
        <v>330</v>
      </c>
      <c r="C85" s="62"/>
      <c r="D85" s="62"/>
      <c r="E85" s="62"/>
      <c r="F85" s="62"/>
      <c r="G85" s="62"/>
      <c r="H85" s="184"/>
      <c r="I85" s="104"/>
      <c r="J85" s="104"/>
      <c r="K85" s="104"/>
      <c r="L85" s="104"/>
      <c r="M85" s="104"/>
      <c r="N85" s="104"/>
    </row>
    <row r="86" spans="2:14">
      <c r="B86" s="58" t="s">
        <v>310</v>
      </c>
      <c r="C86" s="64">
        <v>25171161000</v>
      </c>
      <c r="D86" s="64">
        <v>33355611000</v>
      </c>
      <c r="E86" s="64">
        <v>30234595000</v>
      </c>
      <c r="F86" s="64">
        <v>35929291000</v>
      </c>
      <c r="G86" s="64">
        <v>51474344000</v>
      </c>
      <c r="H86" s="130">
        <v>54254703000</v>
      </c>
      <c r="I86" s="196">
        <v>54530324000</v>
      </c>
      <c r="J86" s="105"/>
      <c r="K86" s="105"/>
      <c r="L86" s="105"/>
      <c r="M86" s="105"/>
      <c r="N86" s="105"/>
    </row>
    <row r="87" spans="2:14">
      <c r="B87" s="59" t="s">
        <v>491</v>
      </c>
      <c r="C87" s="66">
        <v>4830387000</v>
      </c>
      <c r="D87" s="66">
        <v>10695023000</v>
      </c>
      <c r="E87" s="66">
        <v>10432266000</v>
      </c>
      <c r="F87" s="66">
        <v>8013255000</v>
      </c>
      <c r="G87" s="66">
        <v>14909942000</v>
      </c>
      <c r="H87" s="131">
        <v>20817020000</v>
      </c>
      <c r="I87" s="105">
        <v>22597198000</v>
      </c>
      <c r="J87" s="105"/>
      <c r="K87" s="105"/>
      <c r="L87" s="105"/>
      <c r="M87" s="105"/>
      <c r="N87" s="105"/>
    </row>
    <row r="88" spans="2:14">
      <c r="B88" s="59" t="s">
        <v>492</v>
      </c>
      <c r="C88" s="66"/>
      <c r="D88" s="66"/>
      <c r="E88" s="66">
        <v>385660000</v>
      </c>
      <c r="F88" s="66">
        <v>364476000</v>
      </c>
      <c r="G88">
        <v>395454000</v>
      </c>
      <c r="H88" s="131">
        <v>442618000</v>
      </c>
      <c r="I88" s="105">
        <v>470754000</v>
      </c>
      <c r="J88" s="105"/>
      <c r="K88" s="105"/>
      <c r="L88" s="105"/>
      <c r="M88" s="105"/>
      <c r="N88" s="105"/>
    </row>
    <row r="89" spans="2:14">
      <c r="B89" s="59" t="s">
        <v>405</v>
      </c>
      <c r="C89" s="66">
        <v>15234593000</v>
      </c>
      <c r="D89" s="66">
        <v>19629711000</v>
      </c>
      <c r="E89" s="66">
        <v>16063137000</v>
      </c>
      <c r="F89" s="66">
        <v>21718089000</v>
      </c>
      <c r="G89" s="66">
        <v>30224679000</v>
      </c>
      <c r="H89" s="131">
        <v>27299676000</v>
      </c>
      <c r="I89" s="105">
        <v>26006476000</v>
      </c>
      <c r="J89" s="105"/>
      <c r="K89" s="105"/>
      <c r="L89" s="105"/>
      <c r="M89" s="105"/>
      <c r="N89" s="105"/>
    </row>
    <row r="90" spans="2:14">
      <c r="B90" s="59" t="s">
        <v>494</v>
      </c>
      <c r="C90" s="66">
        <v>6147000</v>
      </c>
      <c r="D90" s="66">
        <v>6147000</v>
      </c>
      <c r="E90" s="66">
        <v>0</v>
      </c>
      <c r="F90" s="66">
        <v>25515000</v>
      </c>
      <c r="G90" s="66">
        <v>27086000</v>
      </c>
      <c r="H90" s="131">
        <v>30579000</v>
      </c>
      <c r="I90" s="105">
        <v>64216000</v>
      </c>
      <c r="J90" s="105"/>
      <c r="K90" s="105"/>
      <c r="L90" s="105"/>
      <c r="M90" s="105"/>
      <c r="N90" s="105"/>
    </row>
    <row r="91" spans="2:14">
      <c r="B91" s="59" t="s">
        <v>408</v>
      </c>
      <c r="C91" s="66">
        <v>1708596000</v>
      </c>
      <c r="D91" s="66">
        <v>40672000</v>
      </c>
      <c r="E91" s="66">
        <v>20976000</v>
      </c>
      <c r="F91" s="66">
        <v>2375089000</v>
      </c>
      <c r="G91" s="66">
        <v>2159000000</v>
      </c>
      <c r="H91" s="131">
        <v>187303000</v>
      </c>
      <c r="I91" s="105">
        <v>658448000</v>
      </c>
      <c r="J91" s="105"/>
      <c r="K91" s="105"/>
      <c r="L91" s="105"/>
      <c r="M91" s="105"/>
      <c r="N91" s="105"/>
    </row>
    <row r="92" spans="2:14">
      <c r="B92" s="59" t="s">
        <v>495</v>
      </c>
      <c r="C92" s="66">
        <v>3313638000</v>
      </c>
      <c r="D92" s="66">
        <v>2896514000</v>
      </c>
      <c r="E92" s="66">
        <v>3238440000</v>
      </c>
      <c r="F92" s="66">
        <v>3432867000</v>
      </c>
      <c r="G92" s="66">
        <v>3758183000</v>
      </c>
      <c r="H92" s="160">
        <v>5477507000</v>
      </c>
      <c r="I92" s="105">
        <v>4733232000</v>
      </c>
      <c r="J92" s="105"/>
      <c r="K92" s="105"/>
      <c r="L92" s="105"/>
      <c r="M92" s="105"/>
      <c r="N92" s="105"/>
    </row>
    <row r="93" spans="2:14">
      <c r="B93" s="59" t="s">
        <v>496</v>
      </c>
      <c r="C93" s="66">
        <v>77800000</v>
      </c>
      <c r="D93" s="66">
        <v>87544000</v>
      </c>
      <c r="E93" s="66">
        <v>94116000</v>
      </c>
      <c r="F93" s="66">
        <v>0</v>
      </c>
      <c r="G93" s="66"/>
      <c r="H93" s="197"/>
      <c r="I93" s="105"/>
      <c r="J93" s="105"/>
      <c r="K93" s="105"/>
      <c r="L93" s="105"/>
      <c r="M93" s="105"/>
      <c r="N93" s="105"/>
    </row>
    <row r="94" spans="2:14">
      <c r="B94" s="58" t="s">
        <v>319</v>
      </c>
      <c r="C94" s="64">
        <v>37799265000</v>
      </c>
      <c r="D94" s="64">
        <v>37574987000</v>
      </c>
      <c r="E94" s="64">
        <v>42463676000</v>
      </c>
      <c r="F94" s="64">
        <v>54410918000</v>
      </c>
      <c r="G94" s="64">
        <v>58881175000</v>
      </c>
      <c r="H94" s="130">
        <v>71128597000</v>
      </c>
      <c r="I94" s="196">
        <v>63201312000</v>
      </c>
      <c r="J94" s="105"/>
      <c r="K94" s="105"/>
      <c r="L94" s="105"/>
      <c r="M94" s="105"/>
      <c r="N94" s="105"/>
    </row>
    <row r="95" spans="2:14">
      <c r="B95" s="59" t="s">
        <v>497</v>
      </c>
      <c r="C95" s="66">
        <v>26814091000</v>
      </c>
      <c r="D95" s="66">
        <v>23152379000</v>
      </c>
      <c r="E95" s="66">
        <v>23016151000</v>
      </c>
      <c r="F95" s="66">
        <v>34417834000</v>
      </c>
      <c r="G95" s="66">
        <v>37871486000</v>
      </c>
      <c r="H95" s="131">
        <v>45916955000</v>
      </c>
      <c r="I95" s="105">
        <v>35908960000</v>
      </c>
      <c r="J95" s="105"/>
      <c r="K95" s="105"/>
      <c r="L95" s="105"/>
      <c r="M95" s="105"/>
      <c r="N95" s="105"/>
    </row>
    <row r="96" spans="2:14">
      <c r="B96" s="59" t="s">
        <v>498</v>
      </c>
      <c r="C96" s="66">
        <v>6657768000</v>
      </c>
      <c r="D96" s="66">
        <v>8766722000</v>
      </c>
      <c r="E96" s="66">
        <v>1821295000</v>
      </c>
      <c r="F96" s="66">
        <v>1525655000</v>
      </c>
      <c r="G96" s="66">
        <v>1288539000</v>
      </c>
      <c r="H96" s="131">
        <v>1017187000</v>
      </c>
      <c r="I96" s="105">
        <v>1179333000</v>
      </c>
      <c r="J96" s="105"/>
      <c r="K96" s="105"/>
      <c r="L96" s="105"/>
      <c r="M96" s="105"/>
      <c r="N96" s="105"/>
    </row>
    <row r="97" spans="2:14">
      <c r="B97" s="59" t="s">
        <v>672</v>
      </c>
      <c r="C97" s="66"/>
      <c r="D97" s="66"/>
      <c r="E97" s="66">
        <v>1067071000</v>
      </c>
      <c r="F97" s="66">
        <v>1153900000</v>
      </c>
      <c r="G97" s="66">
        <v>1257897000</v>
      </c>
      <c r="H97" s="131">
        <v>1449627000</v>
      </c>
      <c r="I97" s="105">
        <v>1549968000</v>
      </c>
      <c r="J97" s="105"/>
      <c r="K97" s="105"/>
      <c r="L97" s="105"/>
      <c r="M97" s="105"/>
      <c r="N97" s="105"/>
    </row>
    <row r="98" spans="2:14">
      <c r="B98" s="59" t="s">
        <v>499</v>
      </c>
      <c r="C98" s="66"/>
      <c r="D98" s="66"/>
      <c r="E98" s="66">
        <v>10974981000</v>
      </c>
      <c r="F98" s="66">
        <v>11344307000</v>
      </c>
      <c r="G98" s="66">
        <v>12341032000</v>
      </c>
      <c r="H98" s="197">
        <v>15534387000</v>
      </c>
      <c r="I98" s="105">
        <v>16613882000</v>
      </c>
      <c r="J98" s="105"/>
      <c r="K98" s="105"/>
      <c r="L98" s="105"/>
      <c r="M98" s="105"/>
      <c r="N98" s="105"/>
    </row>
    <row r="99" spans="2:14">
      <c r="B99" s="59" t="s">
        <v>529</v>
      </c>
      <c r="C99" s="66">
        <v>4183958000</v>
      </c>
      <c r="D99" s="66">
        <v>4588162000</v>
      </c>
      <c r="E99" s="66">
        <v>5547288000</v>
      </c>
      <c r="F99" s="66">
        <v>5931342000</v>
      </c>
      <c r="G99" s="66">
        <v>6081836000</v>
      </c>
      <c r="H99" s="66">
        <v>7206248000</v>
      </c>
      <c r="I99" s="66">
        <v>7771735000</v>
      </c>
      <c r="J99" s="66">
        <f t="shared" ref="J99" si="81">+J94-J95-J96-J97</f>
        <v>0</v>
      </c>
      <c r="K99" s="66">
        <f t="shared" ref="K99:N99" si="82">+K94-K95-K96-K97</f>
        <v>0</v>
      </c>
      <c r="L99" s="66">
        <f t="shared" si="82"/>
        <v>0</v>
      </c>
      <c r="M99" s="66">
        <f t="shared" si="82"/>
        <v>0</v>
      </c>
      <c r="N99" s="66">
        <f t="shared" si="82"/>
        <v>0</v>
      </c>
    </row>
    <row r="100" spans="2:14">
      <c r="B100" s="129" t="s">
        <v>500</v>
      </c>
      <c r="C100" s="133">
        <v>143448000</v>
      </c>
      <c r="D100" s="133">
        <v>1067724000</v>
      </c>
      <c r="E100" s="133">
        <v>36890000</v>
      </c>
      <c r="F100" s="133">
        <v>37880000</v>
      </c>
      <c r="G100" s="133">
        <v>40385000</v>
      </c>
      <c r="H100" s="133">
        <v>4190000</v>
      </c>
      <c r="I100" s="191">
        <v>177324000</v>
      </c>
      <c r="J100" s="191"/>
      <c r="K100" s="191"/>
      <c r="L100" s="191"/>
      <c r="M100" s="191"/>
      <c r="N100" s="191"/>
    </row>
    <row r="101" spans="2:14" ht="14.65" thickBot="1">
      <c r="B101" s="60" t="s">
        <v>342</v>
      </c>
      <c r="C101" s="70">
        <f t="shared" ref="C101:I101" si="83">+C94+C86</f>
        <v>62970426000</v>
      </c>
      <c r="D101" s="70">
        <f t="shared" si="83"/>
        <v>70930598000</v>
      </c>
      <c r="E101" s="70">
        <f t="shared" si="83"/>
        <v>72698271000</v>
      </c>
      <c r="F101" s="70">
        <f t="shared" si="83"/>
        <v>90340209000</v>
      </c>
      <c r="G101" s="70">
        <f t="shared" si="83"/>
        <v>110355519000</v>
      </c>
      <c r="H101" s="162">
        <f t="shared" si="83"/>
        <v>125383300000</v>
      </c>
      <c r="I101" s="162">
        <f t="shared" si="83"/>
        <v>117731636000</v>
      </c>
      <c r="J101" s="108"/>
      <c r="K101" s="108"/>
      <c r="L101" s="108"/>
      <c r="M101" s="108"/>
      <c r="N101" s="108"/>
    </row>
    <row r="102" spans="2:14" ht="14.65" thickBot="1"/>
    <row r="103" spans="2:14">
      <c r="B103" s="57" t="s">
        <v>343</v>
      </c>
      <c r="C103" s="62"/>
      <c r="D103" s="62"/>
      <c r="E103" s="62"/>
      <c r="F103" s="62"/>
      <c r="G103" s="62"/>
      <c r="H103" s="184"/>
      <c r="I103" s="104"/>
      <c r="J103" s="104"/>
      <c r="K103" s="104"/>
      <c r="L103" s="104"/>
      <c r="M103" s="104"/>
      <c r="N103" s="104"/>
    </row>
    <row r="104" spans="2:14">
      <c r="B104" s="59" t="s">
        <v>556</v>
      </c>
      <c r="C104" s="131">
        <v>36044065000</v>
      </c>
      <c r="D104" s="131">
        <v>36044065000</v>
      </c>
      <c r="E104" s="131">
        <v>36044065000</v>
      </c>
      <c r="F104" s="131">
        <v>36044065000</v>
      </c>
      <c r="G104" s="131">
        <v>36044065000</v>
      </c>
      <c r="H104" s="131">
        <v>36044065000</v>
      </c>
      <c r="I104" s="131">
        <v>36044065000</v>
      </c>
      <c r="J104" s="105"/>
      <c r="K104" s="105"/>
      <c r="L104" s="105"/>
      <c r="M104" s="105"/>
      <c r="N104" s="105"/>
    </row>
    <row r="105" spans="2:14">
      <c r="B105" s="59" t="s">
        <v>503</v>
      </c>
      <c r="C105" s="66">
        <v>2587945000</v>
      </c>
      <c r="D105" s="66">
        <v>2291007000</v>
      </c>
      <c r="E105" s="66">
        <v>2306409000</v>
      </c>
      <c r="F105" s="66">
        <v>1491356000</v>
      </c>
      <c r="G105" s="66">
        <v>2345142000</v>
      </c>
      <c r="H105" s="131">
        <v>2289267000</v>
      </c>
      <c r="I105" s="105">
        <v>2165175000</v>
      </c>
      <c r="J105" s="105"/>
      <c r="K105" s="105"/>
      <c r="L105" s="105"/>
      <c r="M105" s="105"/>
      <c r="N105" s="105"/>
    </row>
    <row r="106" spans="2:14">
      <c r="B106" s="59" t="s">
        <v>416</v>
      </c>
      <c r="C106" s="66">
        <v>31853650000</v>
      </c>
      <c r="D106" s="66">
        <v>35949398000</v>
      </c>
      <c r="E106" s="139">
        <v>45331811000</v>
      </c>
      <c r="F106" s="66">
        <v>40723987000</v>
      </c>
      <c r="G106" s="66">
        <v>46443710000</v>
      </c>
      <c r="H106" s="131">
        <v>60497328000</v>
      </c>
      <c r="I106" s="105">
        <v>69386658000</v>
      </c>
      <c r="J106" s="105"/>
      <c r="K106" s="105"/>
      <c r="L106" s="105"/>
      <c r="M106" s="105"/>
      <c r="N106" s="105"/>
    </row>
    <row r="107" spans="2:14">
      <c r="B107" s="59"/>
      <c r="C107" s="66"/>
      <c r="D107" s="66"/>
      <c r="E107" s="68"/>
      <c r="F107" s="66"/>
      <c r="G107" s="66"/>
      <c r="H107" s="131"/>
      <c r="I107" s="105"/>
      <c r="J107" s="105"/>
      <c r="K107" s="105"/>
      <c r="L107" s="105"/>
      <c r="M107" s="105"/>
      <c r="N107" s="105"/>
    </row>
    <row r="108" spans="2:14" ht="14.65" thickBot="1">
      <c r="B108" s="60" t="s">
        <v>504</v>
      </c>
      <c r="C108" s="218">
        <f t="shared" ref="C108:F108" si="84">+C104+C105+C106+C107</f>
        <v>70485660000</v>
      </c>
      <c r="D108" s="218">
        <f t="shared" si="84"/>
        <v>74284470000</v>
      </c>
      <c r="E108" s="218">
        <f t="shared" si="84"/>
        <v>83682285000</v>
      </c>
      <c r="F108" s="218">
        <f t="shared" si="84"/>
        <v>78259408000</v>
      </c>
      <c r="G108" s="218">
        <f>+G104+G105+G106+G107</f>
        <v>84832917000</v>
      </c>
      <c r="H108" s="218">
        <f>+H104+H105+H106+H107</f>
        <v>98830660000</v>
      </c>
      <c r="I108" s="218">
        <f>+I104+I105+I106+I107</f>
        <v>107595898000</v>
      </c>
      <c r="J108" s="191"/>
      <c r="K108" s="191"/>
      <c r="L108" s="191"/>
      <c r="M108" s="191"/>
      <c r="N108" s="191"/>
    </row>
    <row r="109" spans="2:14">
      <c r="B109" s="129" t="s">
        <v>505</v>
      </c>
      <c r="C109" s="133">
        <v>6</v>
      </c>
      <c r="D109" s="133">
        <v>6</v>
      </c>
      <c r="E109" s="133">
        <v>6</v>
      </c>
      <c r="F109" s="133">
        <v>6</v>
      </c>
      <c r="G109" s="133">
        <v>6</v>
      </c>
      <c r="H109" s="190">
        <v>6000</v>
      </c>
      <c r="I109" s="191">
        <v>6000</v>
      </c>
      <c r="J109" s="191"/>
      <c r="K109" s="191"/>
      <c r="L109" s="191"/>
      <c r="M109" s="191"/>
      <c r="N109" s="191"/>
    </row>
    <row r="110" spans="2:14" ht="14.65" thickBot="1">
      <c r="B110" s="60" t="s">
        <v>347</v>
      </c>
      <c r="C110" s="162">
        <f t="shared" ref="C110:F110" si="85">+C104+C106+C105+C109</f>
        <v>70485660006</v>
      </c>
      <c r="D110" s="162">
        <f t="shared" si="85"/>
        <v>74284470006</v>
      </c>
      <c r="E110" s="162">
        <f t="shared" si="85"/>
        <v>83682285006</v>
      </c>
      <c r="F110" s="162">
        <f t="shared" si="85"/>
        <v>78259408006</v>
      </c>
      <c r="G110" s="162">
        <f>+G104+G106+G105+G109</f>
        <v>84832917006</v>
      </c>
      <c r="H110" s="162">
        <f>+H104+H106+H105+H109</f>
        <v>98830666000</v>
      </c>
      <c r="I110" s="162">
        <f>+I104+I106+I105+I109</f>
        <v>107595904000</v>
      </c>
      <c r="J110" s="162">
        <f t="shared" ref="J110:N110" si="86">+J104+J106+J105+J109</f>
        <v>0</v>
      </c>
      <c r="K110" s="162">
        <f t="shared" si="86"/>
        <v>0</v>
      </c>
      <c r="L110" s="162">
        <f t="shared" si="86"/>
        <v>0</v>
      </c>
      <c r="M110" s="162">
        <f t="shared" si="86"/>
        <v>0</v>
      </c>
      <c r="N110" s="162">
        <f t="shared" si="86"/>
        <v>0</v>
      </c>
    </row>
    <row r="112" spans="2:14" ht="14.65" thickBot="1">
      <c r="B112" s="75" t="s">
        <v>348</v>
      </c>
    </row>
    <row r="113" spans="2:14" ht="14.65" thickBot="1">
      <c r="B113" s="82" t="s">
        <v>308</v>
      </c>
      <c r="C113" s="88">
        <v>2017</v>
      </c>
      <c r="D113" s="88">
        <v>2018</v>
      </c>
      <c r="E113" s="88">
        <v>2019</v>
      </c>
      <c r="F113" s="88">
        <v>2020</v>
      </c>
      <c r="G113" s="88">
        <v>2021</v>
      </c>
      <c r="H113" s="89">
        <v>2022</v>
      </c>
      <c r="I113" s="103">
        <v>2023</v>
      </c>
      <c r="J113" s="88">
        <v>2024</v>
      </c>
      <c r="K113" s="89">
        <v>2025</v>
      </c>
      <c r="L113" s="103">
        <v>2026</v>
      </c>
      <c r="M113" s="88">
        <v>2027</v>
      </c>
      <c r="N113" s="89">
        <v>2028</v>
      </c>
    </row>
    <row r="114" spans="2:14">
      <c r="B114" s="83" t="s">
        <v>349</v>
      </c>
      <c r="C114" s="90">
        <v>144252755000</v>
      </c>
      <c r="D114" s="90">
        <v>156501537000</v>
      </c>
      <c r="E114" s="90">
        <v>152021485000</v>
      </c>
      <c r="F114" s="90">
        <v>158134874000</v>
      </c>
      <c r="G114" s="90">
        <v>191127555000</v>
      </c>
      <c r="H114" s="195">
        <v>264695337000</v>
      </c>
      <c r="I114" s="410">
        <v>214648545000</v>
      </c>
      <c r="J114" s="110"/>
      <c r="K114" s="110"/>
      <c r="L114" s="110"/>
      <c r="M114" s="110"/>
      <c r="N114" s="110"/>
    </row>
    <row r="115" spans="2:14">
      <c r="B115" s="85" t="s">
        <v>507</v>
      </c>
      <c r="C115" s="66">
        <v>-93828657000</v>
      </c>
      <c r="D115" s="66">
        <v>-102439715000</v>
      </c>
      <c r="E115" s="66">
        <v>-96242504000</v>
      </c>
      <c r="F115" s="66">
        <v>-97987035000</v>
      </c>
      <c r="G115" s="66">
        <v>-125330471000</v>
      </c>
      <c r="H115" s="131">
        <v>-181755611000</v>
      </c>
      <c r="I115" s="105">
        <v>-137988518000</v>
      </c>
      <c r="J115" s="105"/>
      <c r="K115" s="105"/>
      <c r="L115" s="105"/>
      <c r="M115" s="105"/>
      <c r="N115" s="105"/>
    </row>
    <row r="116" spans="2:14">
      <c r="B116" s="86" t="s">
        <v>422</v>
      </c>
      <c r="C116" s="64">
        <f t="shared" ref="C116:F116" si="87">+C114+C115</f>
        <v>50424098000</v>
      </c>
      <c r="D116" s="64">
        <f>+D114+D115</f>
        <v>54061822000</v>
      </c>
      <c r="E116" s="64">
        <f t="shared" si="87"/>
        <v>55778981000</v>
      </c>
      <c r="F116" s="64">
        <f t="shared" si="87"/>
        <v>60147839000</v>
      </c>
      <c r="G116" s="64">
        <f>+G114+G115</f>
        <v>65797084000</v>
      </c>
      <c r="H116" s="141">
        <f t="shared" ref="H116:I116" si="88">+H114+H115</f>
        <v>82939726000</v>
      </c>
      <c r="I116" s="64">
        <f t="shared" si="88"/>
        <v>76660027000</v>
      </c>
      <c r="J116" s="64">
        <f t="shared" ref="J116:N116" si="89">+J114+J115</f>
        <v>0</v>
      </c>
      <c r="K116" s="64">
        <f t="shared" si="89"/>
        <v>0</v>
      </c>
      <c r="L116" s="64">
        <f t="shared" si="89"/>
        <v>0</v>
      </c>
      <c r="M116" s="64">
        <f t="shared" si="89"/>
        <v>0</v>
      </c>
      <c r="N116" s="64">
        <f t="shared" si="89"/>
        <v>0</v>
      </c>
    </row>
    <row r="117" spans="2:14">
      <c r="B117" s="85" t="s">
        <v>535</v>
      </c>
      <c r="C117" s="117">
        <v>7869752000</v>
      </c>
      <c r="D117" s="117">
        <v>185583000</v>
      </c>
      <c r="E117" s="117">
        <v>86089000</v>
      </c>
      <c r="F117" s="117">
        <v>10795000</v>
      </c>
      <c r="G117" s="117">
        <v>40034000</v>
      </c>
      <c r="H117" s="131">
        <v>553669000</v>
      </c>
      <c r="I117" s="105">
        <v>625211000</v>
      </c>
      <c r="J117" s="105"/>
      <c r="K117" s="105"/>
      <c r="L117" s="105"/>
      <c r="M117" s="105"/>
      <c r="N117" s="105"/>
    </row>
    <row r="118" spans="2:14">
      <c r="B118" s="85" t="s">
        <v>508</v>
      </c>
      <c r="C118" s="66">
        <v>-5464575000</v>
      </c>
      <c r="D118" s="66">
        <v>-5843867000</v>
      </c>
      <c r="E118" s="66">
        <v>-5733057000</v>
      </c>
      <c r="F118" s="117">
        <v>-6025303000</v>
      </c>
      <c r="G118" s="117">
        <v>-6377479000</v>
      </c>
      <c r="H118" s="131">
        <v>-8048500000</v>
      </c>
      <c r="I118" s="105">
        <v>-7965217000</v>
      </c>
      <c r="J118" s="105"/>
      <c r="K118" s="105"/>
      <c r="L118" s="105"/>
      <c r="M118" s="105"/>
      <c r="N118" s="105"/>
    </row>
    <row r="119" spans="2:14">
      <c r="B119" s="85" t="s">
        <v>509</v>
      </c>
      <c r="C119" s="66">
        <v>-11828346000</v>
      </c>
      <c r="D119" s="66">
        <v>-11536162000</v>
      </c>
      <c r="E119" s="66">
        <v>-10628607000</v>
      </c>
      <c r="F119" s="117">
        <v>-12489000000</v>
      </c>
      <c r="G119" s="117">
        <v>-31997694000</v>
      </c>
      <c r="H119" s="197">
        <v>-39841195000</v>
      </c>
      <c r="I119" s="105">
        <v>-39651149000</v>
      </c>
      <c r="J119" s="105"/>
      <c r="K119" s="105"/>
      <c r="L119" s="105"/>
      <c r="M119" s="105"/>
      <c r="N119" s="105"/>
    </row>
    <row r="120" spans="2:14">
      <c r="B120" s="85" t="s">
        <v>510</v>
      </c>
      <c r="C120" s="66">
        <v>-16913694000</v>
      </c>
      <c r="D120" s="66">
        <v>-16718948000</v>
      </c>
      <c r="E120" s="66">
        <v>-18628607000</v>
      </c>
      <c r="F120" s="117">
        <v>-19590721000</v>
      </c>
      <c r="G120" s="117">
        <v>-510990000</v>
      </c>
      <c r="H120" s="197">
        <v>-766625000</v>
      </c>
      <c r="I120" s="105">
        <v>-718220000</v>
      </c>
      <c r="J120" s="105"/>
      <c r="K120" s="105"/>
      <c r="L120" s="105"/>
      <c r="M120" s="105"/>
      <c r="N120" s="105"/>
    </row>
    <row r="121" spans="2:14">
      <c r="B121" s="85" t="s">
        <v>511</v>
      </c>
      <c r="C121" s="66">
        <v>-794268000</v>
      </c>
      <c r="D121" s="66">
        <v>-622499000</v>
      </c>
      <c r="E121" s="66">
        <v>-635170000</v>
      </c>
      <c r="F121" s="117">
        <v>-532486000</v>
      </c>
      <c r="G121" s="117">
        <v>-86501000</v>
      </c>
      <c r="H121" s="197">
        <v>-185466000</v>
      </c>
      <c r="I121" s="105">
        <v>-348470000</v>
      </c>
      <c r="J121" s="105"/>
      <c r="K121" s="105"/>
      <c r="L121" s="105"/>
      <c r="M121" s="105"/>
      <c r="N121" s="105"/>
    </row>
    <row r="122" spans="2:14">
      <c r="B122" s="86" t="s">
        <v>428</v>
      </c>
      <c r="C122" s="141">
        <f t="shared" ref="C122:G122" si="90">+C116+C118+C117+C119+C120+C121</f>
        <v>23292967000</v>
      </c>
      <c r="D122" s="141">
        <f t="shared" si="90"/>
        <v>19525929000</v>
      </c>
      <c r="E122" s="141">
        <f t="shared" si="90"/>
        <v>20239629000</v>
      </c>
      <c r="F122" s="141">
        <f t="shared" si="90"/>
        <v>21521124000</v>
      </c>
      <c r="G122" s="141">
        <f t="shared" si="90"/>
        <v>26864454000</v>
      </c>
      <c r="H122" s="141">
        <f>+H116+H118+H117+H119+H120+H121</f>
        <v>34651609000</v>
      </c>
      <c r="I122" s="141">
        <f>+I116+I118+I117+I119+I120+I121</f>
        <v>28602182000</v>
      </c>
      <c r="J122" s="141">
        <f t="shared" ref="J122:N122" si="91">+J116+J118+J117+J119+J120+J121</f>
        <v>0</v>
      </c>
      <c r="K122" s="141">
        <f t="shared" si="91"/>
        <v>0</v>
      </c>
      <c r="L122" s="141">
        <f t="shared" si="91"/>
        <v>0</v>
      </c>
      <c r="M122" s="141">
        <f t="shared" si="91"/>
        <v>0</v>
      </c>
      <c r="N122" s="141">
        <f t="shared" si="91"/>
        <v>0</v>
      </c>
    </row>
    <row r="123" spans="2:14">
      <c r="B123" s="85" t="s">
        <v>512</v>
      </c>
      <c r="C123" s="66">
        <v>1558891000</v>
      </c>
      <c r="D123" s="66">
        <v>1770481000</v>
      </c>
      <c r="E123" s="66">
        <v>1885295000</v>
      </c>
      <c r="F123" s="66">
        <v>1901381000</v>
      </c>
      <c r="G123" s="66">
        <v>2971633000</v>
      </c>
      <c r="H123" s="131">
        <v>3806705000</v>
      </c>
      <c r="I123" s="105">
        <v>4410454000</v>
      </c>
      <c r="J123" s="105"/>
      <c r="K123" s="105"/>
      <c r="L123" s="105"/>
      <c r="M123" s="105"/>
      <c r="N123" s="105"/>
    </row>
    <row r="124" spans="2:14">
      <c r="B124" s="85" t="s">
        <v>513</v>
      </c>
      <c r="C124" s="66">
        <v>-1387657000</v>
      </c>
      <c r="D124" s="66">
        <v>-1308041000</v>
      </c>
      <c r="E124" s="66">
        <v>-1230999000</v>
      </c>
      <c r="F124" s="66">
        <v>-1336373000</v>
      </c>
      <c r="G124" s="131">
        <v>-1677246000</v>
      </c>
      <c r="H124" s="131">
        <v>-2524757000</v>
      </c>
      <c r="I124" s="105">
        <v>-2840978000</v>
      </c>
      <c r="J124" s="105"/>
      <c r="K124" s="105"/>
      <c r="L124" s="105"/>
      <c r="M124" s="105"/>
      <c r="N124" s="105"/>
    </row>
    <row r="125" spans="2:14">
      <c r="B125" s="85" t="s">
        <v>432</v>
      </c>
      <c r="C125" s="66">
        <v>488001000</v>
      </c>
      <c r="D125" s="66">
        <v>-1314656000</v>
      </c>
      <c r="E125" s="66">
        <v>-532701000</v>
      </c>
      <c r="F125" s="66">
        <v>216038000</v>
      </c>
      <c r="G125" s="66">
        <v>-2357333000</v>
      </c>
      <c r="H125" s="131">
        <v>-2381589000</v>
      </c>
      <c r="I125" s="105">
        <v>-244041000</v>
      </c>
      <c r="J125" s="105"/>
      <c r="K125" s="105"/>
      <c r="L125" s="105"/>
      <c r="M125" s="105"/>
      <c r="N125" s="105"/>
    </row>
    <row r="126" spans="2:14">
      <c r="B126" s="85" t="s">
        <v>515</v>
      </c>
      <c r="C126" s="66">
        <v>259149000</v>
      </c>
      <c r="D126" s="66">
        <v>497198000</v>
      </c>
      <c r="E126" s="66">
        <v>419136000</v>
      </c>
      <c r="F126" s="66">
        <v>590973000</v>
      </c>
      <c r="G126" s="66">
        <v>1450798000</v>
      </c>
      <c r="H126" s="131">
        <v>3839986000</v>
      </c>
      <c r="I126" s="105">
        <v>1679961000</v>
      </c>
      <c r="J126" s="105"/>
      <c r="K126" s="105"/>
      <c r="L126" s="105"/>
      <c r="M126" s="105"/>
      <c r="N126" s="105"/>
    </row>
    <row r="127" spans="2:14">
      <c r="B127" s="85"/>
      <c r="C127" s="66"/>
      <c r="D127" s="66"/>
      <c r="E127" s="66"/>
      <c r="F127" s="66"/>
      <c r="G127" s="66"/>
      <c r="H127" s="131"/>
      <c r="I127" s="105"/>
      <c r="J127" s="105"/>
      <c r="K127" s="105"/>
      <c r="L127" s="105"/>
      <c r="M127" s="105"/>
      <c r="N127" s="105"/>
    </row>
    <row r="128" spans="2:14">
      <c r="B128" s="86" t="s">
        <v>362</v>
      </c>
      <c r="C128" s="64">
        <v>24211351000</v>
      </c>
      <c r="D128" s="64">
        <v>19170911000</v>
      </c>
      <c r="E128" s="64">
        <v>20952370000</v>
      </c>
      <c r="F128" s="64">
        <v>22902143000</v>
      </c>
      <c r="G128" s="64">
        <v>27252306000</v>
      </c>
      <c r="H128" s="130">
        <v>37391954000</v>
      </c>
      <c r="I128" s="105">
        <v>31607578000</v>
      </c>
      <c r="J128" s="105"/>
      <c r="K128" s="105"/>
      <c r="L128" s="105"/>
      <c r="M128" s="105"/>
      <c r="N128" s="105"/>
    </row>
    <row r="129" spans="2:14">
      <c r="B129" s="85" t="s">
        <v>363</v>
      </c>
      <c r="C129" s="66">
        <v>-5917800000</v>
      </c>
      <c r="D129" s="66">
        <v>-4869184000</v>
      </c>
      <c r="E129" s="66">
        <v>-5334430000</v>
      </c>
      <c r="F129" s="66">
        <v>-5683394000</v>
      </c>
      <c r="G129" s="91">
        <v>-6525445000</v>
      </c>
      <c r="H129" s="131">
        <v>-8139465000</v>
      </c>
      <c r="I129" s="105">
        <v>-7711565000</v>
      </c>
      <c r="J129" s="105"/>
      <c r="K129" s="105"/>
      <c r="L129" s="105"/>
      <c r="M129" s="105"/>
      <c r="N129" s="105"/>
    </row>
    <row r="130" spans="2:14" ht="28.5">
      <c r="B130" s="87" t="s">
        <v>516</v>
      </c>
      <c r="C130" s="66">
        <v>18197831000</v>
      </c>
      <c r="D130" s="66">
        <v>14239392000</v>
      </c>
      <c r="E130" s="66">
        <v>15604088000</v>
      </c>
      <c r="F130" s="66">
        <v>17218749000</v>
      </c>
      <c r="G130" s="91">
        <v>20701520000</v>
      </c>
      <c r="H130" s="131">
        <v>29060301000</v>
      </c>
      <c r="I130" s="105">
        <v>23896013000</v>
      </c>
      <c r="J130" s="105"/>
      <c r="K130" s="105"/>
      <c r="L130" s="105"/>
      <c r="M130" s="105"/>
      <c r="N130" s="105"/>
    </row>
    <row r="131" spans="2:14" ht="28.5">
      <c r="B131" s="87" t="s">
        <v>435</v>
      </c>
      <c r="C131" s="66"/>
      <c r="D131" s="66"/>
      <c r="E131" s="66"/>
      <c r="F131" s="66"/>
      <c r="G131" s="91">
        <v>0</v>
      </c>
      <c r="H131" s="131">
        <v>0</v>
      </c>
      <c r="I131" s="105">
        <v>0</v>
      </c>
      <c r="J131" s="105"/>
      <c r="K131" s="105"/>
      <c r="L131" s="105"/>
      <c r="M131" s="105"/>
      <c r="N131" s="105"/>
    </row>
    <row r="132" spans="2:14">
      <c r="B132" s="84" t="s">
        <v>365</v>
      </c>
      <c r="C132" s="64">
        <f t="shared" ref="C132:E132" si="92">+C130+C131</f>
        <v>18197831000</v>
      </c>
      <c r="D132" s="64">
        <f t="shared" si="92"/>
        <v>14239392000</v>
      </c>
      <c r="E132" s="64">
        <f t="shared" si="92"/>
        <v>15604088000</v>
      </c>
      <c r="F132" s="64">
        <f>+F130+F131</f>
        <v>17218749000</v>
      </c>
      <c r="G132" s="64">
        <f>+G130+G131</f>
        <v>20701520000</v>
      </c>
      <c r="H132" s="64">
        <f>+H130+H131</f>
        <v>29060301000</v>
      </c>
      <c r="I132" s="196">
        <v>23896013000</v>
      </c>
      <c r="J132" s="105"/>
      <c r="K132" s="105"/>
      <c r="L132" s="105"/>
      <c r="M132" s="105"/>
      <c r="N132" s="105"/>
    </row>
    <row r="133" spans="2:14">
      <c r="B133" s="84" t="s">
        <v>366</v>
      </c>
      <c r="C133" s="111">
        <f>0.7318*1000</f>
        <v>731.8</v>
      </c>
      <c r="D133" s="111">
        <f>0.5751*1000</f>
        <v>575.09999999999991</v>
      </c>
      <c r="E133" s="111">
        <f>0.6281*1000</f>
        <v>628.1</v>
      </c>
      <c r="F133" s="134">
        <f>0.6924*1000</f>
        <v>692.4</v>
      </c>
      <c r="G133" s="134">
        <f>0.83228*1000</f>
        <v>832.28</v>
      </c>
      <c r="H133" s="220">
        <f>1.1754*1000</f>
        <v>1175.4000000000001</v>
      </c>
      <c r="I133" s="452">
        <f>0.9602*1000</f>
        <v>960.2</v>
      </c>
      <c r="J133" s="201"/>
      <c r="K133" s="201"/>
      <c r="L133" s="201"/>
      <c r="M133" s="201"/>
      <c r="N133" s="201"/>
    </row>
    <row r="134" spans="2:14">
      <c r="C134" s="66"/>
      <c r="D134" s="66"/>
      <c r="E134" s="66"/>
      <c r="F134" s="66"/>
      <c r="G134" s="66"/>
      <c r="H134" s="67"/>
      <c r="I134" s="105"/>
      <c r="J134" s="105"/>
      <c r="K134" s="105"/>
      <c r="L134" s="105"/>
      <c r="M134" s="105"/>
      <c r="N134" s="105"/>
    </row>
    <row r="135" spans="2:14" ht="14.65" thickBot="1">
      <c r="B135" s="75" t="s">
        <v>367</v>
      </c>
    </row>
    <row r="136" spans="2:14" ht="14.65" thickBot="1">
      <c r="B136" s="82" t="s">
        <v>308</v>
      </c>
      <c r="C136" s="88">
        <v>2017</v>
      </c>
      <c r="D136" s="88">
        <v>2018</v>
      </c>
      <c r="E136" s="88">
        <v>2019</v>
      </c>
      <c r="F136" s="88">
        <v>2020</v>
      </c>
      <c r="G136" s="88">
        <v>2021</v>
      </c>
      <c r="H136" s="89">
        <v>2022</v>
      </c>
      <c r="I136" s="103">
        <v>2023</v>
      </c>
      <c r="J136" s="88">
        <v>2024</v>
      </c>
      <c r="K136" s="89">
        <v>2025</v>
      </c>
      <c r="L136" s="103">
        <v>2026</v>
      </c>
      <c r="M136" s="88">
        <v>2027</v>
      </c>
      <c r="N136" s="89">
        <v>2028</v>
      </c>
    </row>
    <row r="137" spans="2:14">
      <c r="B137" s="83" t="s">
        <v>368</v>
      </c>
      <c r="C137" s="90">
        <v>25759958000</v>
      </c>
      <c r="D137" s="90">
        <v>18635096000</v>
      </c>
      <c r="E137" s="90">
        <v>27042115000</v>
      </c>
      <c r="F137" s="90">
        <v>33298619000</v>
      </c>
      <c r="G137" s="90">
        <v>21859158000</v>
      </c>
      <c r="H137" s="195">
        <v>15979194000</v>
      </c>
      <c r="I137" s="410">
        <v>40573026000</v>
      </c>
      <c r="J137" s="202"/>
      <c r="K137" s="202"/>
      <c r="L137" s="202"/>
      <c r="M137" s="202"/>
      <c r="N137" s="202"/>
    </row>
    <row r="138" spans="2:14">
      <c r="B138" s="86" t="s">
        <v>369</v>
      </c>
      <c r="C138" s="91">
        <v>-3094499000</v>
      </c>
      <c r="D138" s="93">
        <v>-9379978000</v>
      </c>
      <c r="E138" s="93">
        <v>-16001214000</v>
      </c>
      <c r="F138" s="66">
        <v>-21552294000</v>
      </c>
      <c r="G138" s="93">
        <v>-11679815000</v>
      </c>
      <c r="H138" s="131">
        <v>-14192621000</v>
      </c>
      <c r="I138" s="105">
        <v>-12596763000</v>
      </c>
      <c r="J138" s="203"/>
      <c r="K138" s="203"/>
      <c r="L138" s="203"/>
      <c r="M138" s="203"/>
      <c r="N138" s="203"/>
    </row>
    <row r="139" spans="2:14">
      <c r="B139" s="85" t="s">
        <v>370</v>
      </c>
      <c r="C139" s="93">
        <v>-3222158000</v>
      </c>
      <c r="D139" s="93">
        <v>-9230468000</v>
      </c>
      <c r="E139" s="93">
        <v>-14787595000</v>
      </c>
      <c r="F139" s="93">
        <v>-21642823000</v>
      </c>
      <c r="G139" s="93">
        <v>-11335821000</v>
      </c>
      <c r="H139" s="131">
        <v>-12532905000</v>
      </c>
      <c r="I139" s="105">
        <v>-12834336000</v>
      </c>
      <c r="J139" s="203"/>
      <c r="K139" s="203"/>
      <c r="L139" s="203"/>
      <c r="M139" s="203"/>
      <c r="N139" s="203"/>
    </row>
    <row r="140" spans="2:14">
      <c r="B140" s="86" t="s">
        <v>372</v>
      </c>
      <c r="C140" s="120">
        <v>-23942095000</v>
      </c>
      <c r="D140" s="120">
        <v>-9848056000</v>
      </c>
      <c r="E140" s="64">
        <v>-8180089000</v>
      </c>
      <c r="F140" s="120">
        <v>-8927377000</v>
      </c>
      <c r="G140" s="120">
        <v>-10380523000</v>
      </c>
      <c r="H140" s="130">
        <v>-4141385000</v>
      </c>
      <c r="I140" s="105">
        <v>-25675497000</v>
      </c>
      <c r="J140" s="203"/>
      <c r="K140" s="203"/>
      <c r="L140" s="203"/>
      <c r="M140" s="203"/>
      <c r="N140" s="203"/>
    </row>
    <row r="141" spans="2:14">
      <c r="B141" s="85" t="s">
        <v>517</v>
      </c>
      <c r="C141" s="93">
        <v>-17796502000</v>
      </c>
      <c r="D141" s="93">
        <v>-9848056000</v>
      </c>
      <c r="E141" s="66">
        <v>-6294777000</v>
      </c>
      <c r="F141" s="93">
        <v>-17673643000</v>
      </c>
      <c r="G141" s="93">
        <v>-18831579000</v>
      </c>
      <c r="H141" s="131">
        <v>-13032991000</v>
      </c>
      <c r="I141" s="105">
        <v>-13810895000</v>
      </c>
      <c r="J141" s="203"/>
      <c r="K141" s="203"/>
      <c r="L141" s="203"/>
      <c r="M141" s="203"/>
      <c r="N141" s="203"/>
    </row>
    <row r="142" spans="2:14">
      <c r="B142" s="85" t="s">
        <v>374</v>
      </c>
      <c r="C142" s="105">
        <v>0</v>
      </c>
      <c r="D142" s="105">
        <v>0</v>
      </c>
      <c r="E142" s="105">
        <v>0</v>
      </c>
      <c r="F142" s="105">
        <v>0</v>
      </c>
      <c r="G142" s="105">
        <v>0</v>
      </c>
      <c r="H142" s="105">
        <v>0</v>
      </c>
      <c r="I142" s="105">
        <v>0</v>
      </c>
      <c r="J142" s="203"/>
      <c r="K142" s="203"/>
      <c r="L142" s="203"/>
      <c r="M142" s="203"/>
      <c r="N142" s="203"/>
    </row>
    <row r="143" spans="2:14">
      <c r="B143" s="86" t="s">
        <v>375</v>
      </c>
      <c r="C143" s="64">
        <v>4535438000</v>
      </c>
      <c r="D143" s="64">
        <v>4133207000</v>
      </c>
      <c r="E143" s="64">
        <v>6994928000</v>
      </c>
      <c r="F143" s="64">
        <v>9821981000</v>
      </c>
      <c r="G143" s="64">
        <v>9619677000</v>
      </c>
      <c r="H143" s="130">
        <v>7264794000</v>
      </c>
      <c r="I143" s="196">
        <v>9568228000</v>
      </c>
      <c r="J143" s="203"/>
      <c r="K143" s="203"/>
      <c r="L143" s="203"/>
      <c r="M143" s="203"/>
      <c r="N143" s="203"/>
    </row>
    <row r="144" spans="2:14">
      <c r="B144" s="85"/>
      <c r="C144" s="66"/>
      <c r="D144" s="66"/>
      <c r="E144" s="66"/>
      <c r="F144" s="66"/>
      <c r="G144" s="66"/>
      <c r="H144" s="131"/>
      <c r="I144" s="105"/>
      <c r="J144" s="203"/>
      <c r="K144" s="203"/>
      <c r="L144" s="203"/>
      <c r="M144" s="203"/>
      <c r="N144" s="203"/>
    </row>
    <row r="145" spans="2:14">
      <c r="B145" s="84" t="s">
        <v>376</v>
      </c>
      <c r="C145" s="105">
        <f t="shared" ref="C145:H145" si="93">+C137+C139+C142</f>
        <v>22537800000</v>
      </c>
      <c r="D145" s="105">
        <f t="shared" si="93"/>
        <v>9404628000</v>
      </c>
      <c r="E145" s="105">
        <f t="shared" si="93"/>
        <v>12254520000</v>
      </c>
      <c r="F145" s="105">
        <f t="shared" si="93"/>
        <v>11655796000</v>
      </c>
      <c r="G145" s="105">
        <f t="shared" si="93"/>
        <v>10523337000</v>
      </c>
      <c r="H145" s="105">
        <f t="shared" si="93"/>
        <v>3446289000</v>
      </c>
      <c r="I145" s="105">
        <f>+I137+I139+I142</f>
        <v>27738690000</v>
      </c>
      <c r="J145" s="105">
        <f t="shared" ref="J145:N145" si="94">+J137+J139+J142</f>
        <v>0</v>
      </c>
      <c r="K145" s="105">
        <f t="shared" si="94"/>
        <v>0</v>
      </c>
      <c r="L145" s="105">
        <f t="shared" si="94"/>
        <v>0</v>
      </c>
      <c r="M145" s="105">
        <f t="shared" si="94"/>
        <v>0</v>
      </c>
      <c r="N145" s="105">
        <f t="shared" si="94"/>
        <v>0</v>
      </c>
    </row>
  </sheetData>
  <conditionalFormatting sqref="C62:I64 D65:I66 C67:G87 H67:I88 C88:F88 C89:I101 C103:I106 C107:D107 F107:I107 C108:I110">
    <cfRule type="cellIs" dxfId="64" priority="17" operator="lessThan">
      <formula>0</formula>
    </cfRule>
  </conditionalFormatting>
  <conditionalFormatting sqref="C114:N134">
    <cfRule type="cellIs" dxfId="63" priority="2" operator="lessThan">
      <formula>0</formula>
    </cfRule>
  </conditionalFormatting>
  <conditionalFormatting sqref="C137:N145">
    <cfRule type="cellIs" dxfId="62" priority="1" operator="lessThan">
      <formula>0</formula>
    </cfRule>
  </conditionalFormatting>
  <conditionalFormatting sqref="J62:N101 J103:N110">
    <cfRule type="cellIs" dxfId="61" priority="3" operator="lessThan">
      <formula>0</formula>
    </cfRule>
  </conditionalFormatting>
  <pageMargins left="0.7" right="0.7" top="0.75" bottom="0.75" header="0.3" footer="0.3"/>
  <pageSetup paperSize="9" orientation="portrait" r:id="rId1"/>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C9799-0AE3-400F-8FBC-9A20FD60C577}">
  <dimension ref="B2:P155"/>
  <sheetViews>
    <sheetView zoomScale="55" zoomScaleNormal="55" workbookViewId="0">
      <pane xSplit="2" ySplit="6" topLeftCell="E26" activePane="bottomRight" state="frozen"/>
      <selection pane="bottomRight" activeCell="E48" sqref="E48"/>
      <selection pane="bottomLeft" activeCell="A7" sqref="A7"/>
      <selection pane="topRight" activeCell="C1" sqref="C1"/>
    </sheetView>
  </sheetViews>
  <sheetFormatPr defaultColWidth="10.7109375" defaultRowHeight="12.75"/>
  <cols>
    <col min="1" max="1" width="4.42578125" style="855" customWidth="1"/>
    <col min="2" max="2" width="71.42578125" style="855" bestFit="1" customWidth="1"/>
    <col min="3" max="3" width="19.5703125" style="855" bestFit="1" customWidth="1"/>
    <col min="4" max="4" width="29.85546875" style="855" bestFit="1" customWidth="1"/>
    <col min="5" max="5" width="28.5703125" style="855" bestFit="1" customWidth="1"/>
    <col min="6" max="10" width="19.5703125" style="855" bestFit="1" customWidth="1"/>
    <col min="11" max="11" width="22.140625" style="855" customWidth="1"/>
    <col min="12" max="14" width="9.140625" style="855" bestFit="1" customWidth="1"/>
    <col min="15" max="16384" width="10.7109375" style="855"/>
  </cols>
  <sheetData>
    <row r="2" spans="2:14" ht="13.15">
      <c r="B2" s="852">
        <f ca="1">TODAY()-1</f>
        <v>46105</v>
      </c>
      <c r="C2" s="853"/>
      <c r="D2" s="854" t="s">
        <v>518</v>
      </c>
      <c r="E2" s="854" t="s">
        <v>266</v>
      </c>
    </row>
    <row r="3" spans="2:14">
      <c r="B3" s="856" cm="1">
        <f t="array" aca="1" ref="B3" ca="1">_FV(B6,"Precio")</f>
        <v>3755</v>
      </c>
      <c r="C3" s="857"/>
      <c r="D3" s="858">
        <f>AVERAGE(H45:J45)</f>
        <v>28.413333333333338</v>
      </c>
      <c r="E3" s="858">
        <f>AVERAGE(H44:J44)</f>
        <v>28.413333333333338</v>
      </c>
    </row>
    <row r="4" spans="2:14" ht="13.15">
      <c r="B4" s="859"/>
      <c r="C4" s="860"/>
      <c r="D4" s="861"/>
      <c r="E4" s="861"/>
    </row>
    <row r="6" spans="2:14" ht="13.15">
      <c r="B6" s="862" t="e" vm="47">
        <v>#VALUE!</v>
      </c>
      <c r="C6" s="862">
        <v>2017</v>
      </c>
      <c r="D6" s="862">
        <v>2018</v>
      </c>
      <c r="E6" s="862">
        <v>2019</v>
      </c>
      <c r="F6" s="862">
        <v>2020</v>
      </c>
      <c r="G6" s="862">
        <v>2021</v>
      </c>
      <c r="H6" s="862">
        <v>2022</v>
      </c>
      <c r="I6" s="862">
        <v>2023</v>
      </c>
      <c r="J6" s="862">
        <v>2024</v>
      </c>
      <c r="K6" s="862">
        <v>2025</v>
      </c>
      <c r="L6" s="862">
        <v>2026</v>
      </c>
      <c r="M6" s="862">
        <v>2027</v>
      </c>
      <c r="N6" s="862">
        <v>2028</v>
      </c>
    </row>
    <row r="7" spans="2:14">
      <c r="B7" s="863" t="s">
        <v>267</v>
      </c>
      <c r="C7" s="864">
        <f>+C68</f>
        <v>0</v>
      </c>
      <c r="D7" s="864">
        <f t="shared" ref="D7:N7" si="0">+D68</f>
        <v>198273854000</v>
      </c>
      <c r="E7" s="864">
        <f t="shared" si="0"/>
        <v>137888613000</v>
      </c>
      <c r="F7" s="864">
        <f t="shared" si="0"/>
        <v>307383127000</v>
      </c>
      <c r="G7" s="864">
        <f t="shared" si="0"/>
        <v>233653186000</v>
      </c>
      <c r="H7" s="864">
        <f t="shared" si="0"/>
        <v>507259063000</v>
      </c>
      <c r="I7" s="864">
        <f t="shared" si="0"/>
        <v>435126875000</v>
      </c>
      <c r="J7" s="864">
        <f t="shared" si="0"/>
        <v>405013316000</v>
      </c>
      <c r="K7" s="864">
        <f t="shared" si="0"/>
        <v>472143023000</v>
      </c>
      <c r="L7" s="864">
        <f t="shared" si="0"/>
        <v>0</v>
      </c>
      <c r="M7" s="864">
        <f t="shared" si="0"/>
        <v>0</v>
      </c>
      <c r="N7" s="864">
        <f t="shared" si="0"/>
        <v>0</v>
      </c>
    </row>
    <row r="8" spans="2:14">
      <c r="B8" s="865" t="s">
        <v>377</v>
      </c>
      <c r="C8" s="866">
        <f>+C72</f>
        <v>0</v>
      </c>
      <c r="D8" s="866">
        <f t="shared" ref="D8:N8" si="1">+D72</f>
        <v>60938501000</v>
      </c>
      <c r="E8" s="866">
        <f t="shared" si="1"/>
        <v>65826632000</v>
      </c>
      <c r="F8" s="866">
        <f t="shared" si="1"/>
        <v>66304556000</v>
      </c>
      <c r="G8" s="866">
        <f t="shared" si="1"/>
        <v>74487937000</v>
      </c>
      <c r="H8" s="866">
        <f t="shared" si="1"/>
        <v>99532590000</v>
      </c>
      <c r="I8" s="866">
        <f t="shared" si="1"/>
        <v>109044234000</v>
      </c>
      <c r="J8" s="866">
        <f t="shared" si="1"/>
        <v>19565384000</v>
      </c>
      <c r="K8" s="866">
        <f t="shared" si="1"/>
        <v>122369806000</v>
      </c>
      <c r="L8" s="866">
        <f t="shared" si="1"/>
        <v>0</v>
      </c>
      <c r="M8" s="866">
        <f t="shared" si="1"/>
        <v>0</v>
      </c>
      <c r="N8" s="866">
        <f t="shared" si="1"/>
        <v>0</v>
      </c>
    </row>
    <row r="9" spans="2:14">
      <c r="B9" s="865" t="s">
        <v>378</v>
      </c>
      <c r="C9" s="866">
        <f>+C74</f>
        <v>0</v>
      </c>
      <c r="D9" s="866">
        <f t="shared" ref="D9:N9" si="2">+D74</f>
        <v>7841385000</v>
      </c>
      <c r="E9" s="866">
        <f t="shared" si="2"/>
        <v>12834315000</v>
      </c>
      <c r="F9" s="866">
        <f t="shared" si="2"/>
        <v>16049748000</v>
      </c>
      <c r="G9" s="866">
        <f t="shared" si="2"/>
        <v>12502404000</v>
      </c>
      <c r="H9" s="866">
        <f t="shared" si="2"/>
        <v>9959056000</v>
      </c>
      <c r="I9" s="866">
        <f t="shared" si="2"/>
        <v>9652716000</v>
      </c>
      <c r="J9" s="866">
        <f t="shared" si="2"/>
        <v>0</v>
      </c>
      <c r="K9" s="866">
        <f t="shared" si="2"/>
        <v>0</v>
      </c>
      <c r="L9" s="866">
        <f t="shared" si="2"/>
        <v>0</v>
      </c>
      <c r="M9" s="866">
        <f t="shared" si="2"/>
        <v>0</v>
      </c>
      <c r="N9" s="866">
        <f t="shared" si="2"/>
        <v>0</v>
      </c>
    </row>
    <row r="10" spans="2:14">
      <c r="B10" s="863" t="s">
        <v>519</v>
      </c>
      <c r="C10" s="864">
        <f>+C77</f>
        <v>0</v>
      </c>
      <c r="D10" s="864">
        <f t="shared" ref="D10:N10" si="3">+D77</f>
        <v>3114217717000</v>
      </c>
      <c r="E10" s="864">
        <f t="shared" si="3"/>
        <v>3229045228000</v>
      </c>
      <c r="F10" s="864">
        <f t="shared" si="3"/>
        <v>3303749728000</v>
      </c>
      <c r="G10" s="864">
        <f t="shared" si="3"/>
        <v>3319502491000</v>
      </c>
      <c r="H10" s="864">
        <f>+H77</f>
        <v>3975257249000</v>
      </c>
      <c r="I10" s="864">
        <f t="shared" si="3"/>
        <v>4361208712000</v>
      </c>
      <c r="J10" s="864">
        <f t="shared" si="3"/>
        <v>5510059655000</v>
      </c>
      <c r="K10" s="864">
        <f t="shared" si="3"/>
        <v>7111499915000</v>
      </c>
      <c r="L10" s="864">
        <f t="shared" si="3"/>
        <v>0</v>
      </c>
      <c r="M10" s="864">
        <f t="shared" si="3"/>
        <v>0</v>
      </c>
      <c r="N10" s="864">
        <f t="shared" si="3"/>
        <v>0</v>
      </c>
    </row>
    <row r="11" spans="2:14" ht="13.15">
      <c r="B11" s="867" t="s">
        <v>272</v>
      </c>
      <c r="C11" s="868">
        <f t="shared" ref="C11:N11" si="4">+C7+C10</f>
        <v>0</v>
      </c>
      <c r="D11" s="868">
        <f t="shared" si="4"/>
        <v>3312491571000</v>
      </c>
      <c r="E11" s="868">
        <f t="shared" si="4"/>
        <v>3366933841000</v>
      </c>
      <c r="F11" s="868">
        <f t="shared" si="4"/>
        <v>3611132855000</v>
      </c>
      <c r="G11" s="868">
        <f t="shared" si="4"/>
        <v>3553155677000</v>
      </c>
      <c r="H11" s="868">
        <f t="shared" si="4"/>
        <v>4482516312000</v>
      </c>
      <c r="I11" s="868">
        <f t="shared" si="4"/>
        <v>4796335587000</v>
      </c>
      <c r="J11" s="868">
        <f t="shared" si="4"/>
        <v>5915072971000</v>
      </c>
      <c r="K11" s="868">
        <f t="shared" si="4"/>
        <v>7583642938000</v>
      </c>
      <c r="L11" s="868">
        <f t="shared" si="4"/>
        <v>0</v>
      </c>
      <c r="M11" s="868">
        <f t="shared" si="4"/>
        <v>0</v>
      </c>
      <c r="N11" s="868">
        <f t="shared" si="4"/>
        <v>0</v>
      </c>
    </row>
    <row r="12" spans="2:14">
      <c r="B12" s="869" t="s">
        <v>273</v>
      </c>
      <c r="C12" s="870">
        <f>+C92</f>
        <v>0</v>
      </c>
      <c r="D12" s="870">
        <f t="shared" ref="D12:N12" si="5">+D92</f>
        <v>180324032000</v>
      </c>
      <c r="E12" s="870">
        <f t="shared" si="5"/>
        <v>202437521000</v>
      </c>
      <c r="F12" s="870">
        <f t="shared" si="5"/>
        <v>248210554000</v>
      </c>
      <c r="G12" s="870">
        <f t="shared" si="5"/>
        <v>226923892000</v>
      </c>
      <c r="H12" s="870">
        <f t="shared" si="5"/>
        <v>217902059000</v>
      </c>
      <c r="I12" s="870">
        <f t="shared" si="5"/>
        <v>244016891000</v>
      </c>
      <c r="J12" s="870">
        <f t="shared" si="5"/>
        <v>344475813000</v>
      </c>
      <c r="K12" s="870">
        <f t="shared" si="5"/>
        <v>307106670000</v>
      </c>
      <c r="L12" s="870">
        <f t="shared" si="5"/>
        <v>0</v>
      </c>
      <c r="M12" s="870">
        <f t="shared" si="5"/>
        <v>0</v>
      </c>
      <c r="N12" s="870">
        <f t="shared" si="5"/>
        <v>0</v>
      </c>
    </row>
    <row r="13" spans="2:14">
      <c r="B13" s="869" t="s">
        <v>274</v>
      </c>
      <c r="C13" s="870">
        <f>+C102</f>
        <v>0</v>
      </c>
      <c r="D13" s="870">
        <f t="shared" ref="D13:N13" si="6">+D102</f>
        <v>1320725946000</v>
      </c>
      <c r="E13" s="870">
        <f t="shared" si="6"/>
        <v>1268906168000</v>
      </c>
      <c r="F13" s="870">
        <f t="shared" si="6"/>
        <v>1484516714000</v>
      </c>
      <c r="G13" s="870">
        <f t="shared" si="6"/>
        <v>1409014743000</v>
      </c>
      <c r="H13" s="870">
        <f t="shared" si="6"/>
        <v>1864363579000</v>
      </c>
      <c r="I13" s="870">
        <f t="shared" si="6"/>
        <v>1919631178000</v>
      </c>
      <c r="J13" s="870">
        <f t="shared" si="6"/>
        <v>2379547336000</v>
      </c>
      <c r="K13" s="870">
        <f t="shared" si="6"/>
        <v>2751983135000</v>
      </c>
      <c r="L13" s="870">
        <f t="shared" si="6"/>
        <v>0</v>
      </c>
      <c r="M13" s="870">
        <f t="shared" si="6"/>
        <v>0</v>
      </c>
      <c r="N13" s="870">
        <f t="shared" si="6"/>
        <v>0</v>
      </c>
    </row>
    <row r="14" spans="2:14" ht="13.15">
      <c r="B14" s="871" t="s">
        <v>275</v>
      </c>
      <c r="C14" s="872">
        <f t="shared" ref="C14:N14" si="7">SUM(C12:C13)</f>
        <v>0</v>
      </c>
      <c r="D14" s="872">
        <f t="shared" si="7"/>
        <v>1501049978000</v>
      </c>
      <c r="E14" s="872">
        <f t="shared" si="7"/>
        <v>1471343689000</v>
      </c>
      <c r="F14" s="872">
        <f t="shared" si="7"/>
        <v>1732727268000</v>
      </c>
      <c r="G14" s="872">
        <f t="shared" si="7"/>
        <v>1635938635000</v>
      </c>
      <c r="H14" s="872">
        <f t="shared" si="7"/>
        <v>2082265638000</v>
      </c>
      <c r="I14" s="872">
        <f t="shared" si="7"/>
        <v>2163648069000</v>
      </c>
      <c r="J14" s="872">
        <f t="shared" si="7"/>
        <v>2724023149000</v>
      </c>
      <c r="K14" s="872">
        <f t="shared" si="7"/>
        <v>3059089805000</v>
      </c>
      <c r="L14" s="872">
        <f t="shared" si="7"/>
        <v>0</v>
      </c>
      <c r="M14" s="872">
        <f t="shared" si="7"/>
        <v>0</v>
      </c>
      <c r="N14" s="872">
        <f t="shared" si="7"/>
        <v>0</v>
      </c>
    </row>
    <row r="15" spans="2:14" ht="13.15">
      <c r="B15" s="873" t="s">
        <v>276</v>
      </c>
      <c r="C15" s="874">
        <f>+C119</f>
        <v>0</v>
      </c>
      <c r="D15" s="874">
        <f t="shared" ref="D15:N15" si="8">+D119</f>
        <v>1699630517000</v>
      </c>
      <c r="E15" s="874">
        <f t="shared" si="8"/>
        <v>1766506503000</v>
      </c>
      <c r="F15" s="874">
        <f t="shared" si="8"/>
        <v>1760018546000</v>
      </c>
      <c r="G15" s="874">
        <f t="shared" si="8"/>
        <v>1799181211000</v>
      </c>
      <c r="H15" s="874">
        <f t="shared" si="8"/>
        <v>2263298479000</v>
      </c>
      <c r="I15" s="874">
        <f t="shared" si="8"/>
        <v>2601053165000</v>
      </c>
      <c r="J15" s="874">
        <f t="shared" si="8"/>
        <v>3157863075000</v>
      </c>
      <c r="K15" s="874">
        <f t="shared" si="8"/>
        <v>4482903946000</v>
      </c>
      <c r="L15" s="874">
        <f t="shared" si="8"/>
        <v>0</v>
      </c>
      <c r="M15" s="874">
        <f t="shared" si="8"/>
        <v>0</v>
      </c>
      <c r="N15" s="874">
        <f t="shared" si="8"/>
        <v>0</v>
      </c>
    </row>
    <row r="16" spans="2:14">
      <c r="B16" s="875" t="s">
        <v>278</v>
      </c>
      <c r="C16" s="876"/>
      <c r="D16" s="876">
        <v>1960000000</v>
      </c>
      <c r="E16" s="876">
        <v>1960000000</v>
      </c>
      <c r="F16" s="876">
        <v>1960000000</v>
      </c>
      <c r="G16" s="876">
        <v>1960000000</v>
      </c>
      <c r="H16" s="876">
        <v>1960000000</v>
      </c>
      <c r="I16" s="876">
        <v>1960000000</v>
      </c>
      <c r="J16" s="876">
        <v>2190000000</v>
      </c>
      <c r="K16" s="876">
        <v>2190000000</v>
      </c>
      <c r="L16" s="876"/>
      <c r="M16" s="876"/>
      <c r="N16" s="876"/>
    </row>
    <row r="18" spans="2:14" ht="13.15">
      <c r="B18" s="877" t="s">
        <v>279</v>
      </c>
      <c r="C18" s="878" t="e">
        <f>(C15/C16)</f>
        <v>#DIV/0!</v>
      </c>
      <c r="D18" s="878">
        <f t="shared" ref="D18:N18" si="9">(D15/D16)</f>
        <v>867.15842704081638</v>
      </c>
      <c r="E18" s="878">
        <f t="shared" si="9"/>
        <v>901.27882806122454</v>
      </c>
      <c r="F18" s="878">
        <f t="shared" si="9"/>
        <v>897.96864591836732</v>
      </c>
      <c r="G18" s="878">
        <f t="shared" si="9"/>
        <v>917.9495974489796</v>
      </c>
      <c r="H18" s="878">
        <f t="shared" si="9"/>
        <v>1154.7441219387756</v>
      </c>
      <c r="I18" s="878">
        <f t="shared" si="9"/>
        <v>1327.0679413265307</v>
      </c>
      <c r="J18" s="878">
        <f t="shared" si="9"/>
        <v>1441.9466095890411</v>
      </c>
      <c r="K18" s="878">
        <f t="shared" si="9"/>
        <v>2046.9881031963471</v>
      </c>
      <c r="L18" s="878" t="e">
        <f t="shared" si="9"/>
        <v>#DIV/0!</v>
      </c>
      <c r="M18" s="878" t="e">
        <f t="shared" si="9"/>
        <v>#DIV/0!</v>
      </c>
      <c r="N18" s="878" t="e">
        <f t="shared" si="9"/>
        <v>#DIV/0!</v>
      </c>
    </row>
    <row r="19" spans="2:14" ht="13.15">
      <c r="B19" s="879" t="s">
        <v>282</v>
      </c>
      <c r="C19" s="880"/>
      <c r="D19" s="880">
        <v>1441</v>
      </c>
      <c r="E19" s="880">
        <v>1579</v>
      </c>
      <c r="F19" s="880">
        <v>1110</v>
      </c>
      <c r="G19" s="880">
        <v>940</v>
      </c>
      <c r="H19" s="881">
        <v>1059</v>
      </c>
      <c r="I19" s="881">
        <v>1247</v>
      </c>
      <c r="J19" s="881">
        <v>1610</v>
      </c>
      <c r="K19" s="881">
        <v>3200</v>
      </c>
      <c r="L19" s="881"/>
      <c r="M19" s="881"/>
      <c r="N19" s="881"/>
    </row>
    <row r="20" spans="2:14" ht="13.15">
      <c r="B20" s="877" t="s">
        <v>283</v>
      </c>
      <c r="C20" s="882" t="e">
        <f>+C19/C40</f>
        <v>#DIV/0!</v>
      </c>
      <c r="D20" s="882">
        <f t="shared" ref="D20:N20" si="10">+D19/D40</f>
        <v>24.064796259185037</v>
      </c>
      <c r="E20" s="882">
        <f t="shared" si="10"/>
        <v>30.924402663533098</v>
      </c>
      <c r="F20" s="882">
        <f t="shared" si="10"/>
        <v>177.6</v>
      </c>
      <c r="G20" s="882">
        <f t="shared" si="10"/>
        <v>39.578947368421055</v>
      </c>
      <c r="H20" s="882">
        <f t="shared" si="10"/>
        <v>13.165091994032819</v>
      </c>
      <c r="I20" s="882">
        <f t="shared" si="10"/>
        <v>6.9879518072289164</v>
      </c>
      <c r="J20" s="882">
        <f t="shared" si="10"/>
        <v>10.496120998761329</v>
      </c>
      <c r="K20" s="882">
        <f t="shared" si="10"/>
        <v>4.8972345928408556</v>
      </c>
      <c r="L20" s="882" t="e">
        <f t="shared" si="10"/>
        <v>#DIV/0!</v>
      </c>
      <c r="M20" s="882" t="e">
        <f t="shared" si="10"/>
        <v>#DIV/0!</v>
      </c>
      <c r="N20" s="882" t="e">
        <f t="shared" si="10"/>
        <v>#DIV/0!</v>
      </c>
    </row>
    <row r="21" spans="2:14" ht="13.15">
      <c r="B21" s="877" t="s">
        <v>284</v>
      </c>
      <c r="C21" s="882" t="e">
        <f t="shared" ref="C21:N21" si="11">+C19/C18</f>
        <v>#DIV/0!</v>
      </c>
      <c r="D21" s="882">
        <f t="shared" si="11"/>
        <v>1.6617494047972545</v>
      </c>
      <c r="E21" s="882">
        <f t="shared" si="11"/>
        <v>1.7519550563465998</v>
      </c>
      <c r="F21" s="882">
        <f t="shared" si="11"/>
        <v>1.2361233379866896</v>
      </c>
      <c r="G21" s="882">
        <f t="shared" si="11"/>
        <v>1.0240213652386791</v>
      </c>
      <c r="H21" s="882">
        <f t="shared" si="11"/>
        <v>0.91708628767209088</v>
      </c>
      <c r="I21" s="882">
        <f t="shared" si="11"/>
        <v>0.93966552967401562</v>
      </c>
      <c r="J21" s="882">
        <f t="shared" si="11"/>
        <v>1.1165461947712854</v>
      </c>
      <c r="K21" s="882">
        <f t="shared" si="11"/>
        <v>1.5632723976281244</v>
      </c>
      <c r="L21" s="882" t="e">
        <f t="shared" si="11"/>
        <v>#DIV/0!</v>
      </c>
      <c r="M21" s="882" t="e">
        <f t="shared" si="11"/>
        <v>#DIV/0!</v>
      </c>
      <c r="N21" s="882" t="e">
        <f t="shared" si="11"/>
        <v>#DIV/0!</v>
      </c>
    </row>
    <row r="22" spans="2:14" ht="13.15">
      <c r="B22" s="877" t="s">
        <v>285</v>
      </c>
      <c r="C22" s="882" t="e">
        <f>+C20*C21</f>
        <v>#DIV/0!</v>
      </c>
      <c r="D22" s="882">
        <f t="shared" ref="D22:N22" si="12">+D20*D21</f>
        <v>39.989660860267932</v>
      </c>
      <c r="E22" s="882">
        <f t="shared" si="12"/>
        <v>54.178163610875067</v>
      </c>
      <c r="F22" s="882">
        <f t="shared" si="12"/>
        <v>219.53550482643607</v>
      </c>
      <c r="G22" s="882">
        <f t="shared" si="12"/>
        <v>40.529687718920357</v>
      </c>
      <c r="H22" s="882">
        <f t="shared" si="12"/>
        <v>12.073525343669122</v>
      </c>
      <c r="I22" s="882">
        <f t="shared" si="12"/>
        <v>6.5663374362762541</v>
      </c>
      <c r="J22" s="882">
        <f t="shared" si="12"/>
        <v>11.719403961025945</v>
      </c>
      <c r="K22" s="882">
        <f t="shared" si="12"/>
        <v>7.6557116636977156</v>
      </c>
      <c r="L22" s="882" t="e">
        <f t="shared" si="12"/>
        <v>#DIV/0!</v>
      </c>
      <c r="M22" s="882" t="e">
        <f t="shared" si="12"/>
        <v>#DIV/0!</v>
      </c>
      <c r="N22" s="882" t="e">
        <f t="shared" si="12"/>
        <v>#DIV/0!</v>
      </c>
    </row>
    <row r="23" spans="2:14" ht="13.15">
      <c r="B23" s="883" t="s">
        <v>286</v>
      </c>
      <c r="C23" s="884" t="e">
        <f>IF(C41&lt;10%,0,IF(15%&lt;C41,2,1))</f>
        <v>#DIV/0!</v>
      </c>
      <c r="D23" s="884">
        <f>IF(D41&lt;10%,0,IF(15%&lt;D41,2,1))</f>
        <v>0</v>
      </c>
      <c r="E23" s="884">
        <f t="shared" ref="E23:F23" si="13">IF(E41&lt;10%,0,IF(15%&lt;E41,2,1))</f>
        <v>0</v>
      </c>
      <c r="F23" s="884">
        <f t="shared" si="13"/>
        <v>0</v>
      </c>
      <c r="G23" s="884">
        <v>2</v>
      </c>
      <c r="H23" s="884">
        <v>2</v>
      </c>
      <c r="I23" s="884">
        <v>2</v>
      </c>
      <c r="J23" s="884">
        <v>2</v>
      </c>
      <c r="K23" s="884">
        <v>2</v>
      </c>
      <c r="L23" s="884">
        <v>2</v>
      </c>
      <c r="M23" s="884">
        <v>2</v>
      </c>
      <c r="N23" s="884">
        <v>2</v>
      </c>
    </row>
    <row r="24" spans="2:14" ht="13.15">
      <c r="B24" s="883" t="s">
        <v>287</v>
      </c>
      <c r="C24" s="884" t="e">
        <f>IF(C41&lt;10%,1,IF(15%&lt;C41,2.5,2))</f>
        <v>#DIV/0!</v>
      </c>
      <c r="D24" s="884">
        <f t="shared" ref="D24:F24" si="14">IF(D41&lt;10%,1,IF(15%&lt;D41,2.5,2))</f>
        <v>1</v>
      </c>
      <c r="E24" s="884">
        <f t="shared" si="14"/>
        <v>1</v>
      </c>
      <c r="F24" s="884">
        <f t="shared" si="14"/>
        <v>1</v>
      </c>
      <c r="G24" s="884">
        <v>2.5</v>
      </c>
      <c r="H24" s="884">
        <v>2.5</v>
      </c>
      <c r="I24" s="884">
        <v>2.5</v>
      </c>
      <c r="J24" s="884">
        <v>2.5</v>
      </c>
      <c r="K24" s="884">
        <v>2.5</v>
      </c>
      <c r="L24" s="884">
        <v>2.5</v>
      </c>
      <c r="M24" s="884">
        <v>2.5</v>
      </c>
      <c r="N24" s="884">
        <v>2.5</v>
      </c>
    </row>
    <row r="25" spans="2:14" ht="13.15">
      <c r="B25" s="885" t="s">
        <v>288</v>
      </c>
      <c r="C25" s="886" t="e">
        <f t="shared" ref="C25:N25" si="15">+C23*C18</f>
        <v>#DIV/0!</v>
      </c>
      <c r="D25" s="886">
        <f t="shared" si="15"/>
        <v>0</v>
      </c>
      <c r="E25" s="886">
        <f t="shared" si="15"/>
        <v>0</v>
      </c>
      <c r="F25" s="886">
        <f t="shared" si="15"/>
        <v>0</v>
      </c>
      <c r="G25" s="886">
        <f t="shared" si="15"/>
        <v>1835.8991948979592</v>
      </c>
      <c r="H25" s="886">
        <f t="shared" si="15"/>
        <v>2309.4882438775512</v>
      </c>
      <c r="I25" s="886">
        <f t="shared" si="15"/>
        <v>2654.1358826530613</v>
      </c>
      <c r="J25" s="886">
        <f t="shared" si="15"/>
        <v>2883.8932191780823</v>
      </c>
      <c r="K25" s="886">
        <f t="shared" si="15"/>
        <v>4093.9762063926942</v>
      </c>
      <c r="L25" s="886" t="e">
        <f t="shared" si="15"/>
        <v>#DIV/0!</v>
      </c>
      <c r="M25" s="886" t="e">
        <f t="shared" si="15"/>
        <v>#DIV/0!</v>
      </c>
      <c r="N25" s="886" t="e">
        <f t="shared" si="15"/>
        <v>#DIV/0!</v>
      </c>
    </row>
    <row r="26" spans="2:14" ht="13.15">
      <c r="B26" s="885" t="s">
        <v>289</v>
      </c>
      <c r="C26" s="886" t="e">
        <f>AVERAGE(C25,C27)</f>
        <v>#DIV/0!</v>
      </c>
      <c r="D26" s="886">
        <f t="shared" ref="D26:N26" si="16">AVERAGE(D25,D27)</f>
        <v>433.57921352040819</v>
      </c>
      <c r="E26" s="886">
        <f t="shared" si="16"/>
        <v>450.63941403061227</v>
      </c>
      <c r="F26" s="886">
        <f t="shared" si="16"/>
        <v>448.98432295918366</v>
      </c>
      <c r="G26" s="886">
        <f t="shared" si="16"/>
        <v>2065.3865942602042</v>
      </c>
      <c r="H26" s="886">
        <f t="shared" si="16"/>
        <v>2598.1742743622453</v>
      </c>
      <c r="I26" s="886">
        <f t="shared" si="16"/>
        <v>2985.9028679846942</v>
      </c>
      <c r="J26" s="886">
        <f t="shared" si="16"/>
        <v>3244.3798715753428</v>
      </c>
      <c r="K26" s="886">
        <f t="shared" si="16"/>
        <v>4605.7232321917809</v>
      </c>
      <c r="L26" s="886" t="e">
        <f t="shared" si="16"/>
        <v>#DIV/0!</v>
      </c>
      <c r="M26" s="886" t="e">
        <f t="shared" si="16"/>
        <v>#DIV/0!</v>
      </c>
      <c r="N26" s="886" t="e">
        <f t="shared" si="16"/>
        <v>#DIV/0!</v>
      </c>
    </row>
    <row r="27" spans="2:14" ht="13.15">
      <c r="B27" s="885" t="s">
        <v>290</v>
      </c>
      <c r="C27" s="886" t="e">
        <f t="shared" ref="C27:N27" si="17">+C18*C24</f>
        <v>#DIV/0!</v>
      </c>
      <c r="D27" s="886">
        <f t="shared" si="17"/>
        <v>867.15842704081638</v>
      </c>
      <c r="E27" s="886">
        <f t="shared" si="17"/>
        <v>901.27882806122454</v>
      </c>
      <c r="F27" s="886">
        <f t="shared" si="17"/>
        <v>897.96864591836732</v>
      </c>
      <c r="G27" s="886">
        <f t="shared" si="17"/>
        <v>2294.8739936224492</v>
      </c>
      <c r="H27" s="886">
        <f t="shared" si="17"/>
        <v>2886.860304846939</v>
      </c>
      <c r="I27" s="886">
        <f t="shared" si="17"/>
        <v>3317.6698533163267</v>
      </c>
      <c r="J27" s="886">
        <f t="shared" si="17"/>
        <v>3604.8665239726029</v>
      </c>
      <c r="K27" s="886">
        <f t="shared" si="17"/>
        <v>5117.470257990868</v>
      </c>
      <c r="L27" s="886" t="e">
        <f t="shared" si="17"/>
        <v>#DIV/0!</v>
      </c>
      <c r="M27" s="886" t="e">
        <f t="shared" si="17"/>
        <v>#DIV/0!</v>
      </c>
      <c r="N27" s="886" t="e">
        <f t="shared" si="17"/>
        <v>#DIV/0!</v>
      </c>
    </row>
    <row r="29" spans="2:14">
      <c r="B29" s="887" t="s">
        <v>291</v>
      </c>
      <c r="C29" s="888">
        <f>C7-C12</f>
        <v>0</v>
      </c>
      <c r="D29" s="888">
        <f t="shared" ref="D29:N29" si="18">D7-D12</f>
        <v>17949822000</v>
      </c>
      <c r="E29" s="888">
        <f t="shared" si="18"/>
        <v>-64548908000</v>
      </c>
      <c r="F29" s="888">
        <f t="shared" si="18"/>
        <v>59172573000</v>
      </c>
      <c r="G29" s="888">
        <f t="shared" si="18"/>
        <v>6729294000</v>
      </c>
      <c r="H29" s="888">
        <f t="shared" si="18"/>
        <v>289357004000</v>
      </c>
      <c r="I29" s="888">
        <f t="shared" si="18"/>
        <v>191109984000</v>
      </c>
      <c r="J29" s="888">
        <f t="shared" si="18"/>
        <v>60537503000</v>
      </c>
      <c r="K29" s="888">
        <f t="shared" si="18"/>
        <v>165036353000</v>
      </c>
      <c r="L29" s="888">
        <f t="shared" si="18"/>
        <v>0</v>
      </c>
      <c r="M29" s="888">
        <f t="shared" si="18"/>
        <v>0</v>
      </c>
      <c r="N29" s="888">
        <f t="shared" si="18"/>
        <v>0</v>
      </c>
    </row>
    <row r="30" spans="2:14">
      <c r="B30" s="889" t="s">
        <v>149</v>
      </c>
      <c r="C30" s="890" t="e">
        <f t="shared" ref="C30:N30" si="19">C7/C12</f>
        <v>#DIV/0!</v>
      </c>
      <c r="D30" s="890">
        <f t="shared" si="19"/>
        <v>1.0995420399650335</v>
      </c>
      <c r="E30" s="890">
        <f t="shared" si="19"/>
        <v>0.68114158046817808</v>
      </c>
      <c r="F30" s="890">
        <f>F7/F12</f>
        <v>1.2383966839701748</v>
      </c>
      <c r="G30" s="890">
        <f t="shared" si="19"/>
        <v>1.0296544094175857</v>
      </c>
      <c r="H30" s="891">
        <f t="shared" si="19"/>
        <v>2.3279223029278491</v>
      </c>
      <c r="I30" s="891">
        <f t="shared" si="19"/>
        <v>1.7831834231508179</v>
      </c>
      <c r="J30" s="891">
        <f t="shared" si="19"/>
        <v>1.1757380365047574</v>
      </c>
      <c r="K30" s="891">
        <f t="shared" si="19"/>
        <v>1.5373909755851281</v>
      </c>
      <c r="L30" s="891" t="e">
        <f t="shared" si="19"/>
        <v>#DIV/0!</v>
      </c>
      <c r="M30" s="891" t="e">
        <f t="shared" si="19"/>
        <v>#DIV/0!</v>
      </c>
      <c r="N30" s="891" t="e">
        <f t="shared" si="19"/>
        <v>#DIV/0!</v>
      </c>
    </row>
    <row r="31" spans="2:14">
      <c r="B31" s="889" t="s">
        <v>292</v>
      </c>
      <c r="C31" s="890" t="e">
        <f t="shared" ref="C31:N31" si="20">+(C7-C9)/C12</f>
        <v>#DIV/0!</v>
      </c>
      <c r="D31" s="890">
        <f t="shared" si="20"/>
        <v>1.056057070640479</v>
      </c>
      <c r="E31" s="890">
        <f t="shared" si="20"/>
        <v>0.61774268614957006</v>
      </c>
      <c r="F31" s="890">
        <f t="shared" si="20"/>
        <v>1.1737348565766466</v>
      </c>
      <c r="G31" s="890">
        <f t="shared" si="20"/>
        <v>0.97455926765084744</v>
      </c>
      <c r="H31" s="890">
        <f t="shared" si="20"/>
        <v>2.2822180262188345</v>
      </c>
      <c r="I31" s="890">
        <f t="shared" si="20"/>
        <v>1.7436258500646171</v>
      </c>
      <c r="J31" s="890">
        <f t="shared" si="20"/>
        <v>1.1757380365047574</v>
      </c>
      <c r="K31" s="890">
        <f t="shared" si="20"/>
        <v>1.5373909755851281</v>
      </c>
      <c r="L31" s="890" t="e">
        <f t="shared" si="20"/>
        <v>#DIV/0!</v>
      </c>
      <c r="M31" s="890" t="e">
        <f t="shared" si="20"/>
        <v>#DIV/0!</v>
      </c>
      <c r="N31" s="890" t="e">
        <f t="shared" si="20"/>
        <v>#DIV/0!</v>
      </c>
    </row>
    <row r="32" spans="2:14">
      <c r="B32" s="892" t="s">
        <v>153</v>
      </c>
      <c r="C32" s="893" t="e">
        <f t="shared" ref="C32:N32" si="21">C14/C11</f>
        <v>#DIV/0!</v>
      </c>
      <c r="D32" s="893">
        <f t="shared" si="21"/>
        <v>0.45314831625272683</v>
      </c>
      <c r="E32" s="893">
        <f t="shared" si="21"/>
        <v>0.43699809930420314</v>
      </c>
      <c r="F32" s="893">
        <f t="shared" si="21"/>
        <v>0.47982927728644864</v>
      </c>
      <c r="G32" s="893">
        <f t="shared" si="21"/>
        <v>0.46041850786038613</v>
      </c>
      <c r="H32" s="893">
        <f t="shared" si="21"/>
        <v>0.46453052104364545</v>
      </c>
      <c r="I32" s="893">
        <f t="shared" si="21"/>
        <v>0.45110439621121534</v>
      </c>
      <c r="J32" s="893">
        <f t="shared" si="21"/>
        <v>0.4605223236222355</v>
      </c>
      <c r="K32" s="893">
        <f t="shared" si="21"/>
        <v>0.40337998901181915</v>
      </c>
      <c r="L32" s="893" t="e">
        <f t="shared" si="21"/>
        <v>#DIV/0!</v>
      </c>
      <c r="M32" s="893" t="e">
        <f t="shared" si="21"/>
        <v>#DIV/0!</v>
      </c>
      <c r="N32" s="893" t="e">
        <f t="shared" si="21"/>
        <v>#DIV/0!</v>
      </c>
    </row>
    <row r="35" spans="2:14">
      <c r="B35" s="894" t="s">
        <v>293</v>
      </c>
      <c r="C35" s="895">
        <f>+C124</f>
        <v>0</v>
      </c>
      <c r="D35" s="895">
        <f t="shared" ref="D35:N35" si="22">+D124</f>
        <v>309369848000</v>
      </c>
      <c r="E35" s="895">
        <f t="shared" si="22"/>
        <v>309598345000</v>
      </c>
      <c r="F35" s="895">
        <f t="shared" si="22"/>
        <v>187329190000</v>
      </c>
      <c r="G35" s="895">
        <f t="shared" si="22"/>
        <v>276694599000</v>
      </c>
      <c r="H35" s="895">
        <f t="shared" si="22"/>
        <v>370898935000</v>
      </c>
      <c r="I35" s="895">
        <f t="shared" si="22"/>
        <v>419903778000</v>
      </c>
      <c r="J35" s="895">
        <f t="shared" si="22"/>
        <v>494605239000</v>
      </c>
      <c r="K35" s="895">
        <f t="shared" si="22"/>
        <v>653911091000</v>
      </c>
      <c r="L35" s="895">
        <f t="shared" si="22"/>
        <v>0</v>
      </c>
      <c r="M35" s="895">
        <f t="shared" si="22"/>
        <v>0</v>
      </c>
      <c r="N35" s="895">
        <f t="shared" si="22"/>
        <v>0</v>
      </c>
    </row>
    <row r="36" spans="2:14" ht="13.15">
      <c r="B36" s="896" t="s">
        <v>156</v>
      </c>
      <c r="C36" s="897">
        <f>+C132</f>
        <v>0</v>
      </c>
      <c r="D36" s="897">
        <f t="shared" ref="D36:I36" si="23">+D132</f>
        <v>200736388000</v>
      </c>
      <c r="E36" s="897">
        <f t="shared" si="23"/>
        <v>185146912000</v>
      </c>
      <c r="F36" s="897">
        <f t="shared" si="23"/>
        <v>63237622000</v>
      </c>
      <c r="G36" s="897">
        <f t="shared" si="23"/>
        <v>140691365000</v>
      </c>
      <c r="H36" s="897">
        <f t="shared" si="23"/>
        <v>363620953000</v>
      </c>
      <c r="I36" s="897">
        <f t="shared" si="23"/>
        <v>513768140000</v>
      </c>
      <c r="J36" s="897">
        <f>+J132</f>
        <v>535873561000</v>
      </c>
      <c r="K36" s="897">
        <f t="shared" ref="K36:N36" si="24">+K132</f>
        <v>1968050836000</v>
      </c>
      <c r="L36" s="897">
        <f t="shared" si="24"/>
        <v>0</v>
      </c>
      <c r="M36" s="897">
        <f t="shared" si="24"/>
        <v>0</v>
      </c>
      <c r="N36" s="897">
        <f t="shared" si="24"/>
        <v>0</v>
      </c>
    </row>
    <row r="37" spans="2:14">
      <c r="B37" s="894" t="s">
        <v>381</v>
      </c>
      <c r="C37" s="898" t="e">
        <f>C36/C35</f>
        <v>#DIV/0!</v>
      </c>
      <c r="D37" s="898">
        <f t="shared" ref="D37:N37" si="25">D36/D35</f>
        <v>0.6488556958530749</v>
      </c>
      <c r="E37" s="898">
        <f t="shared" si="25"/>
        <v>0.59802293839781351</v>
      </c>
      <c r="F37" s="898">
        <f t="shared" si="25"/>
        <v>0.3375748435147774</v>
      </c>
      <c r="G37" s="898">
        <f t="shared" si="25"/>
        <v>0.50847167060170917</v>
      </c>
      <c r="H37" s="898">
        <f t="shared" si="25"/>
        <v>0.98037745241840613</v>
      </c>
      <c r="I37" s="898">
        <f t="shared" si="25"/>
        <v>1.2235377886978669</v>
      </c>
      <c r="J37" s="898">
        <f t="shared" si="25"/>
        <v>1.0834368881402003</v>
      </c>
      <c r="K37" s="898">
        <f t="shared" si="25"/>
        <v>3.0096611956685715</v>
      </c>
      <c r="L37" s="898" t="e">
        <f t="shared" si="25"/>
        <v>#DIV/0!</v>
      </c>
      <c r="M37" s="898" t="e">
        <f t="shared" si="25"/>
        <v>#DIV/0!</v>
      </c>
      <c r="N37" s="898" t="e">
        <f t="shared" si="25"/>
        <v>#DIV/0!</v>
      </c>
    </row>
    <row r="38" spans="2:14" ht="13.15">
      <c r="B38" s="899" t="s">
        <v>295</v>
      </c>
      <c r="C38" s="900">
        <f>+C140</f>
        <v>0</v>
      </c>
      <c r="D38" s="900">
        <f t="shared" ref="D38:N38" si="26">+D140</f>
        <v>125749457000</v>
      </c>
      <c r="E38" s="900">
        <f t="shared" si="26"/>
        <v>104578612000</v>
      </c>
      <c r="F38" s="900">
        <f t="shared" si="26"/>
        <v>11017868000</v>
      </c>
      <c r="G38" s="900">
        <f t="shared" si="26"/>
        <v>47600757000</v>
      </c>
      <c r="H38" s="900">
        <f t="shared" si="26"/>
        <v>175850274000</v>
      </c>
      <c r="I38" s="900">
        <f t="shared" si="26"/>
        <v>357487796000</v>
      </c>
      <c r="J38" s="900">
        <f t="shared" si="26"/>
        <v>341459594000</v>
      </c>
      <c r="K38" s="900">
        <f t="shared" si="26"/>
        <v>1440978394000</v>
      </c>
      <c r="L38" s="900">
        <f t="shared" si="26"/>
        <v>0</v>
      </c>
      <c r="M38" s="900">
        <f t="shared" si="26"/>
        <v>0</v>
      </c>
      <c r="N38" s="900">
        <f t="shared" si="26"/>
        <v>0</v>
      </c>
    </row>
    <row r="39" spans="2:14">
      <c r="B39" s="889" t="s">
        <v>296</v>
      </c>
      <c r="C39" s="901" t="e">
        <f>C38/C35</f>
        <v>#DIV/0!</v>
      </c>
      <c r="D39" s="901">
        <f t="shared" ref="D39:N39" si="27">D38/D35</f>
        <v>0.40646966022364273</v>
      </c>
      <c r="E39" s="901">
        <f t="shared" si="27"/>
        <v>0.3377880201523687</v>
      </c>
      <c r="F39" s="901">
        <f>F38/F35</f>
        <v>5.8815542841988477E-2</v>
      </c>
      <c r="G39" s="901">
        <f t="shared" si="27"/>
        <v>0.17203356036595424</v>
      </c>
      <c r="H39" s="901">
        <f t="shared" si="27"/>
        <v>0.4741191127982074</v>
      </c>
      <c r="I39" s="901">
        <f t="shared" si="27"/>
        <v>0.85135646481370786</v>
      </c>
      <c r="J39" s="901">
        <f t="shared" si="27"/>
        <v>0.69036792794667512</v>
      </c>
      <c r="K39" s="901">
        <f t="shared" si="27"/>
        <v>2.2036304534862219</v>
      </c>
      <c r="L39" s="901" t="e">
        <f t="shared" si="27"/>
        <v>#DIV/0!</v>
      </c>
      <c r="M39" s="901" t="e">
        <f t="shared" si="27"/>
        <v>#DIV/0!</v>
      </c>
      <c r="N39" s="901" t="e">
        <f t="shared" si="27"/>
        <v>#DIV/0!</v>
      </c>
    </row>
    <row r="40" spans="2:14">
      <c r="B40" s="902" t="s">
        <v>159</v>
      </c>
      <c r="C40" s="903">
        <f>+C143</f>
        <v>0</v>
      </c>
      <c r="D40" s="903">
        <f t="shared" ref="D40:N40" si="28">+D143</f>
        <v>59.88</v>
      </c>
      <c r="E40" s="903">
        <f t="shared" si="28"/>
        <v>51.06</v>
      </c>
      <c r="F40" s="903">
        <f t="shared" si="28"/>
        <v>6.25</v>
      </c>
      <c r="G40" s="903">
        <f t="shared" si="28"/>
        <v>23.75</v>
      </c>
      <c r="H40" s="903">
        <f t="shared" si="28"/>
        <v>80.44</v>
      </c>
      <c r="I40" s="903">
        <f t="shared" si="28"/>
        <v>178.45</v>
      </c>
      <c r="J40" s="903">
        <f t="shared" si="28"/>
        <v>153.38999999999999</v>
      </c>
      <c r="K40" s="903">
        <f t="shared" si="28"/>
        <v>653.42999999999995</v>
      </c>
      <c r="L40" s="903">
        <f t="shared" si="28"/>
        <v>0</v>
      </c>
      <c r="M40" s="903">
        <f t="shared" si="28"/>
        <v>0</v>
      </c>
      <c r="N40" s="903">
        <f t="shared" si="28"/>
        <v>0</v>
      </c>
    </row>
    <row r="41" spans="2:14" ht="13.15">
      <c r="B41" s="904" t="s">
        <v>160</v>
      </c>
      <c r="C41" s="905" t="e">
        <f t="shared" ref="C41:N41" si="29">C38/C15</f>
        <v>#DIV/0!</v>
      </c>
      <c r="D41" s="905">
        <f t="shared" si="29"/>
        <v>7.3986349234278895E-2</v>
      </c>
      <c r="E41" s="905">
        <f t="shared" si="29"/>
        <v>5.9200807821764359E-2</v>
      </c>
      <c r="F41" s="905">
        <f t="shared" si="29"/>
        <v>6.2600863070678119E-3</v>
      </c>
      <c r="G41" s="905">
        <f t="shared" si="29"/>
        <v>2.6456899788066986E-2</v>
      </c>
      <c r="H41" s="905">
        <f t="shared" si="29"/>
        <v>7.7696457463134277E-2</v>
      </c>
      <c r="I41" s="905">
        <f t="shared" si="29"/>
        <v>0.1374396343797917</v>
      </c>
      <c r="J41" s="905">
        <f t="shared" si="29"/>
        <v>0.10812995557130038</v>
      </c>
      <c r="K41" s="905">
        <f t="shared" si="29"/>
        <v>0.32143860572470095</v>
      </c>
      <c r="L41" s="905" t="e">
        <f t="shared" si="29"/>
        <v>#DIV/0!</v>
      </c>
      <c r="M41" s="905" t="e">
        <f t="shared" si="29"/>
        <v>#DIV/0!</v>
      </c>
      <c r="N41" s="905" t="e">
        <f t="shared" si="29"/>
        <v>#DIV/0!</v>
      </c>
    </row>
    <row r="42" spans="2:14" ht="13.15">
      <c r="B42" s="904" t="s">
        <v>382</v>
      </c>
      <c r="C42" s="905">
        <f>AVERAGE(I41:K41)</f>
        <v>0.18900273189193104</v>
      </c>
      <c r="D42" s="905"/>
      <c r="E42" s="905"/>
      <c r="F42" s="905"/>
      <c r="G42" s="905"/>
      <c r="H42" s="905"/>
      <c r="I42" s="905"/>
      <c r="J42" s="906"/>
      <c r="K42" s="905"/>
      <c r="L42" s="905"/>
      <c r="M42" s="905"/>
      <c r="N42" s="905"/>
    </row>
    <row r="43" spans="2:14" ht="13.15">
      <c r="B43" s="904" t="s">
        <v>298</v>
      </c>
      <c r="C43" s="907">
        <f>+C155</f>
        <v>0</v>
      </c>
      <c r="D43" s="907">
        <f t="shared" ref="D43:N43" si="30">+D155</f>
        <v>172593991000</v>
      </c>
      <c r="E43" s="907">
        <f t="shared" si="30"/>
        <v>189162271000</v>
      </c>
      <c r="F43" s="907">
        <f t="shared" si="30"/>
        <v>47938435000</v>
      </c>
      <c r="G43" s="907">
        <f t="shared" si="30"/>
        <v>185664595000</v>
      </c>
      <c r="H43" s="907">
        <f t="shared" si="30"/>
        <v>229526806000</v>
      </c>
      <c r="I43" s="907">
        <f t="shared" si="30"/>
        <v>238668875000</v>
      </c>
      <c r="J43" s="907">
        <f t="shared" si="30"/>
        <v>245883406000</v>
      </c>
      <c r="K43" s="907">
        <f t="shared" si="30"/>
        <v>371721835000</v>
      </c>
      <c r="L43" s="907">
        <f t="shared" si="30"/>
        <v>0</v>
      </c>
      <c r="M43" s="907">
        <f t="shared" si="30"/>
        <v>0</v>
      </c>
      <c r="N43" s="907">
        <f t="shared" si="30"/>
        <v>0</v>
      </c>
    </row>
    <row r="44" spans="2:14">
      <c r="B44" s="908" t="s">
        <v>111</v>
      </c>
      <c r="C44" s="908">
        <f>SUM(C46:C49)</f>
        <v>0</v>
      </c>
      <c r="D44" s="908">
        <f t="shared" ref="D44:F44" si="31">SUM(D46:D49)</f>
        <v>0</v>
      </c>
      <c r="E44" s="908">
        <f t="shared" si="31"/>
        <v>24</v>
      </c>
      <c r="F44" s="908">
        <f t="shared" si="31"/>
        <v>15.45</v>
      </c>
      <c r="G44" s="908">
        <f>SUM(G46:G49)</f>
        <v>4.47</v>
      </c>
      <c r="H44" s="908">
        <f>SUM(H46:H49)</f>
        <v>22.93</v>
      </c>
      <c r="I44" s="908">
        <f t="shared" ref="I44:N44" si="32">SUM(I46:I49)</f>
        <v>0</v>
      </c>
      <c r="J44" s="908">
        <f t="shared" si="32"/>
        <v>62.31</v>
      </c>
      <c r="K44" s="908">
        <f t="shared" si="32"/>
        <v>49.53</v>
      </c>
      <c r="L44" s="908">
        <f t="shared" si="32"/>
        <v>0</v>
      </c>
      <c r="M44" s="908">
        <f t="shared" si="32"/>
        <v>0</v>
      </c>
      <c r="N44" s="908">
        <f t="shared" si="32"/>
        <v>0</v>
      </c>
    </row>
    <row r="45" spans="2:14">
      <c r="B45" s="908" t="s">
        <v>112</v>
      </c>
      <c r="C45" s="908">
        <f>+C46+C47+C48</f>
        <v>0</v>
      </c>
      <c r="D45" s="908">
        <f t="shared" ref="D45:N45" si="33">+D46+D47+D48</f>
        <v>0</v>
      </c>
      <c r="E45" s="908">
        <f t="shared" si="33"/>
        <v>24</v>
      </c>
      <c r="F45" s="908">
        <f t="shared" si="33"/>
        <v>15.45</v>
      </c>
      <c r="G45" s="908">
        <f t="shared" si="33"/>
        <v>4.47</v>
      </c>
      <c r="H45" s="908">
        <f t="shared" si="33"/>
        <v>22.93</v>
      </c>
      <c r="I45" s="908">
        <f t="shared" si="33"/>
        <v>0</v>
      </c>
      <c r="J45" s="908">
        <f t="shared" si="33"/>
        <v>62.31</v>
      </c>
      <c r="K45" s="908">
        <f t="shared" si="33"/>
        <v>49.53</v>
      </c>
      <c r="L45" s="908">
        <f t="shared" si="33"/>
        <v>0</v>
      </c>
      <c r="M45" s="908">
        <f t="shared" si="33"/>
        <v>0</v>
      </c>
      <c r="N45" s="908">
        <f t="shared" si="33"/>
        <v>0</v>
      </c>
    </row>
    <row r="46" spans="2:14">
      <c r="B46" s="909" t="s">
        <v>114</v>
      </c>
      <c r="C46" s="875"/>
      <c r="D46" s="875"/>
      <c r="E46" s="875">
        <v>18</v>
      </c>
      <c r="F46" s="875">
        <v>15.45</v>
      </c>
      <c r="G46" s="875">
        <v>2.5</v>
      </c>
      <c r="H46" s="875">
        <v>8.93</v>
      </c>
      <c r="I46" s="875"/>
      <c r="J46" s="875">
        <v>40.31</v>
      </c>
      <c r="K46" s="875">
        <v>21.53</v>
      </c>
      <c r="L46" s="875"/>
      <c r="M46" s="875"/>
      <c r="N46" s="875"/>
    </row>
    <row r="47" spans="2:14">
      <c r="B47" s="909" t="s">
        <v>115</v>
      </c>
      <c r="C47" s="875"/>
      <c r="D47" s="875"/>
      <c r="E47" s="875">
        <v>6</v>
      </c>
      <c r="F47" s="875"/>
      <c r="G47" s="875">
        <v>1.97</v>
      </c>
      <c r="H47" s="875">
        <v>14</v>
      </c>
      <c r="I47" s="875"/>
      <c r="J47" s="875">
        <v>22</v>
      </c>
      <c r="K47" s="875">
        <v>28</v>
      </c>
      <c r="L47" s="875"/>
      <c r="M47" s="875"/>
      <c r="N47" s="875"/>
    </row>
    <row r="48" spans="2:14">
      <c r="B48" s="909" t="s">
        <v>116</v>
      </c>
      <c r="C48" s="875"/>
      <c r="D48" s="875"/>
      <c r="E48" s="875"/>
      <c r="F48" s="875"/>
      <c r="G48" s="875"/>
      <c r="H48" s="875"/>
      <c r="I48" s="875"/>
      <c r="J48" s="875"/>
      <c r="K48" s="875"/>
      <c r="L48" s="875"/>
      <c r="M48" s="875"/>
      <c r="N48" s="875"/>
    </row>
    <row r="49" spans="2:16">
      <c r="B49" s="909" t="s">
        <v>117</v>
      </c>
      <c r="C49" s="875"/>
      <c r="D49" s="875"/>
      <c r="E49" s="875"/>
      <c r="F49" s="875"/>
      <c r="G49" s="875"/>
      <c r="H49" s="875"/>
      <c r="I49" s="875"/>
      <c r="J49" s="875"/>
      <c r="K49" s="875"/>
      <c r="L49" s="875"/>
      <c r="M49" s="875"/>
      <c r="N49" s="875"/>
    </row>
    <row r="50" spans="2:16" s="910" customFormat="1">
      <c r="B50" s="908" t="s">
        <v>119</v>
      </c>
      <c r="C50" s="908">
        <f>SUM(C52:C55)</f>
        <v>0</v>
      </c>
      <c r="D50" s="908">
        <f t="shared" ref="D50:N50" si="34">SUM(D52:D55)</f>
        <v>24</v>
      </c>
      <c r="E50" s="908">
        <f t="shared" si="34"/>
        <v>15.45</v>
      </c>
      <c r="F50" s="908">
        <f t="shared" si="34"/>
        <v>2.5</v>
      </c>
      <c r="G50" s="908">
        <f t="shared" si="34"/>
        <v>10.9</v>
      </c>
      <c r="H50" s="908">
        <f t="shared" si="34"/>
        <v>14</v>
      </c>
      <c r="I50" s="908">
        <f t="shared" si="34"/>
        <v>40.31</v>
      </c>
      <c r="J50" s="908">
        <f t="shared" si="34"/>
        <v>43.53</v>
      </c>
      <c r="K50" s="908">
        <f t="shared" si="34"/>
        <v>68</v>
      </c>
      <c r="L50" s="908">
        <f t="shared" si="34"/>
        <v>0</v>
      </c>
      <c r="M50" s="908">
        <f t="shared" si="34"/>
        <v>0</v>
      </c>
      <c r="N50" s="908">
        <f t="shared" si="34"/>
        <v>0</v>
      </c>
    </row>
    <row r="51" spans="2:16" s="910" customFormat="1">
      <c r="B51" s="908" t="s">
        <v>120</v>
      </c>
      <c r="C51" s="908">
        <f>+C52+C53+C54</f>
        <v>0</v>
      </c>
      <c r="D51" s="908">
        <f t="shared" ref="D51:N51" si="35">+D52+D53+D54</f>
        <v>24</v>
      </c>
      <c r="E51" s="908">
        <f t="shared" si="35"/>
        <v>15.45</v>
      </c>
      <c r="F51" s="908">
        <f t="shared" si="35"/>
        <v>2.5</v>
      </c>
      <c r="G51" s="908">
        <f t="shared" si="35"/>
        <v>10.9</v>
      </c>
      <c r="H51" s="908">
        <f t="shared" si="35"/>
        <v>14</v>
      </c>
      <c r="I51" s="908">
        <f t="shared" si="35"/>
        <v>40.31</v>
      </c>
      <c r="J51" s="908">
        <f>+J52+J53+J54</f>
        <v>43.53</v>
      </c>
      <c r="K51" s="908">
        <f t="shared" si="35"/>
        <v>68</v>
      </c>
      <c r="L51" s="908">
        <f t="shared" si="35"/>
        <v>0</v>
      </c>
      <c r="M51" s="908">
        <f t="shared" si="35"/>
        <v>0</v>
      </c>
      <c r="N51" s="908">
        <f t="shared" si="35"/>
        <v>0</v>
      </c>
    </row>
    <row r="52" spans="2:16">
      <c r="B52" s="909" t="s">
        <v>121</v>
      </c>
      <c r="C52" s="875"/>
      <c r="D52" s="875">
        <v>18</v>
      </c>
      <c r="E52" s="875">
        <v>15.45</v>
      </c>
      <c r="F52" s="875">
        <v>2.5</v>
      </c>
      <c r="G52" s="875">
        <v>8.93</v>
      </c>
      <c r="H52" s="875"/>
      <c r="I52" s="875">
        <v>40.31</v>
      </c>
      <c r="J52" s="875">
        <v>21.53</v>
      </c>
      <c r="K52" s="875">
        <v>40</v>
      </c>
      <c r="L52" s="875"/>
      <c r="M52" s="875"/>
      <c r="N52" s="875"/>
    </row>
    <row r="53" spans="2:16">
      <c r="B53" s="909" t="s">
        <v>122</v>
      </c>
      <c r="C53" s="875"/>
      <c r="D53" s="875">
        <v>6</v>
      </c>
      <c r="E53" s="875"/>
      <c r="F53" s="875"/>
      <c r="G53" s="875">
        <v>1.97</v>
      </c>
      <c r="H53" s="875">
        <v>14</v>
      </c>
      <c r="I53" s="875"/>
      <c r="J53" s="875">
        <v>22</v>
      </c>
      <c r="K53" s="875">
        <v>28</v>
      </c>
      <c r="L53" s="875"/>
      <c r="M53" s="875"/>
      <c r="N53" s="875"/>
    </row>
    <row r="54" spans="2:16">
      <c r="B54" s="909" t="s">
        <v>123</v>
      </c>
      <c r="C54" s="875"/>
      <c r="D54" s="875"/>
      <c r="E54" s="875"/>
      <c r="F54" s="875"/>
      <c r="G54" s="875"/>
      <c r="H54" s="875"/>
      <c r="I54" s="875"/>
      <c r="J54" s="875"/>
      <c r="K54" s="875"/>
      <c r="L54" s="875"/>
      <c r="M54" s="875"/>
      <c r="N54" s="875"/>
    </row>
    <row r="55" spans="2:16">
      <c r="B55" s="909" t="s">
        <v>124</v>
      </c>
      <c r="C55" s="875"/>
      <c r="D55" s="875"/>
      <c r="E55" s="875"/>
      <c r="F55" s="875"/>
      <c r="G55" s="875"/>
      <c r="H55" s="875"/>
      <c r="I55" s="875"/>
      <c r="J55" s="875"/>
      <c r="K55" s="875"/>
      <c r="L55" s="875"/>
      <c r="M55" s="875"/>
      <c r="N55" s="875"/>
    </row>
    <row r="56" spans="2:16">
      <c r="B56" s="911" t="s">
        <v>167</v>
      </c>
      <c r="C56" s="912" t="e">
        <f>(C52+C53+C54)/C40</f>
        <v>#DIV/0!</v>
      </c>
      <c r="D56" s="912">
        <f t="shared" ref="D56:N56" si="36">(D52+D53+D54)/D40</f>
        <v>0.40080160320641278</v>
      </c>
      <c r="E56" s="912">
        <f t="shared" si="36"/>
        <v>0.30258519388954169</v>
      </c>
      <c r="F56" s="912">
        <f t="shared" si="36"/>
        <v>0.4</v>
      </c>
      <c r="G56" s="912">
        <f t="shared" si="36"/>
        <v>0.45894736842105266</v>
      </c>
      <c r="H56" s="912">
        <f t="shared" si="36"/>
        <v>0.17404276479363501</v>
      </c>
      <c r="I56" s="912">
        <f t="shared" si="36"/>
        <v>0.22588960493135335</v>
      </c>
      <c r="J56" s="912">
        <f t="shared" si="36"/>
        <v>0.28378642675532956</v>
      </c>
      <c r="K56" s="912">
        <f t="shared" si="36"/>
        <v>0.10406623509786818</v>
      </c>
      <c r="L56" s="912" t="e">
        <f t="shared" si="36"/>
        <v>#DIV/0!</v>
      </c>
      <c r="M56" s="912" t="e">
        <f t="shared" si="36"/>
        <v>#DIV/0!</v>
      </c>
      <c r="N56" s="912" t="e">
        <f t="shared" si="36"/>
        <v>#DIV/0!</v>
      </c>
    </row>
    <row r="57" spans="2:16">
      <c r="B57" s="913" t="s">
        <v>303</v>
      </c>
      <c r="C57" s="914">
        <f>AVERAGE(I56:K56)</f>
        <v>0.20458075559485034</v>
      </c>
      <c r="D57" s="914"/>
      <c r="E57" s="914"/>
      <c r="F57" s="914"/>
      <c r="G57" s="914"/>
      <c r="H57" s="914"/>
      <c r="I57" s="914"/>
      <c r="J57" s="914"/>
      <c r="K57" s="914"/>
      <c r="L57" s="914"/>
      <c r="M57" s="914"/>
      <c r="N57" s="914"/>
    </row>
    <row r="58" spans="2:16">
      <c r="B58" s="911" t="s">
        <v>299</v>
      </c>
      <c r="C58" s="912" t="e">
        <f>+D45/C19</f>
        <v>#DIV/0!</v>
      </c>
      <c r="D58" s="912">
        <f t="shared" ref="D58:N58" si="37">+E45/D19</f>
        <v>1.6655100624566273E-2</v>
      </c>
      <c r="E58" s="912">
        <f t="shared" si="37"/>
        <v>9.7846738442051925E-3</v>
      </c>
      <c r="F58" s="912">
        <f>+G45/F19</f>
        <v>4.0270270270270272E-3</v>
      </c>
      <c r="G58" s="912">
        <f t="shared" si="37"/>
        <v>2.4393617021276594E-2</v>
      </c>
      <c r="H58" s="912">
        <f>+I45/H19</f>
        <v>0</v>
      </c>
      <c r="I58" s="912">
        <f>+J45/I19</f>
        <v>4.9967923015236566E-2</v>
      </c>
      <c r="J58" s="912">
        <f>+K45/J19</f>
        <v>3.0763975155279503E-2</v>
      </c>
      <c r="K58" s="912">
        <f t="shared" si="37"/>
        <v>0</v>
      </c>
      <c r="L58" s="912" t="e">
        <f t="shared" si="37"/>
        <v>#DIV/0!</v>
      </c>
      <c r="M58" s="912" t="e">
        <f t="shared" si="37"/>
        <v>#DIV/0!</v>
      </c>
      <c r="N58" s="912" t="e">
        <f t="shared" si="37"/>
        <v>#DIV/0!</v>
      </c>
    </row>
    <row r="59" spans="2:16">
      <c r="B59" s="915" t="s">
        <v>384</v>
      </c>
      <c r="C59" s="916">
        <f>AVERAGE(H58:J58)</f>
        <v>2.6910632723505357E-2</v>
      </c>
      <c r="D59" s="916"/>
      <c r="E59" s="916"/>
      <c r="F59" s="916"/>
      <c r="G59" s="916"/>
      <c r="H59" s="916"/>
      <c r="I59" s="916"/>
      <c r="J59" s="916"/>
      <c r="K59" s="916"/>
      <c r="L59" s="916"/>
      <c r="M59" s="916"/>
      <c r="N59" s="916"/>
      <c r="O59" s="916"/>
      <c r="P59" s="916"/>
    </row>
    <row r="60" spans="2:16">
      <c r="B60" s="917" t="s">
        <v>176</v>
      </c>
      <c r="C60" s="918" t="e">
        <f>+C41*(100%-C56)</f>
        <v>#DIV/0!</v>
      </c>
      <c r="D60" s="918">
        <f t="shared" ref="D60:N60" si="38">+D41*(100%-D56)</f>
        <v>4.4332501845790365E-2</v>
      </c>
      <c r="E60" s="918">
        <f t="shared" si="38"/>
        <v>4.1287519908598296E-2</v>
      </c>
      <c r="F60" s="919">
        <f>+F41*(100%-F56)</f>
        <v>3.756051784240687E-3</v>
      </c>
      <c r="G60" s="918">
        <f t="shared" si="38"/>
        <v>1.4314575253754137E-2</v>
      </c>
      <c r="H60" s="918">
        <f>+H41*(100%-H56)</f>
        <v>6.4173951191579329E-2</v>
      </c>
      <c r="I60" s="918">
        <f t="shared" si="38"/>
        <v>0.1063934496678309</v>
      </c>
      <c r="J60" s="918">
        <f t="shared" si="38"/>
        <v>7.74441418545085E-2</v>
      </c>
      <c r="K60" s="918">
        <f t="shared" si="38"/>
        <v>0.28798770021182329</v>
      </c>
      <c r="L60" s="918" t="e">
        <f t="shared" si="38"/>
        <v>#DIV/0!</v>
      </c>
      <c r="M60" s="918" t="e">
        <f t="shared" si="38"/>
        <v>#DIV/0!</v>
      </c>
      <c r="N60" s="918" t="e">
        <f t="shared" si="38"/>
        <v>#DIV/0!</v>
      </c>
    </row>
    <row r="61" spans="2:16">
      <c r="B61" s="915" t="s">
        <v>306</v>
      </c>
      <c r="C61" s="916">
        <f>AVERAGE(I60:K60)</f>
        <v>0.15727509724472091</v>
      </c>
      <c r="D61" s="916"/>
      <c r="E61" s="916"/>
      <c r="F61" s="916"/>
      <c r="G61" s="916"/>
      <c r="H61" s="916"/>
      <c r="I61" s="916"/>
      <c r="J61" s="916"/>
      <c r="K61" s="916"/>
      <c r="L61" s="916"/>
      <c r="M61" s="916"/>
      <c r="N61" s="916"/>
      <c r="O61" s="916"/>
    </row>
    <row r="62" spans="2:16">
      <c r="B62" s="917" t="s">
        <v>300</v>
      </c>
      <c r="C62" s="920">
        <f ca="1">B3</f>
        <v>3755</v>
      </c>
      <c r="D62" s="916"/>
      <c r="E62" s="916"/>
      <c r="F62" s="916"/>
      <c r="G62" s="916"/>
      <c r="H62" s="916"/>
      <c r="I62" s="916"/>
      <c r="J62" s="916"/>
      <c r="K62" s="916"/>
      <c r="L62" s="916"/>
      <c r="M62" s="916"/>
      <c r="N62" s="916"/>
      <c r="O62" s="916"/>
    </row>
    <row r="64" spans="2:16" ht="13.15">
      <c r="B64" s="921" t="s">
        <v>307</v>
      </c>
    </row>
    <row r="66" spans="2:14" ht="13.15">
      <c r="B66" s="922" t="s">
        <v>385</v>
      </c>
      <c r="C66" s="923">
        <v>2017</v>
      </c>
      <c r="D66" s="923">
        <v>2018</v>
      </c>
      <c r="E66" s="923">
        <v>2019</v>
      </c>
      <c r="F66" s="923">
        <v>2020</v>
      </c>
      <c r="G66" s="923">
        <v>2021</v>
      </c>
      <c r="H66" s="923">
        <v>2022</v>
      </c>
      <c r="I66" s="923">
        <v>2023</v>
      </c>
      <c r="J66" s="923">
        <v>2024</v>
      </c>
      <c r="K66" s="923">
        <v>2025</v>
      </c>
      <c r="L66" s="923">
        <v>2026</v>
      </c>
      <c r="M66" s="923">
        <v>2027</v>
      </c>
      <c r="N66" s="923">
        <v>2028</v>
      </c>
    </row>
    <row r="67" spans="2:14" ht="13.15">
      <c r="B67" s="924" t="s">
        <v>309</v>
      </c>
      <c r="C67" s="925"/>
      <c r="D67" s="925"/>
      <c r="E67" s="925"/>
      <c r="F67" s="925"/>
      <c r="G67" s="925"/>
      <c r="H67" s="925"/>
      <c r="I67" s="925"/>
      <c r="J67" s="925"/>
      <c r="K67" s="925"/>
      <c r="L67" s="925"/>
      <c r="M67" s="925"/>
      <c r="N67" s="925"/>
    </row>
    <row r="68" spans="2:14" ht="13.15">
      <c r="B68" s="926" t="s">
        <v>310</v>
      </c>
      <c r="C68" s="927"/>
      <c r="D68" s="927">
        <v>198273854000</v>
      </c>
      <c r="E68" s="927">
        <v>137888613000</v>
      </c>
      <c r="F68" s="928">
        <v>307383127000</v>
      </c>
      <c r="G68" s="927">
        <v>233653186000</v>
      </c>
      <c r="H68" s="929">
        <v>507259063000</v>
      </c>
      <c r="I68" s="927">
        <v>435126875000</v>
      </c>
      <c r="J68" s="927">
        <v>405013316000</v>
      </c>
      <c r="K68" s="927">
        <v>472143023000</v>
      </c>
      <c r="L68" s="927"/>
      <c r="M68" s="927"/>
      <c r="N68" s="927"/>
    </row>
    <row r="69" spans="2:14">
      <c r="B69" s="930" t="s">
        <v>386</v>
      </c>
      <c r="C69" s="925"/>
      <c r="D69" s="925">
        <v>51555592000</v>
      </c>
      <c r="E69" s="925">
        <v>35722612000</v>
      </c>
      <c r="F69" s="925">
        <v>202514434000</v>
      </c>
      <c r="G69" s="925">
        <v>125026025000</v>
      </c>
      <c r="H69" s="931">
        <v>301762494000</v>
      </c>
      <c r="I69" s="925">
        <v>202015648000</v>
      </c>
      <c r="J69" s="925">
        <v>179173763000</v>
      </c>
      <c r="K69" s="925">
        <v>268291385000</v>
      </c>
      <c r="L69" s="925"/>
      <c r="M69" s="925"/>
      <c r="N69" s="925"/>
    </row>
    <row r="70" spans="2:14">
      <c r="B70" s="930" t="s">
        <v>387</v>
      </c>
      <c r="C70" s="925"/>
      <c r="D70" s="925">
        <v>443387000</v>
      </c>
      <c r="E70" s="925">
        <v>820621000</v>
      </c>
      <c r="F70" s="925">
        <v>135269000</v>
      </c>
      <c r="G70" s="925">
        <v>27445000</v>
      </c>
      <c r="H70" s="931">
        <v>27650000</v>
      </c>
      <c r="I70" s="925" t="s">
        <v>803</v>
      </c>
      <c r="J70" s="925">
        <v>36906168000</v>
      </c>
      <c r="K70" s="925">
        <v>5577990000</v>
      </c>
      <c r="L70" s="925"/>
      <c r="M70" s="925"/>
      <c r="N70" s="925"/>
    </row>
    <row r="71" spans="2:14">
      <c r="B71" s="930" t="s">
        <v>388</v>
      </c>
      <c r="C71" s="925"/>
      <c r="D71" s="925">
        <v>34992023000</v>
      </c>
      <c r="E71" s="925">
        <v>12514206000</v>
      </c>
      <c r="F71" s="925">
        <v>17332139000</v>
      </c>
      <c r="G71" s="925">
        <v>16326235000</v>
      </c>
      <c r="H71" s="931">
        <v>21690421000</v>
      </c>
      <c r="I71" s="925">
        <v>16370767000</v>
      </c>
      <c r="J71" s="925">
        <v>111058299000</v>
      </c>
      <c r="K71" s="925">
        <v>38773213000</v>
      </c>
      <c r="L71" s="925"/>
      <c r="M71" s="925"/>
      <c r="N71" s="925"/>
    </row>
    <row r="72" spans="2:14">
      <c r="B72" s="930" t="s">
        <v>389</v>
      </c>
      <c r="C72" s="925"/>
      <c r="D72" s="925">
        <v>60938501000</v>
      </c>
      <c r="E72" s="925">
        <v>65826632000</v>
      </c>
      <c r="F72" s="925">
        <v>66304556000</v>
      </c>
      <c r="G72" s="925">
        <v>74487937000</v>
      </c>
      <c r="H72" s="931">
        <v>99532590000</v>
      </c>
      <c r="I72" s="925">
        <v>109044234000</v>
      </c>
      <c r="J72" s="925">
        <v>19565384000</v>
      </c>
      <c r="K72" s="925">
        <v>122369806000</v>
      </c>
      <c r="L72" s="925"/>
      <c r="M72" s="925"/>
      <c r="N72" s="925"/>
    </row>
    <row r="73" spans="2:14">
      <c r="B73" s="930" t="s">
        <v>390</v>
      </c>
      <c r="C73" s="925"/>
      <c r="D73" s="925">
        <v>42502966000</v>
      </c>
      <c r="E73" s="925">
        <v>10170227000</v>
      </c>
      <c r="F73" s="925">
        <v>5046981000</v>
      </c>
      <c r="G73" s="925">
        <v>5283140000</v>
      </c>
      <c r="H73" s="931">
        <v>74286852000</v>
      </c>
      <c r="I73" s="925">
        <v>45909292000</v>
      </c>
      <c r="J73" s="925">
        <v>8198046000</v>
      </c>
      <c r="K73" s="925">
        <v>13695594000</v>
      </c>
      <c r="L73" s="925"/>
      <c r="M73" s="925"/>
      <c r="N73" s="925"/>
    </row>
    <row r="74" spans="2:14">
      <c r="B74" s="930" t="s">
        <v>391</v>
      </c>
      <c r="C74" s="932"/>
      <c r="D74" s="925">
        <v>7841385000</v>
      </c>
      <c r="E74" s="925">
        <v>12834315000</v>
      </c>
      <c r="F74" s="925">
        <v>16049748000</v>
      </c>
      <c r="G74" s="925">
        <v>12502404000</v>
      </c>
      <c r="H74" s="931">
        <v>9959056000</v>
      </c>
      <c r="I74" s="925">
        <v>9652716000</v>
      </c>
      <c r="J74" s="925"/>
      <c r="K74" s="925">
        <v>0</v>
      </c>
      <c r="L74" s="925"/>
      <c r="M74" s="925"/>
      <c r="N74" s="925"/>
    </row>
    <row r="75" spans="2:14">
      <c r="B75" s="930" t="s">
        <v>392</v>
      </c>
      <c r="C75" s="925"/>
      <c r="D75" s="925"/>
      <c r="E75" s="925"/>
      <c r="F75" s="925"/>
      <c r="G75" s="925"/>
      <c r="H75" s="931"/>
      <c r="I75" s="925"/>
      <c r="J75" s="925"/>
      <c r="K75" s="925"/>
      <c r="L75" s="925"/>
      <c r="M75" s="925"/>
      <c r="N75" s="925"/>
    </row>
    <row r="76" spans="2:14">
      <c r="B76" s="930" t="s">
        <v>318</v>
      </c>
      <c r="C76" s="925">
        <v>0</v>
      </c>
      <c r="D76" s="925">
        <v>0</v>
      </c>
      <c r="E76" s="925">
        <v>0</v>
      </c>
      <c r="F76" s="925">
        <v>0</v>
      </c>
      <c r="G76" s="925">
        <v>0</v>
      </c>
      <c r="H76" s="925">
        <v>0</v>
      </c>
      <c r="I76" s="925">
        <v>52134218000</v>
      </c>
      <c r="J76" s="925">
        <v>50111656000</v>
      </c>
      <c r="K76" s="925">
        <f t="shared" ref="K76:N76" si="39">+K68-K69-K74-K75-K73-K72-K71-K70</f>
        <v>23435035000</v>
      </c>
      <c r="L76" s="925">
        <f t="shared" si="39"/>
        <v>0</v>
      </c>
      <c r="M76" s="925">
        <f t="shared" si="39"/>
        <v>0</v>
      </c>
      <c r="N76" s="925">
        <f t="shared" si="39"/>
        <v>0</v>
      </c>
    </row>
    <row r="77" spans="2:14" ht="13.15">
      <c r="B77" s="926" t="s">
        <v>319</v>
      </c>
      <c r="C77" s="927"/>
      <c r="D77" s="927">
        <v>3114217717000</v>
      </c>
      <c r="E77" s="927">
        <v>3229045228000</v>
      </c>
      <c r="F77" s="928">
        <v>3303749728000</v>
      </c>
      <c r="G77" s="927">
        <v>3319502491000</v>
      </c>
      <c r="H77" s="929">
        <v>3975257249000</v>
      </c>
      <c r="I77" s="927">
        <v>4361208712000</v>
      </c>
      <c r="J77" s="927">
        <v>5510059655000</v>
      </c>
      <c r="K77" s="927">
        <v>7111499915000</v>
      </c>
      <c r="L77" s="927"/>
      <c r="M77" s="927"/>
      <c r="N77" s="927"/>
    </row>
    <row r="78" spans="2:14">
      <c r="B78" s="930" t="s">
        <v>393</v>
      </c>
      <c r="C78" s="925"/>
      <c r="D78" s="925">
        <v>41716561000</v>
      </c>
      <c r="E78" s="925">
        <v>42582543000</v>
      </c>
      <c r="F78" s="925">
        <v>41351815000</v>
      </c>
      <c r="G78" s="925">
        <v>39642357000</v>
      </c>
      <c r="H78" s="931">
        <v>20157153000</v>
      </c>
      <c r="I78" s="925">
        <v>21059953000</v>
      </c>
      <c r="J78" s="925">
        <v>35047337000</v>
      </c>
      <c r="K78" s="925">
        <v>37317240000</v>
      </c>
      <c r="L78" s="925"/>
      <c r="M78" s="925"/>
      <c r="N78" s="925"/>
    </row>
    <row r="79" spans="2:14">
      <c r="B79" s="930" t="s">
        <v>394</v>
      </c>
      <c r="C79" s="925"/>
      <c r="D79" s="925">
        <v>2481596000</v>
      </c>
      <c r="E79" s="925">
        <v>3093085000</v>
      </c>
      <c r="F79" s="925">
        <v>3987834000</v>
      </c>
      <c r="G79" s="925">
        <v>5691364000</v>
      </c>
      <c r="H79" s="931">
        <v>11339312000</v>
      </c>
      <c r="I79" s="925">
        <v>24027048000</v>
      </c>
      <c r="J79" s="925">
        <v>67012564000</v>
      </c>
      <c r="K79" s="925">
        <v>69421092000</v>
      </c>
      <c r="L79" s="925"/>
      <c r="M79" s="925"/>
      <c r="N79" s="925"/>
    </row>
    <row r="80" spans="2:14">
      <c r="B80" s="930" t="s">
        <v>377</v>
      </c>
      <c r="C80" s="925"/>
      <c r="D80" s="925">
        <v>83819824000</v>
      </c>
      <c r="E80" s="925">
        <v>94786551000</v>
      </c>
      <c r="F80" s="925"/>
      <c r="G80" s="925">
        <v>2136011000</v>
      </c>
      <c r="H80" s="931">
        <v>4133178000</v>
      </c>
      <c r="I80" s="925">
        <v>5389910000</v>
      </c>
      <c r="J80" s="925">
        <v>6563056000</v>
      </c>
      <c r="K80" s="925">
        <v>6735609000</v>
      </c>
      <c r="L80" s="925"/>
      <c r="M80" s="925"/>
      <c r="N80" s="925"/>
    </row>
    <row r="81" spans="2:14">
      <c r="B81" s="930" t="s">
        <v>484</v>
      </c>
      <c r="C81" s="925"/>
      <c r="D81" s="925">
        <v>4312655000</v>
      </c>
      <c r="E81" s="925">
        <v>4665718000</v>
      </c>
      <c r="F81" s="925">
        <v>81982675000</v>
      </c>
      <c r="G81" s="925">
        <v>88740606000</v>
      </c>
      <c r="H81" s="931">
        <v>87790768000</v>
      </c>
      <c r="I81" s="925">
        <v>94801636000</v>
      </c>
      <c r="J81" s="925"/>
      <c r="K81" s="925"/>
      <c r="L81" s="925"/>
      <c r="M81" s="925"/>
      <c r="N81" s="925"/>
    </row>
    <row r="82" spans="2:14">
      <c r="B82" s="930" t="s">
        <v>487</v>
      </c>
      <c r="C82" s="925"/>
      <c r="D82" s="925">
        <v>357778000</v>
      </c>
      <c r="E82" s="925">
        <v>357778000</v>
      </c>
      <c r="F82" s="925">
        <v>4590807000</v>
      </c>
      <c r="G82" s="925">
        <v>3831767000</v>
      </c>
      <c r="H82" s="931">
        <v>5217508000</v>
      </c>
      <c r="I82" s="925">
        <v>5260289000</v>
      </c>
      <c r="J82" s="925">
        <v>6664914000</v>
      </c>
      <c r="K82" s="925">
        <v>7748340000</v>
      </c>
      <c r="L82" s="925"/>
      <c r="M82" s="925"/>
      <c r="N82" s="925"/>
    </row>
    <row r="83" spans="2:14">
      <c r="B83" s="930" t="s">
        <v>522</v>
      </c>
      <c r="C83" s="925"/>
      <c r="D83" s="925">
        <v>3010233000</v>
      </c>
      <c r="E83" s="925">
        <v>3346491000</v>
      </c>
      <c r="F83" s="925">
        <v>357778000</v>
      </c>
      <c r="G83" s="925">
        <v>357778000</v>
      </c>
      <c r="H83" s="931">
        <v>357778000</v>
      </c>
      <c r="I83" s="925">
        <v>357778000</v>
      </c>
      <c r="J83" s="925"/>
      <c r="K83" s="925"/>
      <c r="L83" s="925"/>
      <c r="M83" s="925"/>
      <c r="N83" s="925"/>
    </row>
    <row r="84" spans="2:14">
      <c r="B84" s="930" t="s">
        <v>396</v>
      </c>
      <c r="C84" s="925"/>
      <c r="D84" s="925">
        <v>2950270199000</v>
      </c>
      <c r="E84" s="925">
        <v>3052309866000</v>
      </c>
      <c r="F84" s="925">
        <v>3871438000</v>
      </c>
      <c r="G84" s="925">
        <v>3956564000</v>
      </c>
      <c r="H84" s="931">
        <v>3794786000</v>
      </c>
      <c r="I84" s="925">
        <v>2928849000</v>
      </c>
      <c r="J84" s="925">
        <v>6371963000</v>
      </c>
      <c r="K84" s="925">
        <v>7036854000</v>
      </c>
      <c r="L84" s="925"/>
      <c r="M84" s="925"/>
      <c r="N84" s="925"/>
    </row>
    <row r="85" spans="2:14">
      <c r="B85" s="930" t="s">
        <v>398</v>
      </c>
      <c r="C85" s="925"/>
      <c r="D85" s="925">
        <v>16341601000</v>
      </c>
      <c r="E85" s="925">
        <v>13559188000</v>
      </c>
      <c r="F85" s="932">
        <v>3136473737000</v>
      </c>
      <c r="G85" s="925">
        <v>3142432279000</v>
      </c>
      <c r="H85" s="931">
        <v>3803168928000</v>
      </c>
      <c r="I85" s="925">
        <v>4166498735000</v>
      </c>
      <c r="J85" s="925">
        <v>5356540334000</v>
      </c>
      <c r="K85" s="925">
        <v>6961880467000</v>
      </c>
      <c r="L85" s="925"/>
      <c r="M85" s="925"/>
      <c r="N85" s="925"/>
    </row>
    <row r="86" spans="2:14">
      <c r="B86" s="930" t="s">
        <v>523</v>
      </c>
      <c r="C86" s="925"/>
      <c r="D86" s="925">
        <v>11907270000</v>
      </c>
      <c r="E86" s="925">
        <v>14344008</v>
      </c>
      <c r="F86" s="925">
        <v>13842714000</v>
      </c>
      <c r="G86" s="925">
        <v>10460577000</v>
      </c>
      <c r="H86" s="931">
        <v>4950220000</v>
      </c>
      <c r="I86" s="925"/>
      <c r="J86" s="925"/>
      <c r="K86" s="925"/>
      <c r="L86" s="925"/>
      <c r="M86" s="925"/>
      <c r="N86" s="925"/>
    </row>
    <row r="87" spans="2:14">
      <c r="B87" s="930" t="s">
        <v>523</v>
      </c>
      <c r="C87" s="925"/>
      <c r="D87" s="925"/>
      <c r="E87" s="925"/>
      <c r="F87" s="925">
        <v>17290930000</v>
      </c>
      <c r="G87" s="925">
        <v>22253188000</v>
      </c>
      <c r="H87" s="931">
        <v>34347618000</v>
      </c>
      <c r="I87" s="925">
        <v>40884514000</v>
      </c>
      <c r="J87" s="925">
        <v>31859487000</v>
      </c>
      <c r="K87" s="925">
        <v>21360313000</v>
      </c>
      <c r="L87" s="925"/>
      <c r="M87" s="925"/>
      <c r="N87" s="925"/>
    </row>
    <row r="88" spans="2:14">
      <c r="B88" s="930" t="s">
        <v>328</v>
      </c>
      <c r="C88" s="925"/>
      <c r="D88" s="925">
        <f>+D77-D78-D79-D80-D81-D82-D83-D84-D85-D86-D87</f>
        <v>0</v>
      </c>
      <c r="E88" s="925">
        <f t="shared" ref="E88:J88" si="40">+E77-E78-E79-E80-E81-E82-E83-E84-E85-E86-E87</f>
        <v>14329663992</v>
      </c>
      <c r="F88" s="925">
        <f t="shared" si="40"/>
        <v>0</v>
      </c>
      <c r="G88" s="925">
        <f t="shared" si="40"/>
        <v>0</v>
      </c>
      <c r="H88" s="925">
        <f t="shared" si="40"/>
        <v>0</v>
      </c>
      <c r="I88" s="925">
        <f t="shared" si="40"/>
        <v>0</v>
      </c>
      <c r="J88" s="925">
        <f t="shared" si="40"/>
        <v>0</v>
      </c>
      <c r="K88" s="925">
        <f>+K77-K84-K85-K83-K78-K86-K82-K81-K80-K79-K87</f>
        <v>0</v>
      </c>
      <c r="L88" s="925">
        <f>+L77-L84-L85-L83-L78-L86-L82-L81-L80-L79</f>
        <v>0</v>
      </c>
      <c r="M88" s="925">
        <f>+M77-M84-M85-M83-M78-M86-M82-M81-M80-M79</f>
        <v>0</v>
      </c>
      <c r="N88" s="925">
        <f>+N77-N84-N85-N83-N78-N86-N82-N81-N80-N79</f>
        <v>0</v>
      </c>
    </row>
    <row r="89" spans="2:14" ht="13.15">
      <c r="B89" s="933" t="s">
        <v>329</v>
      </c>
      <c r="C89" s="934">
        <f t="shared" ref="C89:N89" si="41">+C77+C68</f>
        <v>0</v>
      </c>
      <c r="D89" s="934">
        <f t="shared" si="41"/>
        <v>3312491571000</v>
      </c>
      <c r="E89" s="934">
        <f t="shared" si="41"/>
        <v>3366933841000</v>
      </c>
      <c r="F89" s="934">
        <f t="shared" si="41"/>
        <v>3611132855000</v>
      </c>
      <c r="G89" s="934">
        <f t="shared" si="41"/>
        <v>3553155677000</v>
      </c>
      <c r="H89" s="935">
        <f t="shared" si="41"/>
        <v>4482516312000</v>
      </c>
      <c r="I89" s="935">
        <f t="shared" si="41"/>
        <v>4796335587000</v>
      </c>
      <c r="J89" s="935">
        <f t="shared" si="41"/>
        <v>5915072971000</v>
      </c>
      <c r="K89" s="935">
        <f t="shared" si="41"/>
        <v>7583642938000</v>
      </c>
      <c r="L89" s="935">
        <f t="shared" si="41"/>
        <v>0</v>
      </c>
      <c r="M89" s="935">
        <f t="shared" si="41"/>
        <v>0</v>
      </c>
      <c r="N89" s="935">
        <f t="shared" si="41"/>
        <v>0</v>
      </c>
    </row>
    <row r="90" spans="2:14">
      <c r="B90" s="936"/>
      <c r="C90" s="937"/>
      <c r="D90" s="937"/>
      <c r="E90" s="937"/>
      <c r="F90" s="937"/>
      <c r="G90" s="937"/>
      <c r="H90" s="938"/>
      <c r="I90" s="937"/>
      <c r="J90" s="937"/>
      <c r="K90" s="937"/>
      <c r="L90" s="937"/>
      <c r="M90" s="937"/>
      <c r="N90" s="937"/>
    </row>
    <row r="91" spans="2:14" ht="13.15">
      <c r="B91" s="922" t="s">
        <v>330</v>
      </c>
      <c r="C91" s="939"/>
      <c r="D91" s="939"/>
      <c r="E91" s="940"/>
      <c r="F91" s="940"/>
      <c r="G91" s="939"/>
      <c r="H91" s="941"/>
      <c r="I91" s="939"/>
      <c r="J91" s="939"/>
      <c r="K91" s="939"/>
      <c r="L91" s="939"/>
      <c r="M91" s="939"/>
      <c r="N91" s="939"/>
    </row>
    <row r="92" spans="2:14" ht="13.15">
      <c r="B92" s="926" t="s">
        <v>310</v>
      </c>
      <c r="C92" s="927"/>
      <c r="D92" s="927">
        <v>180324032000</v>
      </c>
      <c r="E92" s="940">
        <v>202437521000</v>
      </c>
      <c r="F92" s="940">
        <v>248210554000</v>
      </c>
      <c r="G92" s="927">
        <v>226923892000</v>
      </c>
      <c r="H92" s="929">
        <v>217902059000</v>
      </c>
      <c r="I92" s="927">
        <v>244016891000</v>
      </c>
      <c r="J92" s="927">
        <v>344475813000</v>
      </c>
      <c r="K92" s="927">
        <v>307106670000</v>
      </c>
      <c r="L92" s="927"/>
      <c r="M92" s="927"/>
      <c r="N92" s="927"/>
    </row>
    <row r="93" spans="2:14">
      <c r="B93" s="930" t="s">
        <v>525</v>
      </c>
      <c r="C93" s="925"/>
      <c r="D93" s="925">
        <v>86575939000</v>
      </c>
      <c r="E93" s="925">
        <v>110428450000</v>
      </c>
      <c r="F93" s="925">
        <v>188521643000</v>
      </c>
      <c r="G93" s="925">
        <v>148701502000</v>
      </c>
      <c r="H93" s="931">
        <v>131767000000</v>
      </c>
      <c r="I93" s="925">
        <v>49913148000</v>
      </c>
      <c r="J93" s="925">
        <v>184533058000</v>
      </c>
      <c r="K93" s="925">
        <v>127178876000</v>
      </c>
      <c r="L93" s="925"/>
      <c r="M93" s="925"/>
      <c r="N93" s="925"/>
    </row>
    <row r="94" spans="2:14">
      <c r="B94" s="930" t="s">
        <v>405</v>
      </c>
      <c r="C94" s="925"/>
      <c r="D94" s="925">
        <v>68553986000</v>
      </c>
      <c r="E94" s="925">
        <v>71489750000</v>
      </c>
      <c r="F94" s="925">
        <v>46862741000</v>
      </c>
      <c r="G94" s="925">
        <v>55453888000</v>
      </c>
      <c r="H94" s="931">
        <v>51608494000</v>
      </c>
      <c r="I94" s="925">
        <v>115756871000</v>
      </c>
      <c r="J94" s="925">
        <v>95843191000</v>
      </c>
      <c r="K94" s="925">
        <v>122277679000</v>
      </c>
      <c r="L94" s="925"/>
      <c r="M94" s="925"/>
      <c r="N94" s="925"/>
    </row>
    <row r="95" spans="2:14">
      <c r="B95" s="930" t="s">
        <v>526</v>
      </c>
      <c r="C95" s="925"/>
      <c r="D95" s="925">
        <v>395914000</v>
      </c>
      <c r="E95" s="925">
        <v>658806000</v>
      </c>
      <c r="F95" s="925">
        <v>1678534000</v>
      </c>
      <c r="G95" s="925">
        <v>3100998000</v>
      </c>
      <c r="H95" s="931">
        <v>2701257000</v>
      </c>
      <c r="I95" s="925">
        <v>34486698000</v>
      </c>
      <c r="J95" s="925">
        <v>2641613000</v>
      </c>
      <c r="K95" s="925">
        <v>2296174000</v>
      </c>
      <c r="L95" s="925"/>
      <c r="M95" s="925"/>
      <c r="N95" s="925"/>
    </row>
    <row r="96" spans="2:14">
      <c r="B96" s="930" t="s">
        <v>407</v>
      </c>
      <c r="C96" s="925"/>
      <c r="D96" s="925">
        <v>0</v>
      </c>
      <c r="E96" s="925">
        <v>2011801000</v>
      </c>
      <c r="F96" s="925">
        <v>1213568000</v>
      </c>
      <c r="G96" s="925">
        <v>1439153000</v>
      </c>
      <c r="H96" s="931">
        <v>1620240000</v>
      </c>
      <c r="I96" s="925">
        <v>1503311000</v>
      </c>
      <c r="J96" s="925">
        <v>1692424000</v>
      </c>
      <c r="K96" s="925">
        <v>1120725000</v>
      </c>
      <c r="L96" s="925"/>
      <c r="M96" s="925"/>
      <c r="N96" s="925"/>
    </row>
    <row r="97" spans="2:14">
      <c r="B97" s="930" t="s">
        <v>527</v>
      </c>
      <c r="C97" s="925"/>
      <c r="D97" s="925">
        <v>453113000</v>
      </c>
      <c r="E97" s="925">
        <v>470259000</v>
      </c>
      <c r="F97" s="925">
        <v>618660000</v>
      </c>
      <c r="G97" s="925">
        <v>896600000</v>
      </c>
      <c r="H97" s="931">
        <v>746945000</v>
      </c>
      <c r="I97" s="925">
        <v>706795000</v>
      </c>
      <c r="J97" s="925">
        <v>884435000</v>
      </c>
      <c r="K97" s="925">
        <v>876442000</v>
      </c>
      <c r="L97" s="925"/>
      <c r="M97" s="925"/>
      <c r="N97" s="925"/>
    </row>
    <row r="98" spans="2:14">
      <c r="B98" s="930" t="s">
        <v>495</v>
      </c>
      <c r="C98" s="925"/>
      <c r="D98" s="925">
        <v>6633365000</v>
      </c>
      <c r="E98" s="925">
        <v>4395915000</v>
      </c>
      <c r="F98" s="925">
        <v>1641128000</v>
      </c>
      <c r="G98" s="925">
        <v>2502503000</v>
      </c>
      <c r="H98" s="931">
        <v>10369847000</v>
      </c>
      <c r="I98" s="925">
        <v>20860829000</v>
      </c>
      <c r="J98" s="925">
        <v>22601347000</v>
      </c>
      <c r="K98" s="925">
        <v>16810368000</v>
      </c>
      <c r="L98" s="925"/>
      <c r="M98" s="925"/>
      <c r="N98" s="925"/>
    </row>
    <row r="99" spans="2:14">
      <c r="B99" s="930" t="s">
        <v>404</v>
      </c>
      <c r="C99" s="925"/>
      <c r="D99" s="925">
        <v>12276999000</v>
      </c>
      <c r="E99" s="925">
        <v>8254520000</v>
      </c>
      <c r="F99" s="925">
        <v>3988059000</v>
      </c>
      <c r="G99" s="925">
        <v>8678638000</v>
      </c>
      <c r="H99" s="931">
        <v>11018483000</v>
      </c>
      <c r="I99" s="925">
        <v>10422178000</v>
      </c>
      <c r="J99" s="925">
        <v>13102988000</v>
      </c>
      <c r="K99" s="925">
        <v>16299760000</v>
      </c>
      <c r="L99" s="925"/>
      <c r="M99" s="925"/>
      <c r="N99" s="925"/>
    </row>
    <row r="100" spans="2:14">
      <c r="B100" s="930"/>
      <c r="C100" s="925"/>
      <c r="D100" s="925">
        <v>5434716000</v>
      </c>
      <c r="E100" s="925">
        <v>4728020000</v>
      </c>
      <c r="F100" s="925">
        <v>3686221000</v>
      </c>
      <c r="G100" s="925">
        <v>6150610000</v>
      </c>
      <c r="H100" s="931">
        <v>8069793000</v>
      </c>
      <c r="I100" s="925">
        <v>10367061000</v>
      </c>
      <c r="J100" s="925">
        <v>23176757000</v>
      </c>
      <c r="K100" s="925">
        <v>20246646000</v>
      </c>
      <c r="L100" s="925"/>
      <c r="M100" s="925"/>
      <c r="N100" s="925"/>
    </row>
    <row r="101" spans="2:14">
      <c r="B101" s="930" t="s">
        <v>410</v>
      </c>
      <c r="C101" s="925">
        <f t="shared" ref="C101:N101" si="42">+C92-C93-C99-C100-C98-C97-C96-C95-C94</f>
        <v>0</v>
      </c>
      <c r="D101" s="925">
        <f>+D92-D93-D99-D100-D98-D97-D96-D95-D94</f>
        <v>0</v>
      </c>
      <c r="E101" s="925">
        <f t="shared" ref="E101:J101" si="43">+E92-E93-E99-E100-E98-E97-E96-E95-E94</f>
        <v>0</v>
      </c>
      <c r="F101" s="925">
        <f t="shared" si="43"/>
        <v>0</v>
      </c>
      <c r="G101" s="925">
        <f t="shared" si="43"/>
        <v>0</v>
      </c>
      <c r="H101" s="925">
        <f t="shared" si="43"/>
        <v>0</v>
      </c>
      <c r="I101" s="925">
        <f t="shared" si="43"/>
        <v>0</v>
      </c>
      <c r="J101" s="925">
        <f t="shared" si="43"/>
        <v>0</v>
      </c>
      <c r="K101" s="925">
        <f t="shared" si="42"/>
        <v>0</v>
      </c>
      <c r="L101" s="925">
        <f t="shared" si="42"/>
        <v>0</v>
      </c>
      <c r="M101" s="925">
        <f t="shared" si="42"/>
        <v>0</v>
      </c>
      <c r="N101" s="925">
        <f t="shared" si="42"/>
        <v>0</v>
      </c>
    </row>
    <row r="102" spans="2:14" ht="13.15">
      <c r="B102" s="926" t="s">
        <v>319</v>
      </c>
      <c r="C102" s="927"/>
      <c r="D102" s="927">
        <v>1320725946000</v>
      </c>
      <c r="E102" s="927">
        <v>1268906168000</v>
      </c>
      <c r="F102" s="927">
        <v>1484516714000</v>
      </c>
      <c r="G102" s="927">
        <v>1409014743000</v>
      </c>
      <c r="H102" s="927">
        <v>1864363579000</v>
      </c>
      <c r="I102" s="927">
        <v>1919631178000</v>
      </c>
      <c r="J102" s="927">
        <v>2379547336000</v>
      </c>
      <c r="K102" s="927">
        <v>2751983135000</v>
      </c>
      <c r="L102" s="927"/>
      <c r="M102" s="927"/>
      <c r="N102" s="927"/>
    </row>
    <row r="103" spans="2:14">
      <c r="B103" s="930" t="s">
        <v>525</v>
      </c>
      <c r="C103" s="925"/>
      <c r="D103" s="925">
        <v>858176101000</v>
      </c>
      <c r="E103" s="925">
        <v>783324517000</v>
      </c>
      <c r="F103" s="925">
        <v>1001258338000</v>
      </c>
      <c r="G103" s="925">
        <v>884219710000</v>
      </c>
      <c r="H103" s="925">
        <v>1168610114000</v>
      </c>
      <c r="I103" s="925">
        <v>1214097274000</v>
      </c>
      <c r="J103" s="925">
        <v>1433041928000</v>
      </c>
      <c r="K103" s="925">
        <v>1452136317000</v>
      </c>
      <c r="L103" s="925"/>
      <c r="M103" s="925"/>
      <c r="N103" s="925"/>
    </row>
    <row r="104" spans="2:14">
      <c r="B104" s="930" t="s">
        <v>405</v>
      </c>
      <c r="C104" s="925"/>
      <c r="D104" s="925">
        <v>1076211000</v>
      </c>
      <c r="E104" s="925">
        <v>1074495000</v>
      </c>
      <c r="F104" s="925">
        <v>1074634000</v>
      </c>
      <c r="G104" s="925">
        <v>1098361000</v>
      </c>
      <c r="H104" s="931">
        <v>1202938000</v>
      </c>
      <c r="I104" s="925">
        <v>1216263000</v>
      </c>
      <c r="J104" s="925">
        <v>1415976000</v>
      </c>
      <c r="K104" s="925">
        <v>1622447000</v>
      </c>
      <c r="L104" s="925"/>
      <c r="M104" s="925"/>
      <c r="N104" s="925"/>
    </row>
    <row r="105" spans="2:14">
      <c r="B105" s="930" t="s">
        <v>528</v>
      </c>
      <c r="C105" s="925"/>
      <c r="D105" s="925">
        <v>0</v>
      </c>
      <c r="E105" s="925">
        <v>16825861000</v>
      </c>
      <c r="F105" s="925">
        <v>0</v>
      </c>
      <c r="G105" s="925">
        <v>33191476000</v>
      </c>
      <c r="H105" s="931">
        <v>32714418000</v>
      </c>
      <c r="I105" s="925">
        <v>0</v>
      </c>
      <c r="J105" s="925">
        <v>0</v>
      </c>
      <c r="K105" s="925">
        <v>0</v>
      </c>
      <c r="L105" s="925"/>
      <c r="M105" s="925"/>
      <c r="N105" s="925"/>
    </row>
    <row r="106" spans="2:14">
      <c r="B106" s="930" t="s">
        <v>407</v>
      </c>
      <c r="C106" s="925"/>
      <c r="D106" s="925">
        <v>0</v>
      </c>
      <c r="E106" s="925"/>
      <c r="F106" s="925">
        <v>15990374000</v>
      </c>
      <c r="G106" s="925">
        <v>17052758000</v>
      </c>
      <c r="H106" s="931">
        <v>18195031000</v>
      </c>
      <c r="I106" s="925">
        <v>17584225000</v>
      </c>
      <c r="J106" s="925">
        <v>18495490000</v>
      </c>
      <c r="K106" s="925">
        <v>15002880000</v>
      </c>
      <c r="L106" s="925"/>
      <c r="M106" s="925"/>
      <c r="N106" s="925"/>
    </row>
    <row r="107" spans="2:14">
      <c r="B107" s="930" t="s">
        <v>339</v>
      </c>
      <c r="C107" s="925"/>
      <c r="D107" s="925">
        <v>440352270000</v>
      </c>
      <c r="E107" s="925">
        <v>440007841000</v>
      </c>
      <c r="F107" s="925">
        <v>440370164000</v>
      </c>
      <c r="G107" s="925">
        <v>446872478000</v>
      </c>
      <c r="H107" s="931">
        <v>614500790000</v>
      </c>
      <c r="I107" s="925">
        <v>656452668000</v>
      </c>
      <c r="J107" s="925">
        <v>892939697000</v>
      </c>
      <c r="K107" s="925">
        <v>1248762434000</v>
      </c>
      <c r="L107" s="925"/>
      <c r="M107" s="925"/>
      <c r="N107" s="925"/>
    </row>
    <row r="108" spans="2:14">
      <c r="B108" s="930" t="s">
        <v>529</v>
      </c>
      <c r="C108" s="925"/>
      <c r="D108" s="925">
        <v>1330670000</v>
      </c>
      <c r="E108" s="925">
        <v>4992047000</v>
      </c>
      <c r="F108" s="925">
        <v>1367323000</v>
      </c>
      <c r="G108" s="925">
        <v>1520019000</v>
      </c>
      <c r="H108" s="931">
        <v>1647080000</v>
      </c>
      <c r="I108" s="925">
        <v>4337804000</v>
      </c>
      <c r="J108" s="925">
        <v>5166831000</v>
      </c>
      <c r="K108" s="925">
        <v>4954555000</v>
      </c>
      <c r="L108" s="925"/>
      <c r="M108" s="925"/>
      <c r="N108" s="925"/>
    </row>
    <row r="109" spans="2:14">
      <c r="B109" s="930" t="s">
        <v>530</v>
      </c>
      <c r="C109" s="925"/>
      <c r="D109" s="925">
        <v>19790694000</v>
      </c>
      <c r="E109" s="925">
        <v>22681407000</v>
      </c>
      <c r="F109" s="925">
        <v>24455881000</v>
      </c>
      <c r="G109" s="925">
        <v>25059941000</v>
      </c>
      <c r="H109" s="931">
        <v>27493208000</v>
      </c>
      <c r="I109" s="925">
        <v>25942944000</v>
      </c>
      <c r="J109" s="925">
        <v>28487414000</v>
      </c>
      <c r="K109" s="925">
        <v>29504502000</v>
      </c>
      <c r="L109" s="925"/>
      <c r="M109" s="925"/>
      <c r="N109" s="925"/>
    </row>
    <row r="110" spans="2:14">
      <c r="B110" s="930" t="s">
        <v>531</v>
      </c>
      <c r="C110" s="925">
        <f t="shared" ref="C110:F110" si="44">+C102-C103-C104-C105-C106-C107-C108-C109</f>
        <v>0</v>
      </c>
      <c r="D110" s="925">
        <f>+D102-D103-D104-D105-D106-D107-D108-D109</f>
        <v>0</v>
      </c>
      <c r="E110" s="925">
        <f t="shared" si="44"/>
        <v>0</v>
      </c>
      <c r="F110" s="925">
        <f t="shared" si="44"/>
        <v>0</v>
      </c>
      <c r="G110" s="925">
        <f>+G102-G103-G104-G105-G106-G107-G108-G109</f>
        <v>0</v>
      </c>
      <c r="H110" s="925">
        <f>+H102-H103-H104-H105-H106-H107-H108-H109</f>
        <v>0</v>
      </c>
      <c r="I110" s="925">
        <f t="shared" ref="I110:N110" si="45">+I102-I103-I104-I105-I106-I107-I108-I109</f>
        <v>0</v>
      </c>
      <c r="J110" s="925">
        <f t="shared" si="45"/>
        <v>0</v>
      </c>
      <c r="K110" s="925">
        <f t="shared" si="45"/>
        <v>0</v>
      </c>
      <c r="L110" s="925">
        <f t="shared" si="45"/>
        <v>0</v>
      </c>
      <c r="M110" s="925">
        <f t="shared" si="45"/>
        <v>0</v>
      </c>
      <c r="N110" s="925">
        <f t="shared" si="45"/>
        <v>0</v>
      </c>
    </row>
    <row r="111" spans="2:14" ht="13.15">
      <c r="B111" s="933" t="s">
        <v>342</v>
      </c>
      <c r="C111" s="934">
        <f>+C102+C92</f>
        <v>0</v>
      </c>
      <c r="D111" s="934">
        <f t="shared" ref="D111:N111" si="46">+D102+D92</f>
        <v>1501049978000</v>
      </c>
      <c r="E111" s="934">
        <f t="shared" si="46"/>
        <v>1471343689000</v>
      </c>
      <c r="F111" s="934">
        <f t="shared" si="46"/>
        <v>1732727268000</v>
      </c>
      <c r="G111" s="934">
        <f t="shared" si="46"/>
        <v>1635938635000</v>
      </c>
      <c r="H111" s="935">
        <f t="shared" si="46"/>
        <v>2082265638000</v>
      </c>
      <c r="I111" s="935">
        <f t="shared" si="46"/>
        <v>2163648069000</v>
      </c>
      <c r="J111" s="935">
        <f t="shared" si="46"/>
        <v>2724023149000</v>
      </c>
      <c r="K111" s="935">
        <f t="shared" si="46"/>
        <v>3059089805000</v>
      </c>
      <c r="L111" s="935">
        <f t="shared" si="46"/>
        <v>0</v>
      </c>
      <c r="M111" s="935">
        <f t="shared" si="46"/>
        <v>0</v>
      </c>
      <c r="N111" s="935">
        <f t="shared" si="46"/>
        <v>0</v>
      </c>
    </row>
    <row r="112" spans="2:14">
      <c r="B112" s="936"/>
      <c r="C112" s="936"/>
      <c r="D112" s="936"/>
      <c r="E112" s="936"/>
      <c r="F112" s="936"/>
      <c r="G112" s="936"/>
      <c r="H112" s="936"/>
      <c r="I112" s="936"/>
      <c r="J112" s="936"/>
      <c r="K112" s="936"/>
      <c r="L112" s="936"/>
      <c r="M112" s="936"/>
      <c r="N112" s="936"/>
    </row>
    <row r="113" spans="2:14" ht="13.15">
      <c r="B113" s="922" t="s">
        <v>343</v>
      </c>
      <c r="C113" s="939"/>
      <c r="D113" s="939"/>
      <c r="E113" s="939"/>
      <c r="F113" s="939"/>
      <c r="G113" s="939"/>
      <c r="H113" s="941"/>
      <c r="I113" s="939"/>
      <c r="J113" s="939"/>
      <c r="K113" s="939"/>
      <c r="L113" s="939"/>
      <c r="M113" s="939"/>
      <c r="N113" s="939"/>
    </row>
    <row r="114" spans="2:14">
      <c r="B114" s="930" t="s">
        <v>532</v>
      </c>
      <c r="C114" s="931"/>
      <c r="D114" s="931">
        <v>175122686000</v>
      </c>
      <c r="E114" s="931">
        <v>175122686000</v>
      </c>
      <c r="F114" s="931">
        <v>175122686000</v>
      </c>
      <c r="G114" s="931">
        <v>175122686000</v>
      </c>
      <c r="H114" s="931">
        <v>175122686000</v>
      </c>
      <c r="I114" s="931">
        <v>175122686000</v>
      </c>
      <c r="J114" s="931">
        <v>464499686000</v>
      </c>
      <c r="K114" s="931">
        <v>464499686000</v>
      </c>
      <c r="L114" s="931"/>
      <c r="M114" s="931"/>
      <c r="N114" s="931"/>
    </row>
    <row r="115" spans="2:14">
      <c r="B115" s="930" t="s">
        <v>533</v>
      </c>
      <c r="C115" s="925"/>
      <c r="D115" s="925">
        <v>1473698466000</v>
      </c>
      <c r="E115" s="925">
        <v>1527046422000</v>
      </c>
      <c r="F115" s="925">
        <v>1534893628000</v>
      </c>
      <c r="G115" s="925">
        <v>1566186200000</v>
      </c>
      <c r="H115" s="931">
        <v>2056796847000</v>
      </c>
      <c r="I115" s="925">
        <v>2347038057000</v>
      </c>
      <c r="J115" s="925">
        <v>2591607732000</v>
      </c>
      <c r="K115" s="925">
        <v>3887986663000</v>
      </c>
      <c r="L115" s="925"/>
      <c r="M115" s="925"/>
      <c r="N115" s="925"/>
    </row>
    <row r="116" spans="2:14">
      <c r="B116" s="930" t="s">
        <v>753</v>
      </c>
      <c r="C116" s="925"/>
      <c r="D116" s="925">
        <v>123573274000</v>
      </c>
      <c r="E116" s="925">
        <v>123573274000</v>
      </c>
      <c r="F116" s="925">
        <v>123573274000</v>
      </c>
      <c r="G116" s="925">
        <v>123573274000</v>
      </c>
      <c r="H116" s="931">
        <v>123573274000</v>
      </c>
      <c r="I116" s="925">
        <v>123573274000</v>
      </c>
      <c r="J116" s="925">
        <v>139259994000</v>
      </c>
      <c r="K116" s="925">
        <v>139259994000</v>
      </c>
      <c r="L116" s="925"/>
      <c r="M116" s="925"/>
      <c r="N116" s="925"/>
    </row>
    <row r="117" spans="2:14">
      <c r="B117" s="930" t="s">
        <v>345</v>
      </c>
      <c r="C117" s="925"/>
      <c r="D117" s="925">
        <v>-72763909000</v>
      </c>
      <c r="E117" s="925">
        <v>-59235879000</v>
      </c>
      <c r="F117" s="925">
        <v>-73571042000</v>
      </c>
      <c r="G117" s="925">
        <v>-65700949000</v>
      </c>
      <c r="H117" s="931">
        <v>-92194328000</v>
      </c>
      <c r="I117" s="925">
        <v>-44680852000</v>
      </c>
      <c r="J117" s="925">
        <v>-37504337000</v>
      </c>
      <c r="K117" s="925">
        <v>-8842397000</v>
      </c>
      <c r="L117" s="925"/>
      <c r="M117" s="925"/>
      <c r="N117" s="925"/>
    </row>
    <row r="118" spans="2:14">
      <c r="B118" s="930" t="s">
        <v>419</v>
      </c>
      <c r="C118" s="925"/>
      <c r="D118" s="925">
        <v>128792168000</v>
      </c>
      <c r="E118" s="925">
        <v>146064741000</v>
      </c>
      <c r="F118" s="925">
        <v>147103186000</v>
      </c>
      <c r="G118" s="925">
        <v>149009726000</v>
      </c>
      <c r="H118" s="931">
        <v>168378479000</v>
      </c>
      <c r="I118" s="925">
        <v>31634353000</v>
      </c>
      <c r="J118" s="925">
        <v>33186747000</v>
      </c>
      <c r="K118" s="925">
        <v>41649187000</v>
      </c>
      <c r="L118" s="925"/>
      <c r="M118" s="925"/>
      <c r="N118" s="925"/>
    </row>
    <row r="119" spans="2:14" ht="13.15">
      <c r="B119" s="933" t="s">
        <v>420</v>
      </c>
      <c r="C119" s="934">
        <f>+C114+C117+C115+C116</f>
        <v>0</v>
      </c>
      <c r="D119" s="934">
        <f t="shared" ref="D119:K120" si="47">+D114+D117+D115+D116</f>
        <v>1699630517000</v>
      </c>
      <c r="E119" s="934">
        <f t="shared" si="47"/>
        <v>1766506503000</v>
      </c>
      <c r="F119" s="934">
        <f t="shared" si="47"/>
        <v>1760018546000</v>
      </c>
      <c r="G119" s="934">
        <f t="shared" si="47"/>
        <v>1799181211000</v>
      </c>
      <c r="H119" s="934">
        <f t="shared" si="47"/>
        <v>2263298479000</v>
      </c>
      <c r="I119" s="934">
        <f t="shared" si="47"/>
        <v>2601053165000</v>
      </c>
      <c r="J119" s="934">
        <f t="shared" si="47"/>
        <v>3157863075000</v>
      </c>
      <c r="K119" s="934">
        <f t="shared" si="47"/>
        <v>4482903946000</v>
      </c>
      <c r="L119" s="934"/>
      <c r="M119" s="934"/>
      <c r="N119" s="934"/>
    </row>
    <row r="120" spans="2:14" ht="13.15">
      <c r="B120" s="933" t="s">
        <v>347</v>
      </c>
      <c r="C120" s="934">
        <f>+C118+C119</f>
        <v>0</v>
      </c>
      <c r="D120" s="934">
        <f>+D118+D119</f>
        <v>1828422685000</v>
      </c>
      <c r="E120" s="934">
        <f t="shared" ref="E120:J120" si="48">+E118+E119</f>
        <v>1912571244000</v>
      </c>
      <c r="F120" s="934">
        <f t="shared" si="48"/>
        <v>1907121732000</v>
      </c>
      <c r="G120" s="934">
        <f t="shared" si="48"/>
        <v>1948190937000</v>
      </c>
      <c r="H120" s="934">
        <f t="shared" si="48"/>
        <v>2431676958000</v>
      </c>
      <c r="I120" s="934">
        <f t="shared" si="48"/>
        <v>2632687518000</v>
      </c>
      <c r="J120" s="934">
        <f t="shared" si="48"/>
        <v>3191049822000</v>
      </c>
      <c r="K120" s="934">
        <f t="shared" si="47"/>
        <v>4060053447000</v>
      </c>
      <c r="L120" s="934"/>
      <c r="M120" s="934"/>
      <c r="N120" s="934"/>
    </row>
    <row r="122" spans="2:14" ht="13.15">
      <c r="B122" s="921" t="s">
        <v>348</v>
      </c>
    </row>
    <row r="123" spans="2:14" ht="13.15">
      <c r="B123" s="942" t="s">
        <v>308</v>
      </c>
      <c r="C123" s="943">
        <v>2017</v>
      </c>
      <c r="D123" s="943">
        <v>2018</v>
      </c>
      <c r="E123" s="943">
        <v>2019</v>
      </c>
      <c r="F123" s="943">
        <v>2020</v>
      </c>
      <c r="G123" s="943">
        <v>2021</v>
      </c>
      <c r="H123" s="943">
        <v>2022</v>
      </c>
      <c r="I123" s="943">
        <v>2023</v>
      </c>
      <c r="J123" s="943">
        <v>2024</v>
      </c>
      <c r="K123" s="943">
        <v>2025</v>
      </c>
      <c r="L123" s="943">
        <v>2026</v>
      </c>
      <c r="M123" s="943">
        <v>2027</v>
      </c>
      <c r="N123" s="943">
        <v>2028</v>
      </c>
    </row>
    <row r="124" spans="2:14" ht="13.15">
      <c r="B124" s="944" t="s">
        <v>349</v>
      </c>
      <c r="C124" s="945"/>
      <c r="D124" s="945">
        <v>309369848000</v>
      </c>
      <c r="E124" s="945">
        <v>309598345000</v>
      </c>
      <c r="F124" s="945">
        <v>187329190000</v>
      </c>
      <c r="G124" s="945">
        <v>276694599000</v>
      </c>
      <c r="H124" s="945">
        <v>370898935000</v>
      </c>
      <c r="I124" s="945">
        <v>419903778000</v>
      </c>
      <c r="J124" s="945">
        <v>494605239000</v>
      </c>
      <c r="K124" s="945">
        <v>653911091000</v>
      </c>
      <c r="L124" s="945"/>
      <c r="M124" s="945"/>
      <c r="N124" s="945"/>
    </row>
    <row r="125" spans="2:14">
      <c r="B125" s="946" t="s">
        <v>534</v>
      </c>
      <c r="C125" s="925"/>
      <c r="D125" s="925">
        <v>-73406979000</v>
      </c>
      <c r="E125" s="925">
        <v>-81086059000</v>
      </c>
      <c r="F125" s="925">
        <v>-84314434000</v>
      </c>
      <c r="G125" s="925">
        <v>-92089427000</v>
      </c>
      <c r="H125" s="925">
        <v>-45945160000</v>
      </c>
      <c r="I125" s="925">
        <v>-57427140000</v>
      </c>
      <c r="J125" s="925">
        <v>-60789706000</v>
      </c>
      <c r="K125" s="925">
        <v>-39055588000</v>
      </c>
      <c r="L125" s="925"/>
      <c r="M125" s="925"/>
      <c r="N125" s="925"/>
    </row>
    <row r="126" spans="2:14" ht="13.15">
      <c r="B126" s="947" t="s">
        <v>422</v>
      </c>
      <c r="C126" s="927">
        <f t="shared" ref="C126:F126" si="49">+C124+C125</f>
        <v>0</v>
      </c>
      <c r="D126" s="927">
        <f>+D124+D125</f>
        <v>235962869000</v>
      </c>
      <c r="E126" s="927">
        <f t="shared" si="49"/>
        <v>228512286000</v>
      </c>
      <c r="F126" s="927">
        <f t="shared" si="49"/>
        <v>103014756000</v>
      </c>
      <c r="G126" s="927">
        <f>+G124+G125</f>
        <v>184605172000</v>
      </c>
      <c r="H126" s="927">
        <f t="shared" ref="H126:J126" si="50">+H124+H125</f>
        <v>324953775000</v>
      </c>
      <c r="I126" s="927">
        <f t="shared" si="50"/>
        <v>362476638000</v>
      </c>
      <c r="J126" s="927">
        <f t="shared" si="50"/>
        <v>433815533000</v>
      </c>
      <c r="K126" s="927">
        <v>614855503</v>
      </c>
      <c r="L126" s="927"/>
      <c r="M126" s="927"/>
      <c r="N126" s="927"/>
    </row>
    <row r="127" spans="2:14">
      <c r="B127" s="946" t="s">
        <v>535</v>
      </c>
      <c r="C127" s="925"/>
      <c r="D127" s="925">
        <v>6479800000</v>
      </c>
      <c r="E127" s="925">
        <v>782023000</v>
      </c>
      <c r="F127" s="925">
        <v>6082216000</v>
      </c>
      <c r="G127" s="925">
        <v>4404140000</v>
      </c>
      <c r="H127" s="925">
        <v>85361135000</v>
      </c>
      <c r="I127" s="925">
        <v>195561775000</v>
      </c>
      <c r="J127" s="925">
        <v>162507167000</v>
      </c>
      <c r="K127" s="925">
        <v>1448942857000</v>
      </c>
      <c r="L127" s="925"/>
      <c r="M127" s="925"/>
      <c r="N127" s="925"/>
    </row>
    <row r="128" spans="2:14">
      <c r="B128" s="946" t="s">
        <v>536</v>
      </c>
      <c r="C128" s="925"/>
      <c r="D128" s="925">
        <v>0</v>
      </c>
      <c r="E128" s="925">
        <v>0</v>
      </c>
      <c r="F128" s="925">
        <v>0</v>
      </c>
      <c r="G128" s="925">
        <v>0</v>
      </c>
      <c r="H128" s="925">
        <v>0</v>
      </c>
      <c r="I128" s="925">
        <v>0</v>
      </c>
      <c r="J128" s="925">
        <v>0</v>
      </c>
      <c r="K128" s="925">
        <v>0</v>
      </c>
      <c r="L128" s="925"/>
      <c r="M128" s="925"/>
      <c r="N128" s="925"/>
    </row>
    <row r="129" spans="2:14">
      <c r="B129" s="946" t="s">
        <v>537</v>
      </c>
      <c r="C129" s="925"/>
      <c r="D129" s="925">
        <v>-35344100000</v>
      </c>
      <c r="E129" s="925">
        <v>-40290736000</v>
      </c>
      <c r="F129" s="925">
        <v>-40720111000</v>
      </c>
      <c r="G129" s="925">
        <v>-31829520000</v>
      </c>
      <c r="H129" s="925">
        <v>-44419958000</v>
      </c>
      <c r="I129" s="925">
        <v>-42444886000</v>
      </c>
      <c r="J129" s="925">
        <v>-55290621000</v>
      </c>
      <c r="K129" s="925">
        <v>-92236839000</v>
      </c>
      <c r="L129" s="925"/>
      <c r="M129" s="925"/>
      <c r="N129" s="925"/>
    </row>
    <row r="130" spans="2:14">
      <c r="B130" s="946" t="s">
        <v>510</v>
      </c>
      <c r="C130" s="925"/>
      <c r="D130" s="925">
        <v>-6362181000</v>
      </c>
      <c r="E130" s="925">
        <v>-3856661000</v>
      </c>
      <c r="F130" s="925">
        <v>-5139239000</v>
      </c>
      <c r="G130" s="925">
        <v>-16488427000</v>
      </c>
      <c r="H130" s="925">
        <v>-2273999000</v>
      </c>
      <c r="I130" s="925">
        <v>-1825387000</v>
      </c>
      <c r="J130" s="925">
        <v>-5158518000</v>
      </c>
      <c r="K130" s="925">
        <v>-3510685000</v>
      </c>
      <c r="L130" s="925"/>
      <c r="M130" s="925"/>
      <c r="N130" s="925"/>
    </row>
    <row r="131" spans="2:14">
      <c r="B131" s="946" t="s">
        <v>427</v>
      </c>
      <c r="C131" s="925"/>
      <c r="D131" s="925"/>
      <c r="E131" s="925"/>
      <c r="F131" s="925"/>
      <c r="G131" s="925"/>
      <c r="H131" s="925"/>
      <c r="I131" s="925"/>
      <c r="J131" s="925"/>
      <c r="K131" s="925"/>
      <c r="L131" s="925"/>
      <c r="M131" s="925"/>
      <c r="N131" s="925"/>
    </row>
    <row r="132" spans="2:14" ht="13.15">
      <c r="B132" s="947" t="s">
        <v>428</v>
      </c>
      <c r="C132" s="927"/>
      <c r="D132" s="927">
        <f>+D126+D127+D128+D129+D130+D131</f>
        <v>200736388000</v>
      </c>
      <c r="E132" s="927">
        <f t="shared" ref="E132:J132" si="51">+E126+E127+E128+E129+E130+E131</f>
        <v>185146912000</v>
      </c>
      <c r="F132" s="927">
        <f t="shared" si="51"/>
        <v>63237622000</v>
      </c>
      <c r="G132" s="927">
        <f t="shared" si="51"/>
        <v>140691365000</v>
      </c>
      <c r="H132" s="927">
        <f t="shared" si="51"/>
        <v>363620953000</v>
      </c>
      <c r="I132" s="927">
        <f t="shared" si="51"/>
        <v>513768140000</v>
      </c>
      <c r="J132" s="927">
        <f t="shared" si="51"/>
        <v>535873561000</v>
      </c>
      <c r="K132" s="927">
        <v>1968050836000</v>
      </c>
      <c r="L132" s="927"/>
      <c r="M132" s="927"/>
      <c r="N132" s="927"/>
    </row>
    <row r="133" spans="2:14">
      <c r="B133" s="946" t="s">
        <v>429</v>
      </c>
      <c r="C133" s="925"/>
      <c r="D133" s="925">
        <v>1934835000</v>
      </c>
      <c r="E133" s="925">
        <v>2176649000</v>
      </c>
      <c r="F133" s="925">
        <v>8512921000</v>
      </c>
      <c r="G133" s="948">
        <v>3093018000</v>
      </c>
      <c r="H133" s="948">
        <v>22063351000</v>
      </c>
      <c r="I133" s="948">
        <v>22828231000</v>
      </c>
      <c r="J133" s="948">
        <v>24952131000</v>
      </c>
      <c r="K133" s="948">
        <v>13959758000</v>
      </c>
      <c r="L133" s="948"/>
      <c r="M133" s="948"/>
      <c r="N133" s="948"/>
    </row>
    <row r="134" spans="2:14">
      <c r="B134" s="946" t="s">
        <v>430</v>
      </c>
      <c r="C134" s="925"/>
      <c r="D134" s="925">
        <v>-31218248000</v>
      </c>
      <c r="E134" s="925">
        <v>-32331966000</v>
      </c>
      <c r="F134" s="925">
        <v>-35374310000</v>
      </c>
      <c r="G134" s="948">
        <v>-36372483000</v>
      </c>
      <c r="H134" s="948">
        <v>-47577226000</v>
      </c>
      <c r="I134" s="948">
        <v>-46649796000</v>
      </c>
      <c r="J134" s="948">
        <v>-55855711000</v>
      </c>
      <c r="K134" s="948">
        <v>-67947156000</v>
      </c>
      <c r="L134" s="948"/>
      <c r="M134" s="948"/>
      <c r="N134" s="948"/>
    </row>
    <row r="135" spans="2:14">
      <c r="B135" s="946" t="s">
        <v>431</v>
      </c>
      <c r="C135" s="925"/>
      <c r="D135" s="925">
        <v>2763482000</v>
      </c>
      <c r="E135" s="925">
        <v>2996955000</v>
      </c>
      <c r="F135" s="925">
        <v>-359810000</v>
      </c>
      <c r="G135" s="948">
        <v>231442000</v>
      </c>
      <c r="H135" s="948">
        <v>4293805000</v>
      </c>
      <c r="I135" s="948">
        <v>2172278000</v>
      </c>
      <c r="J135" s="948">
        <v>4509036000</v>
      </c>
      <c r="K135" s="948">
        <v>0</v>
      </c>
      <c r="L135" s="948"/>
      <c r="M135" s="948"/>
      <c r="N135" s="948"/>
    </row>
    <row r="136" spans="2:14">
      <c r="B136" s="946" t="s">
        <v>432</v>
      </c>
      <c r="C136" s="925"/>
      <c r="D136" s="925">
        <v>-51745000</v>
      </c>
      <c r="E136" s="925">
        <v>234155000</v>
      </c>
      <c r="F136" s="925">
        <v>-305238000</v>
      </c>
      <c r="G136" s="948">
        <v>357862000</v>
      </c>
      <c r="H136" s="948">
        <v>1343239000</v>
      </c>
      <c r="I136" s="948">
        <v>1376707000</v>
      </c>
      <c r="J136" s="948">
        <v>14924401000</v>
      </c>
      <c r="K136" s="948">
        <v>-1235845000</v>
      </c>
      <c r="L136" s="948"/>
      <c r="M136" s="948"/>
      <c r="N136" s="948"/>
    </row>
    <row r="137" spans="2:14">
      <c r="B137" s="946" t="s">
        <v>433</v>
      </c>
      <c r="C137" s="925"/>
      <c r="D137" s="925">
        <v>-23071824000</v>
      </c>
      <c r="E137" s="925">
        <v>-20605087000</v>
      </c>
      <c r="F137" s="925">
        <v>-24297487000</v>
      </c>
      <c r="G137" s="948">
        <v>-54360668000</v>
      </c>
      <c r="H137" s="948">
        <v>-119945793000</v>
      </c>
      <c r="I137" s="948">
        <v>-55311884000</v>
      </c>
      <c r="J137" s="948">
        <v>-53232999000</v>
      </c>
      <c r="K137" s="948">
        <v>-43825108000</v>
      </c>
      <c r="L137" s="948"/>
      <c r="M137" s="948"/>
      <c r="N137" s="948"/>
    </row>
    <row r="138" spans="2:14" ht="13.15">
      <c r="B138" s="947" t="s">
        <v>362</v>
      </c>
      <c r="C138" s="927"/>
      <c r="D138" s="927">
        <f>+D132+D133+D134+D135+D136+D137</f>
        <v>151092888000</v>
      </c>
      <c r="E138" s="927">
        <f t="shared" ref="E138:J138" si="52">+E132+E133+E134+E135+E136+E137</f>
        <v>137617618000</v>
      </c>
      <c r="F138" s="927">
        <f t="shared" si="52"/>
        <v>11413698000</v>
      </c>
      <c r="G138" s="927">
        <f t="shared" si="52"/>
        <v>53640536000</v>
      </c>
      <c r="H138" s="927">
        <f t="shared" si="52"/>
        <v>223798329000</v>
      </c>
      <c r="I138" s="927">
        <f t="shared" si="52"/>
        <v>438183676000</v>
      </c>
      <c r="J138" s="927">
        <f t="shared" si="52"/>
        <v>471170419000</v>
      </c>
      <c r="K138" s="927">
        <v>1869002485000</v>
      </c>
      <c r="L138" s="927"/>
      <c r="M138" s="927"/>
      <c r="N138" s="927"/>
    </row>
    <row r="139" spans="2:14">
      <c r="B139" s="946" t="s">
        <v>363</v>
      </c>
      <c r="C139" s="925"/>
      <c r="D139" s="925">
        <v>-25343431000</v>
      </c>
      <c r="E139" s="925">
        <v>-33039006000</v>
      </c>
      <c r="F139" s="925">
        <v>-395830000</v>
      </c>
      <c r="G139" s="949">
        <v>-6039779000</v>
      </c>
      <c r="H139" s="949">
        <v>-47948055000</v>
      </c>
      <c r="I139" s="949">
        <v>-80695880000</v>
      </c>
      <c r="J139" s="949">
        <v>-129710825000</v>
      </c>
      <c r="K139" s="949">
        <v>-428024091000</v>
      </c>
      <c r="L139" s="949"/>
      <c r="M139" s="949"/>
      <c r="N139" s="949"/>
    </row>
    <row r="140" spans="2:14" ht="13.15">
      <c r="B140" s="950" t="s">
        <v>365</v>
      </c>
      <c r="C140" s="951">
        <f t="shared" ref="C140:J140" si="53">+C138+C139</f>
        <v>0</v>
      </c>
      <c r="D140" s="951">
        <f t="shared" si="53"/>
        <v>125749457000</v>
      </c>
      <c r="E140" s="951">
        <f t="shared" si="53"/>
        <v>104578612000</v>
      </c>
      <c r="F140" s="951">
        <f t="shared" si="53"/>
        <v>11017868000</v>
      </c>
      <c r="G140" s="951">
        <f t="shared" si="53"/>
        <v>47600757000</v>
      </c>
      <c r="H140" s="951">
        <f t="shared" si="53"/>
        <v>175850274000</v>
      </c>
      <c r="I140" s="951">
        <f t="shared" si="53"/>
        <v>357487796000</v>
      </c>
      <c r="J140" s="951">
        <f t="shared" si="53"/>
        <v>341459594000</v>
      </c>
      <c r="K140" s="951">
        <v>1440978394000</v>
      </c>
      <c r="L140" s="951"/>
      <c r="M140" s="951"/>
      <c r="N140" s="951"/>
    </row>
    <row r="141" spans="2:14">
      <c r="B141" s="952" t="s">
        <v>435</v>
      </c>
      <c r="C141" s="925"/>
      <c r="D141" s="925">
        <v>8390835000</v>
      </c>
      <c r="E141" s="925">
        <v>4503811000</v>
      </c>
      <c r="F141" s="925">
        <v>-1229742000</v>
      </c>
      <c r="G141" s="949">
        <v>1045060000</v>
      </c>
      <c r="H141" s="949">
        <v>18183519000</v>
      </c>
      <c r="I141" s="949">
        <v>7728943000</v>
      </c>
      <c r="J141" s="949">
        <v>5525817000</v>
      </c>
      <c r="K141" s="949">
        <v>9966798000</v>
      </c>
      <c r="L141" s="949"/>
      <c r="M141" s="949"/>
      <c r="N141" s="949"/>
    </row>
    <row r="142" spans="2:14" ht="14.25">
      <c r="B142" s="1266" t="s">
        <v>436</v>
      </c>
      <c r="C142" s="927">
        <f>+C140-C141</f>
        <v>0</v>
      </c>
      <c r="D142" s="927">
        <f t="shared" ref="D142:J142" si="54">+D140-D141</f>
        <v>117358622000</v>
      </c>
      <c r="E142" s="927">
        <f t="shared" si="54"/>
        <v>100074801000</v>
      </c>
      <c r="F142" s="927">
        <f t="shared" si="54"/>
        <v>12247610000</v>
      </c>
      <c r="G142" s="927">
        <f t="shared" si="54"/>
        <v>46555697000</v>
      </c>
      <c r="H142" s="927">
        <f t="shared" si="54"/>
        <v>157666755000</v>
      </c>
      <c r="I142" s="927">
        <f t="shared" si="54"/>
        <v>349758853000</v>
      </c>
      <c r="J142" s="927">
        <f t="shared" si="54"/>
        <v>335933777000</v>
      </c>
      <c r="K142" s="954">
        <v>1431011596000</v>
      </c>
      <c r="L142" s="954"/>
      <c r="M142" s="954"/>
      <c r="N142" s="954"/>
    </row>
    <row r="143" spans="2:14" ht="14.25">
      <c r="B143" s="1267" t="s">
        <v>366</v>
      </c>
      <c r="C143" s="1268"/>
      <c r="D143" s="1268">
        <v>59.88</v>
      </c>
      <c r="E143" s="1268">
        <v>51.06</v>
      </c>
      <c r="F143" s="1269">
        <v>6.25</v>
      </c>
      <c r="G143" s="1269">
        <v>23.75</v>
      </c>
      <c r="H143" s="1269">
        <v>80.44</v>
      </c>
      <c r="I143" s="1269">
        <v>178.45</v>
      </c>
      <c r="J143" s="1269">
        <v>153.38999999999999</v>
      </c>
      <c r="K143" s="1269">
        <v>653.42999999999995</v>
      </c>
      <c r="L143" s="1269"/>
      <c r="M143" s="1269"/>
      <c r="N143" s="1269"/>
    </row>
    <row r="145" spans="2:14" ht="13.15">
      <c r="B145" s="921" t="s">
        <v>367</v>
      </c>
    </row>
    <row r="146" spans="2:14" ht="13.15">
      <c r="B146" s="942" t="s">
        <v>308</v>
      </c>
      <c r="C146" s="943">
        <v>2017</v>
      </c>
      <c r="D146" s="943">
        <v>2018</v>
      </c>
      <c r="E146" s="943">
        <v>2019</v>
      </c>
      <c r="F146" s="943">
        <v>2020</v>
      </c>
      <c r="G146" s="943">
        <v>2021</v>
      </c>
      <c r="H146" s="943">
        <v>2022</v>
      </c>
      <c r="I146" s="943">
        <v>2023</v>
      </c>
      <c r="J146" s="943">
        <v>2024</v>
      </c>
      <c r="K146" s="943">
        <v>2025</v>
      </c>
      <c r="L146" s="943">
        <v>2026</v>
      </c>
      <c r="M146" s="943">
        <v>2027</v>
      </c>
      <c r="N146" s="943">
        <v>2028</v>
      </c>
    </row>
    <row r="147" spans="2:14" ht="13.15">
      <c r="B147" s="944" t="s">
        <v>368</v>
      </c>
      <c r="C147" s="945"/>
      <c r="D147" s="945">
        <v>206879633000</v>
      </c>
      <c r="E147" s="945">
        <v>222937457000</v>
      </c>
      <c r="F147" s="945">
        <v>83924479000</v>
      </c>
      <c r="G147" s="945">
        <v>220089473000</v>
      </c>
      <c r="H147" s="945">
        <v>275302199000</v>
      </c>
      <c r="I147" s="945">
        <v>295050433000</v>
      </c>
      <c r="J147" s="945">
        <v>300821681000</v>
      </c>
      <c r="K147" s="945">
        <v>441135400000</v>
      </c>
      <c r="L147" s="945"/>
      <c r="M147" s="945"/>
      <c r="N147" s="945"/>
    </row>
    <row r="148" spans="2:14" ht="13.15">
      <c r="B148" s="947" t="s">
        <v>369</v>
      </c>
      <c r="C148" s="949"/>
      <c r="D148" s="955">
        <v>-88236697000</v>
      </c>
      <c r="E148" s="955">
        <v>-78178426000</v>
      </c>
      <c r="F148" s="925">
        <v>-106438080000</v>
      </c>
      <c r="G148" s="955">
        <v>-70108822000</v>
      </c>
      <c r="H148" s="925">
        <v>-97988473000</v>
      </c>
      <c r="I148" s="925">
        <v>-95741401000</v>
      </c>
      <c r="J148" s="925">
        <v>-450303495000</v>
      </c>
      <c r="K148" s="925">
        <v>-90950344000</v>
      </c>
      <c r="L148" s="925"/>
      <c r="M148" s="925"/>
      <c r="N148" s="925"/>
    </row>
    <row r="149" spans="2:14">
      <c r="B149" s="946" t="s">
        <v>370</v>
      </c>
      <c r="C149" s="955"/>
      <c r="D149" s="955">
        <v>-281247000</v>
      </c>
      <c r="E149" s="955">
        <v>-342763000</v>
      </c>
      <c r="F149" s="955">
        <v>-833564000</v>
      </c>
      <c r="G149" s="955">
        <v>-397656000</v>
      </c>
      <c r="H149" s="955">
        <v>-591105000</v>
      </c>
      <c r="I149" s="955">
        <v>-813526000</v>
      </c>
      <c r="J149" s="955">
        <v>-506449000</v>
      </c>
      <c r="K149" s="955">
        <v>-1239733000</v>
      </c>
      <c r="L149" s="955"/>
      <c r="M149" s="955"/>
      <c r="N149" s="955"/>
    </row>
    <row r="150" spans="2:14" ht="13.15">
      <c r="B150" s="947" t="s">
        <v>372</v>
      </c>
      <c r="C150" s="956"/>
      <c r="D150" s="956">
        <v>-95254018000</v>
      </c>
      <c r="E150" s="927">
        <v>-160762415000</v>
      </c>
      <c r="F150" s="956">
        <v>191808746000</v>
      </c>
      <c r="G150" s="956">
        <v>-227948640000</v>
      </c>
      <c r="H150" s="956">
        <v>-394300000</v>
      </c>
      <c r="I150" s="956">
        <v>-310964194000</v>
      </c>
      <c r="J150" s="956">
        <v>126998637000</v>
      </c>
      <c r="K150" s="956">
        <v>-261188695000</v>
      </c>
      <c r="L150" s="956"/>
      <c r="M150" s="956"/>
      <c r="N150" s="956"/>
    </row>
    <row r="151" spans="2:14">
      <c r="B151" s="946" t="s">
        <v>373</v>
      </c>
      <c r="C151" s="955"/>
      <c r="D151" s="955">
        <v>-43457850000</v>
      </c>
      <c r="E151" s="925">
        <v>-49564141000</v>
      </c>
      <c r="F151" s="955">
        <v>-31681070000</v>
      </c>
      <c r="G151" s="955">
        <v>-8773675000</v>
      </c>
      <c r="H151" s="955">
        <v>-45409835000</v>
      </c>
      <c r="I151" s="955">
        <v>-11351000</v>
      </c>
      <c r="J151" s="955">
        <v>-125750816000</v>
      </c>
      <c r="K151" s="955">
        <v>-108499025000</v>
      </c>
      <c r="L151" s="955"/>
      <c r="M151" s="955"/>
      <c r="N151" s="955"/>
    </row>
    <row r="152" spans="2:14">
      <c r="B152" s="946" t="s">
        <v>437</v>
      </c>
      <c r="C152" s="955"/>
      <c r="D152" s="955">
        <v>-34004395000</v>
      </c>
      <c r="E152" s="925">
        <v>-33432423000</v>
      </c>
      <c r="F152" s="955">
        <v>-35152480000</v>
      </c>
      <c r="G152" s="955">
        <v>-34027222000</v>
      </c>
      <c r="H152" s="955">
        <v>-45184288000</v>
      </c>
      <c r="I152" s="955">
        <v>-55568032000</v>
      </c>
      <c r="J152" s="955">
        <v>-54431826000</v>
      </c>
      <c r="K152" s="955">
        <v>-68173832000</v>
      </c>
      <c r="L152" s="955"/>
      <c r="M152" s="955"/>
      <c r="N152" s="955"/>
    </row>
    <row r="153" spans="2:14" ht="13.15">
      <c r="B153" s="947" t="s">
        <v>375</v>
      </c>
      <c r="C153" s="927"/>
      <c r="D153" s="927">
        <v>51555592000</v>
      </c>
      <c r="E153" s="927">
        <v>35722612</v>
      </c>
      <c r="F153" s="927">
        <v>202514434000</v>
      </c>
      <c r="G153" s="927">
        <v>125026025000</v>
      </c>
      <c r="H153" s="927">
        <v>301762494000</v>
      </c>
      <c r="I153" s="927">
        <v>202015648000</v>
      </c>
      <c r="J153" s="927">
        <v>179173763000</v>
      </c>
      <c r="K153" s="927">
        <v>268291385000</v>
      </c>
      <c r="L153" s="927"/>
      <c r="M153" s="927"/>
      <c r="N153" s="927"/>
    </row>
    <row r="154" spans="2:14">
      <c r="B154" s="946"/>
      <c r="C154" s="925"/>
      <c r="D154" s="925"/>
      <c r="E154" s="925"/>
      <c r="F154" s="925"/>
      <c r="G154" s="925"/>
      <c r="H154" s="925"/>
      <c r="I154" s="925"/>
      <c r="J154" s="925"/>
      <c r="K154" s="925"/>
      <c r="L154" s="925"/>
      <c r="M154" s="925"/>
      <c r="N154" s="925"/>
    </row>
    <row r="155" spans="2:14" ht="13.15">
      <c r="B155" s="950" t="s">
        <v>376</v>
      </c>
      <c r="C155" s="948">
        <f>+C147+C149+C152</f>
        <v>0</v>
      </c>
      <c r="D155" s="948">
        <f t="shared" ref="D155:J155" si="55">+D147+D149+D152</f>
        <v>172593991000</v>
      </c>
      <c r="E155" s="948">
        <f t="shared" si="55"/>
        <v>189162271000</v>
      </c>
      <c r="F155" s="948">
        <f t="shared" si="55"/>
        <v>47938435000</v>
      </c>
      <c r="G155" s="948">
        <f t="shared" si="55"/>
        <v>185664595000</v>
      </c>
      <c r="H155" s="948">
        <f t="shared" si="55"/>
        <v>229526806000</v>
      </c>
      <c r="I155" s="948">
        <f t="shared" si="55"/>
        <v>238668875000</v>
      </c>
      <c r="J155" s="948">
        <f t="shared" si="55"/>
        <v>245883406000</v>
      </c>
      <c r="K155" s="948">
        <f>+K147+K149+K152</f>
        <v>371721835000</v>
      </c>
      <c r="L155" s="948"/>
      <c r="M155" s="948"/>
      <c r="N155" s="948"/>
    </row>
  </sheetData>
  <conditionalFormatting sqref="C67:H73 D74:H74 C75:H87">
    <cfRule type="cellIs" dxfId="60" priority="4" operator="lessThan">
      <formula>0</formula>
    </cfRule>
  </conditionalFormatting>
  <conditionalFormatting sqref="C124:N143">
    <cfRule type="cellIs" dxfId="59" priority="2" operator="lessThan">
      <formula>0</formula>
    </cfRule>
  </conditionalFormatting>
  <conditionalFormatting sqref="C147:N155">
    <cfRule type="cellIs" dxfId="58" priority="1" operator="lessThan">
      <formula>0</formula>
    </cfRule>
  </conditionalFormatting>
  <conditionalFormatting sqref="I67:N87 C88:N111 C113:N120">
    <cfRule type="cellIs" dxfId="57" priority="3" operator="lessThan">
      <formula>0</formula>
    </cfRule>
  </conditionalFormatting>
  <pageMargins left="0.7" right="0.7" top="0.75" bottom="0.75" header="0.3" footer="0.3"/>
  <pageSetup paperSize="9" orientation="portrait"/>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EF936-165B-40A7-8127-EF8CD1E20786}">
  <sheetPr codeName="Hoja8"/>
  <dimension ref="B2:P137"/>
  <sheetViews>
    <sheetView zoomScale="55" zoomScaleNormal="55" workbookViewId="0">
      <pane xSplit="2" ySplit="6" topLeftCell="G60" activePane="bottomRight" state="frozen"/>
      <selection pane="bottomRight" activeCell="J68" sqref="J68"/>
      <selection pane="bottomLeft" activeCell="A7" sqref="A7"/>
      <selection pane="topRight" activeCell="C1" sqref="C1"/>
    </sheetView>
  </sheetViews>
  <sheetFormatPr defaultColWidth="10.7109375" defaultRowHeight="14.25"/>
  <cols>
    <col min="1" max="1" width="4.7109375" customWidth="1"/>
    <col min="2" max="2" width="66" customWidth="1"/>
    <col min="3" max="7" width="33.28515625" customWidth="1"/>
    <col min="8" max="9" width="32" bestFit="1" customWidth="1"/>
    <col min="10" max="10" width="32" style="414" bestFit="1" customWidth="1"/>
    <col min="11" max="11" width="23" customWidth="1"/>
    <col min="12" max="14" width="22.7109375" customWidth="1"/>
  </cols>
  <sheetData>
    <row r="2" spans="2:14" ht="21">
      <c r="B2" s="313">
        <f ca="1">TODAY()-1</f>
        <v>46105</v>
      </c>
      <c r="C2" s="314"/>
      <c r="D2" s="344" t="s">
        <v>265</v>
      </c>
      <c r="E2" s="345" t="s">
        <v>266</v>
      </c>
      <c r="F2" t="s">
        <v>804</v>
      </c>
    </row>
    <row r="3" spans="2:14" ht="25.5">
      <c r="B3" s="376" cm="1">
        <f t="array" aca="1" ref="B3" ca="1">_FV(B6,"Precio")</f>
        <v>2719.9</v>
      </c>
      <c r="C3" s="316"/>
      <c r="D3" s="346">
        <f>AVERAGE(H44:J44)</f>
        <v>255.66766666666669</v>
      </c>
      <c r="E3" s="346">
        <f>AVERAGE(G43:I43)</f>
        <v>223.68366666666668</v>
      </c>
      <c r="F3">
        <f>D3/10%</f>
        <v>2556.6766666666667</v>
      </c>
    </row>
    <row r="4" spans="2:14" ht="28.5">
      <c r="B4" s="319"/>
      <c r="C4" s="320"/>
      <c r="D4" s="328"/>
      <c r="E4" s="328"/>
      <c r="F4">
        <f>D3/8%</f>
        <v>3195.8458333333338</v>
      </c>
    </row>
    <row r="6" spans="2:14" ht="25.5">
      <c r="B6" s="136" t="e" vm="48">
        <v>#VALUE!</v>
      </c>
      <c r="C6" s="136">
        <v>2017</v>
      </c>
      <c r="D6" s="136">
        <v>2018</v>
      </c>
      <c r="E6" s="136">
        <v>2019</v>
      </c>
      <c r="F6" s="136">
        <v>2020</v>
      </c>
      <c r="G6" s="136">
        <v>2021</v>
      </c>
      <c r="H6" s="136">
        <v>2022</v>
      </c>
      <c r="I6" s="136">
        <v>2023</v>
      </c>
      <c r="J6" s="505">
        <v>2024</v>
      </c>
      <c r="K6" s="136">
        <v>2025</v>
      </c>
      <c r="L6" s="136">
        <v>2026</v>
      </c>
      <c r="M6" s="136">
        <v>2027</v>
      </c>
      <c r="N6" s="136">
        <v>2028</v>
      </c>
    </row>
    <row r="7" spans="2:14" ht="25.5">
      <c r="B7" s="4" t="s">
        <v>267</v>
      </c>
      <c r="C7" s="5">
        <f>+C67</f>
        <v>35369243000</v>
      </c>
      <c r="D7" s="5">
        <f t="shared" ref="D7:I7" si="0">+D67</f>
        <v>51279431000</v>
      </c>
      <c r="E7" s="5">
        <f t="shared" si="0"/>
        <v>40913391000</v>
      </c>
      <c r="F7" s="5">
        <f t="shared" si="0"/>
        <v>57648245000</v>
      </c>
      <c r="G7" s="5">
        <f t="shared" si="0"/>
        <v>71263125000</v>
      </c>
      <c r="H7" s="5">
        <f t="shared" si="0"/>
        <v>153652579000</v>
      </c>
      <c r="I7" s="5">
        <f t="shared" si="0"/>
        <v>91177341000</v>
      </c>
      <c r="J7" s="5">
        <f t="shared" ref="J7" si="1">+J67</f>
        <v>92706261000</v>
      </c>
      <c r="K7" s="387">
        <f t="shared" ref="K7:N7" si="2">+K67</f>
        <v>0</v>
      </c>
      <c r="L7" s="5">
        <f t="shared" si="2"/>
        <v>0</v>
      </c>
      <c r="M7" s="5">
        <f t="shared" si="2"/>
        <v>0</v>
      </c>
      <c r="N7" s="5">
        <f t="shared" si="2"/>
        <v>0</v>
      </c>
    </row>
    <row r="8" spans="2:14" ht="25.5">
      <c r="B8" s="6" t="s">
        <v>268</v>
      </c>
      <c r="C8" s="7">
        <f>+C72</f>
        <v>0</v>
      </c>
      <c r="D8" s="7">
        <f t="shared" ref="D8:I8" si="3">+D72</f>
        <v>0</v>
      </c>
      <c r="E8" s="7">
        <f t="shared" si="3"/>
        <v>3360000</v>
      </c>
      <c r="F8" s="7">
        <f t="shared" si="3"/>
        <v>142286000</v>
      </c>
      <c r="G8" s="7">
        <f t="shared" si="3"/>
        <v>157255000</v>
      </c>
      <c r="H8" s="7">
        <f t="shared" si="3"/>
        <v>254661000</v>
      </c>
      <c r="I8" s="7">
        <f t="shared" si="3"/>
        <v>411411000</v>
      </c>
      <c r="J8" s="7">
        <f t="shared" ref="J8" si="4">+J72</f>
        <v>281599000</v>
      </c>
      <c r="K8" s="388">
        <f t="shared" ref="K8:N8" si="5">+K72</f>
        <v>0</v>
      </c>
      <c r="L8" s="7">
        <f t="shared" si="5"/>
        <v>0</v>
      </c>
      <c r="M8" s="7">
        <f t="shared" si="5"/>
        <v>0</v>
      </c>
      <c r="N8" s="7">
        <f t="shared" si="5"/>
        <v>0</v>
      </c>
    </row>
    <row r="9" spans="2:14" ht="25.5">
      <c r="B9" s="6" t="s">
        <v>377</v>
      </c>
      <c r="C9" s="7">
        <f>C70</f>
        <v>10924613000</v>
      </c>
      <c r="D9" s="7">
        <f t="shared" ref="D9:N9" si="6">D70</f>
        <v>11072099000</v>
      </c>
      <c r="E9" s="7">
        <f t="shared" si="6"/>
        <v>12882783000</v>
      </c>
      <c r="F9" s="7">
        <f t="shared" si="6"/>
        <v>10622733000</v>
      </c>
      <c r="G9" s="7">
        <f t="shared" si="6"/>
        <v>7223764000</v>
      </c>
      <c r="H9" s="7">
        <f t="shared" si="6"/>
        <v>33943282000</v>
      </c>
      <c r="I9" s="7">
        <f t="shared" si="6"/>
        <v>21452463000</v>
      </c>
      <c r="J9" s="7">
        <f t="shared" si="6"/>
        <v>22682507000</v>
      </c>
      <c r="K9" s="7">
        <f t="shared" si="6"/>
        <v>0</v>
      </c>
      <c r="L9" s="7">
        <f t="shared" si="6"/>
        <v>0</v>
      </c>
      <c r="M9" s="7">
        <f t="shared" si="6"/>
        <v>0</v>
      </c>
      <c r="N9" s="7">
        <f t="shared" si="6"/>
        <v>0</v>
      </c>
    </row>
    <row r="10" spans="2:14" ht="25.5">
      <c r="B10" s="4" t="s">
        <v>269</v>
      </c>
      <c r="C10" s="5">
        <f>+C74</f>
        <v>186760346000</v>
      </c>
      <c r="D10" s="5">
        <f t="shared" ref="D10:I10" si="7">+D74</f>
        <v>179693183000</v>
      </c>
      <c r="E10" s="5">
        <f t="shared" si="7"/>
        <v>172823609000</v>
      </c>
      <c r="F10" s="5">
        <f t="shared" si="7"/>
        <v>165957367000</v>
      </c>
      <c r="G10" s="5">
        <f t="shared" si="7"/>
        <v>160836183000</v>
      </c>
      <c r="H10" s="5">
        <f t="shared" si="7"/>
        <v>156567496000</v>
      </c>
      <c r="I10" s="5">
        <f t="shared" si="7"/>
        <v>155350662000</v>
      </c>
      <c r="J10" s="5">
        <f t="shared" ref="J10" si="8">+J74</f>
        <v>158625978000</v>
      </c>
      <c r="K10" s="387">
        <f t="shared" ref="K10:N10" si="9">+K74</f>
        <v>0</v>
      </c>
      <c r="L10" s="5">
        <f t="shared" si="9"/>
        <v>0</v>
      </c>
      <c r="M10" s="5">
        <f t="shared" si="9"/>
        <v>0</v>
      </c>
      <c r="N10" s="5">
        <f t="shared" si="9"/>
        <v>0</v>
      </c>
    </row>
    <row r="11" spans="2:14" ht="25.5">
      <c r="B11" s="8" t="s">
        <v>272</v>
      </c>
      <c r="C11" s="9">
        <f>+C7+C10</f>
        <v>222129589000</v>
      </c>
      <c r="D11" s="9">
        <f t="shared" ref="D11:I11" si="10">+D7+D10</f>
        <v>230972614000</v>
      </c>
      <c r="E11" s="9">
        <f t="shared" si="10"/>
        <v>213737000000</v>
      </c>
      <c r="F11" s="9">
        <f t="shared" si="10"/>
        <v>223605612000</v>
      </c>
      <c r="G11" s="9">
        <f t="shared" si="10"/>
        <v>232099308000</v>
      </c>
      <c r="H11" s="9">
        <f t="shared" si="10"/>
        <v>310220075000</v>
      </c>
      <c r="I11" s="9">
        <f t="shared" si="10"/>
        <v>246528003000</v>
      </c>
      <c r="J11" s="9">
        <f t="shared" ref="J11" si="11">+J7+J10</f>
        <v>251332239000</v>
      </c>
      <c r="K11" s="389">
        <f t="shared" ref="K11:N11" si="12">+K7+K10</f>
        <v>0</v>
      </c>
      <c r="L11" s="9">
        <f t="shared" si="12"/>
        <v>0</v>
      </c>
      <c r="M11" s="9">
        <f t="shared" si="12"/>
        <v>0</v>
      </c>
      <c r="N11" s="9">
        <f t="shared" si="12"/>
        <v>0</v>
      </c>
    </row>
    <row r="12" spans="2:14" ht="25.5">
      <c r="B12" s="10" t="s">
        <v>273</v>
      </c>
      <c r="C12" s="11">
        <f>+C84</f>
        <v>38310560000</v>
      </c>
      <c r="D12" s="11">
        <f t="shared" ref="D12:I12" si="13">+D84</f>
        <v>44459384000</v>
      </c>
      <c r="E12" s="11">
        <f t="shared" si="13"/>
        <v>32304951000</v>
      </c>
      <c r="F12" s="11">
        <f t="shared" si="13"/>
        <v>43582094000</v>
      </c>
      <c r="G12" s="11">
        <f t="shared" si="13"/>
        <v>45665642000</v>
      </c>
      <c r="H12" s="11">
        <f t="shared" si="13"/>
        <v>97367848000</v>
      </c>
      <c r="I12" s="11">
        <f t="shared" si="13"/>
        <v>50383352000</v>
      </c>
      <c r="J12" s="11">
        <f t="shared" ref="J12" si="14">+J84</f>
        <v>51508159000</v>
      </c>
      <c r="K12" s="390">
        <f t="shared" ref="K12:N12" si="15">+K84</f>
        <v>0</v>
      </c>
      <c r="L12" s="11">
        <f t="shared" si="15"/>
        <v>0</v>
      </c>
      <c r="M12" s="11">
        <f t="shared" si="15"/>
        <v>0</v>
      </c>
      <c r="N12" s="11">
        <f t="shared" si="15"/>
        <v>0</v>
      </c>
    </row>
    <row r="13" spans="2:14" ht="25.5">
      <c r="B13" s="10" t="s">
        <v>274</v>
      </c>
      <c r="C13" s="11">
        <f>+C89</f>
        <v>48261590000</v>
      </c>
      <c r="D13" s="11">
        <f t="shared" ref="D13:I13" si="16">+D89</f>
        <v>46238191000</v>
      </c>
      <c r="E13" s="11">
        <f t="shared" si="16"/>
        <v>44330262000</v>
      </c>
      <c r="F13" s="11">
        <f t="shared" si="16"/>
        <v>42466077000</v>
      </c>
      <c r="G13" s="11">
        <f t="shared" si="16"/>
        <v>40961161000</v>
      </c>
      <c r="H13" s="11">
        <f t="shared" si="16"/>
        <v>38214373000</v>
      </c>
      <c r="I13" s="11">
        <f t="shared" si="16"/>
        <v>36279770000</v>
      </c>
      <c r="J13" s="11">
        <f t="shared" ref="J13" si="17">+J89</f>
        <v>34309142000</v>
      </c>
      <c r="K13" s="390">
        <f t="shared" ref="K13:N13" si="18">+K89</f>
        <v>0</v>
      </c>
      <c r="L13" s="11">
        <f t="shared" si="18"/>
        <v>0</v>
      </c>
      <c r="M13" s="11">
        <f t="shared" si="18"/>
        <v>0</v>
      </c>
      <c r="N13" s="11">
        <f t="shared" si="18"/>
        <v>0</v>
      </c>
    </row>
    <row r="14" spans="2:14" ht="25.5">
      <c r="B14" s="12" t="s">
        <v>275</v>
      </c>
      <c r="C14" s="13">
        <f t="shared" ref="C14" si="19">SUM(C12:C13)</f>
        <v>86572150000</v>
      </c>
      <c r="D14" s="13">
        <f t="shared" ref="D14:I14" si="20">SUM(D12:D13)</f>
        <v>90697575000</v>
      </c>
      <c r="E14" s="13">
        <f t="shared" si="20"/>
        <v>76635213000</v>
      </c>
      <c r="F14" s="13">
        <f t="shared" si="20"/>
        <v>86048171000</v>
      </c>
      <c r="G14" s="13">
        <f t="shared" si="20"/>
        <v>86626803000</v>
      </c>
      <c r="H14" s="13">
        <f t="shared" si="20"/>
        <v>135582221000</v>
      </c>
      <c r="I14" s="13">
        <f t="shared" si="20"/>
        <v>86663122000</v>
      </c>
      <c r="J14" s="13">
        <f t="shared" ref="J14" si="21">SUM(J12:J13)</f>
        <v>85817301000</v>
      </c>
      <c r="K14" s="391">
        <f t="shared" ref="K14:N14" si="22">SUM(K12:K13)</f>
        <v>0</v>
      </c>
      <c r="L14" s="13">
        <f t="shared" si="22"/>
        <v>0</v>
      </c>
      <c r="M14" s="13">
        <f t="shared" si="22"/>
        <v>0</v>
      </c>
      <c r="N14" s="13">
        <f t="shared" si="22"/>
        <v>0</v>
      </c>
    </row>
    <row r="15" spans="2:14" ht="25.5">
      <c r="B15" s="14" t="s">
        <v>276</v>
      </c>
      <c r="C15" s="15">
        <f>+C101</f>
        <v>135557439000</v>
      </c>
      <c r="D15" s="15">
        <f t="shared" ref="D15:I15" si="23">+D101</f>
        <v>140275039000</v>
      </c>
      <c r="E15" s="15">
        <f t="shared" si="23"/>
        <v>137101787000</v>
      </c>
      <c r="F15" s="15">
        <f t="shared" si="23"/>
        <v>137557441000</v>
      </c>
      <c r="G15" s="15">
        <f t="shared" si="23"/>
        <v>145472505000</v>
      </c>
      <c r="H15" s="15">
        <f t="shared" si="23"/>
        <v>174638854000</v>
      </c>
      <c r="I15" s="15">
        <f t="shared" si="23"/>
        <v>159865881000</v>
      </c>
      <c r="J15" s="15">
        <f t="shared" ref="J15" si="24">+J101</f>
        <v>165514938000</v>
      </c>
      <c r="K15" s="392">
        <f t="shared" ref="K15:N15" si="25">+K101</f>
        <v>0</v>
      </c>
      <c r="L15" s="15">
        <f t="shared" si="25"/>
        <v>0</v>
      </c>
      <c r="M15" s="15">
        <f t="shared" si="25"/>
        <v>0</v>
      </c>
      <c r="N15" s="15">
        <f t="shared" si="25"/>
        <v>0</v>
      </c>
    </row>
    <row r="16" spans="2:14" ht="25.5">
      <c r="B16" s="79" t="s">
        <v>278</v>
      </c>
      <c r="C16" s="137">
        <v>612625641</v>
      </c>
      <c r="D16" s="137">
        <v>612625641</v>
      </c>
      <c r="E16" s="137">
        <v>612625641</v>
      </c>
      <c r="F16" s="137">
        <v>612625641</v>
      </c>
      <c r="G16" s="137">
        <v>612625641</v>
      </c>
      <c r="H16" s="137">
        <v>612625641</v>
      </c>
      <c r="I16" s="137">
        <v>612625641</v>
      </c>
      <c r="J16" s="137">
        <v>612625641</v>
      </c>
      <c r="K16" s="499"/>
      <c r="L16" s="137"/>
      <c r="M16" s="137"/>
      <c r="N16" s="137"/>
    </row>
    <row r="18" spans="2:14" ht="25.5">
      <c r="B18" s="18" t="s">
        <v>279</v>
      </c>
      <c r="C18" s="19">
        <f t="shared" ref="C18:J18" si="26">(C15/C16)</f>
        <v>221.27287845596393</v>
      </c>
      <c r="D18" s="19">
        <f t="shared" si="26"/>
        <v>228.97350292264375</v>
      </c>
      <c r="E18" s="19">
        <f t="shared" si="26"/>
        <v>223.79374584486254</v>
      </c>
      <c r="F18" s="19">
        <f t="shared" si="26"/>
        <v>224.53751817416992</v>
      </c>
      <c r="G18" s="19">
        <f t="shared" si="26"/>
        <v>237.45742140753785</v>
      </c>
      <c r="H18" s="19">
        <f t="shared" si="26"/>
        <v>285.06618448900343</v>
      </c>
      <c r="I18" s="19">
        <f t="shared" si="26"/>
        <v>260.95199139730425</v>
      </c>
      <c r="J18" s="19">
        <f t="shared" si="26"/>
        <v>270.17305010255029</v>
      </c>
      <c r="K18" s="19" t="e">
        <f t="shared" ref="K18:N18" si="27">(K15/K16)</f>
        <v>#DIV/0!</v>
      </c>
      <c r="L18" s="19" t="e">
        <f t="shared" si="27"/>
        <v>#DIV/0!</v>
      </c>
      <c r="M18" s="19" t="e">
        <f t="shared" si="27"/>
        <v>#DIV/0!</v>
      </c>
      <c r="N18" s="19" t="e">
        <f t="shared" si="27"/>
        <v>#DIV/0!</v>
      </c>
    </row>
    <row r="19" spans="2:14" ht="25.5">
      <c r="B19" s="76" t="s">
        <v>282</v>
      </c>
      <c r="C19" s="77">
        <v>2050</v>
      </c>
      <c r="D19" s="77">
        <v>2190</v>
      </c>
      <c r="E19" s="77">
        <v>1730</v>
      </c>
      <c r="F19" s="77">
        <v>1634.2</v>
      </c>
      <c r="G19" s="77">
        <v>1240</v>
      </c>
      <c r="H19" s="77">
        <v>1400.1</v>
      </c>
      <c r="I19" s="77">
        <v>2506</v>
      </c>
      <c r="J19" s="426">
        <v>2500</v>
      </c>
      <c r="K19" s="77"/>
      <c r="L19" s="77"/>
      <c r="M19" s="77"/>
      <c r="N19" s="77"/>
    </row>
    <row r="20" spans="2:14" ht="25.5">
      <c r="B20" s="18" t="s">
        <v>283</v>
      </c>
      <c r="C20" s="22">
        <f>+C19/C39</f>
        <v>16.339869281045754</v>
      </c>
      <c r="D20" s="22">
        <f t="shared" ref="D20:I20" si="28">+D19/D39</f>
        <v>14.322150284481067</v>
      </c>
      <c r="E20" s="22">
        <f t="shared" si="28"/>
        <v>12.485565819861431</v>
      </c>
      <c r="F20" s="22">
        <f t="shared" si="28"/>
        <v>11.493880995920664</v>
      </c>
      <c r="G20" s="22">
        <f t="shared" si="28"/>
        <v>7.2370724874518499</v>
      </c>
      <c r="H20" s="22">
        <f t="shared" si="28"/>
        <v>4.5889872173058004</v>
      </c>
      <c r="I20" s="22">
        <f t="shared" si="28"/>
        <v>10.397477387768649</v>
      </c>
      <c r="J20" s="427">
        <f t="shared" ref="J20:N20" si="29">+J19/J39</f>
        <v>9.4653945176434959</v>
      </c>
      <c r="K20" s="22" t="e">
        <f t="shared" si="29"/>
        <v>#DIV/0!</v>
      </c>
      <c r="L20" s="22" t="e">
        <f t="shared" si="29"/>
        <v>#DIV/0!</v>
      </c>
      <c r="M20" s="22" t="e">
        <f t="shared" si="29"/>
        <v>#DIV/0!</v>
      </c>
      <c r="N20" s="22" t="e">
        <f t="shared" si="29"/>
        <v>#DIV/0!</v>
      </c>
    </row>
    <row r="21" spans="2:14" ht="25.5">
      <c r="B21" s="18" t="s">
        <v>301</v>
      </c>
      <c r="C21" s="22">
        <f t="shared" ref="C21:F21" si="30">+C19/C18</f>
        <v>9.2645787152263921</v>
      </c>
      <c r="D21" s="22">
        <f t="shared" si="30"/>
        <v>9.5644254555509338</v>
      </c>
      <c r="E21" s="22">
        <f t="shared" si="30"/>
        <v>7.7303322015051492</v>
      </c>
      <c r="F21" s="22">
        <f t="shared" si="30"/>
        <v>7.2780710025145066</v>
      </c>
      <c r="G21" s="22">
        <f>+G19/G18</f>
        <v>5.2219888207740697</v>
      </c>
      <c r="H21" s="22">
        <f>+H19/H18</f>
        <v>4.9114910016765227</v>
      </c>
      <c r="I21" s="22">
        <f t="shared" ref="I21:N21" si="31">+I19/I18</f>
        <v>9.6032990075349467</v>
      </c>
      <c r="J21" s="22">
        <f t="shared" si="31"/>
        <v>9.2533285575710398</v>
      </c>
      <c r="K21" s="22" t="e">
        <f t="shared" si="31"/>
        <v>#DIV/0!</v>
      </c>
      <c r="L21" s="22" t="e">
        <f t="shared" si="31"/>
        <v>#DIV/0!</v>
      </c>
      <c r="M21" s="22" t="e">
        <f t="shared" si="31"/>
        <v>#DIV/0!</v>
      </c>
      <c r="N21" s="22" t="e">
        <f t="shared" si="31"/>
        <v>#DIV/0!</v>
      </c>
    </row>
    <row r="22" spans="2:14" ht="25.5">
      <c r="B22" s="18" t="s">
        <v>285</v>
      </c>
      <c r="C22" s="22">
        <f>+C20*C21</f>
        <v>151.38200515075806</v>
      </c>
      <c r="D22" s="22">
        <f t="shared" ref="D22:I22" si="32">+D20*D21</f>
        <v>136.98313875911677</v>
      </c>
      <c r="E22" s="22">
        <f t="shared" si="32"/>
        <v>96.51757151128686</v>
      </c>
      <c r="F22" s="22">
        <f t="shared" si="32"/>
        <v>83.653281982762749</v>
      </c>
      <c r="G22" s="22">
        <f t="shared" si="32"/>
        <v>37.791911624605149</v>
      </c>
      <c r="H22" s="22">
        <f t="shared" si="32"/>
        <v>22.538769424606024</v>
      </c>
      <c r="I22" s="22">
        <f t="shared" si="32"/>
        <v>99.850084278825719</v>
      </c>
      <c r="J22" s="427">
        <f t="shared" ref="J22:N22" si="33">+J20*J21</f>
        <v>87.586405398786923</v>
      </c>
      <c r="K22" s="22" t="e">
        <f t="shared" si="33"/>
        <v>#DIV/0!</v>
      </c>
      <c r="L22" s="22" t="e">
        <f t="shared" si="33"/>
        <v>#DIV/0!</v>
      </c>
      <c r="M22" s="22" t="e">
        <f t="shared" si="33"/>
        <v>#DIV/0!</v>
      </c>
      <c r="N22" s="22" t="e">
        <f t="shared" si="33"/>
        <v>#DIV/0!</v>
      </c>
    </row>
    <row r="23" spans="2:14" ht="25.5">
      <c r="B23" s="23" t="s">
        <v>286</v>
      </c>
      <c r="C23" s="24">
        <f t="shared" ref="C23:J23" si="34">IF(C40&lt;10%,0,IF(15%&lt;C40,2,1))</f>
        <v>2</v>
      </c>
      <c r="D23" s="24">
        <f t="shared" si="34"/>
        <v>2</v>
      </c>
      <c r="E23" s="24">
        <f t="shared" si="34"/>
        <v>2</v>
      </c>
      <c r="F23" s="24">
        <f t="shared" si="34"/>
        <v>2</v>
      </c>
      <c r="G23" s="24">
        <f t="shared" si="34"/>
        <v>2</v>
      </c>
      <c r="H23" s="24">
        <f t="shared" si="34"/>
        <v>2</v>
      </c>
      <c r="I23" s="24">
        <f t="shared" si="34"/>
        <v>2</v>
      </c>
      <c r="J23" s="24">
        <f t="shared" si="34"/>
        <v>2</v>
      </c>
      <c r="K23" s="24" t="e">
        <f t="shared" ref="K23:N23" si="35">IF(K40&lt;10%,0,IF(15%&lt;K40,2,1))</f>
        <v>#DIV/0!</v>
      </c>
      <c r="L23" s="24" t="e">
        <f t="shared" si="35"/>
        <v>#DIV/0!</v>
      </c>
      <c r="M23" s="24" t="e">
        <f t="shared" si="35"/>
        <v>#DIV/0!</v>
      </c>
      <c r="N23" s="24" t="e">
        <f t="shared" si="35"/>
        <v>#DIV/0!</v>
      </c>
    </row>
    <row r="24" spans="2:14" ht="25.5">
      <c r="B24" s="23" t="s">
        <v>287</v>
      </c>
      <c r="C24" s="24">
        <f>IF(C40&lt;10%,1,IF(15%&lt;C40,2.5,2))</f>
        <v>2.5</v>
      </c>
      <c r="D24" s="24">
        <f t="shared" ref="D24:M24" si="36">IF(D40&lt;10%,1,IF(15%&lt;D40,2.5,2))</f>
        <v>2.5</v>
      </c>
      <c r="E24" s="24">
        <f t="shared" si="36"/>
        <v>2.5</v>
      </c>
      <c r="F24" s="24">
        <f t="shared" si="36"/>
        <v>2.5</v>
      </c>
      <c r="G24" s="24">
        <f t="shared" si="36"/>
        <v>2.5</v>
      </c>
      <c r="H24" s="24">
        <f t="shared" si="36"/>
        <v>2.5</v>
      </c>
      <c r="I24" s="24">
        <f t="shared" si="36"/>
        <v>2.5</v>
      </c>
      <c r="J24" s="24">
        <f>IF(J40&lt;10%,1,IF(15%&lt;J40,2.5,2))</f>
        <v>2.5</v>
      </c>
      <c r="K24" s="24" t="e">
        <f t="shared" si="36"/>
        <v>#DIV/0!</v>
      </c>
      <c r="L24" s="24" t="e">
        <f t="shared" si="36"/>
        <v>#DIV/0!</v>
      </c>
      <c r="M24" s="24" t="e">
        <f t="shared" si="36"/>
        <v>#DIV/0!</v>
      </c>
      <c r="N24" s="24"/>
    </row>
    <row r="25" spans="2:14" ht="25.5">
      <c r="B25" s="25" t="s">
        <v>288</v>
      </c>
      <c r="C25" s="26">
        <f>+C23*C18</f>
        <v>442.54575691192787</v>
      </c>
      <c r="D25" s="26">
        <f t="shared" ref="D25:H25" si="37">+D23*D18</f>
        <v>457.94700584528749</v>
      </c>
      <c r="E25" s="26">
        <f t="shared" si="37"/>
        <v>447.58749168972508</v>
      </c>
      <c r="F25" s="26">
        <f t="shared" si="37"/>
        <v>449.07503634833984</v>
      </c>
      <c r="G25" s="26">
        <f t="shared" si="37"/>
        <v>474.9148428150757</v>
      </c>
      <c r="H25" s="26">
        <f t="shared" si="37"/>
        <v>570.13236897800687</v>
      </c>
      <c r="I25" s="26">
        <f t="shared" ref="I25:N25" si="38">+I23*I18</f>
        <v>521.90398279460851</v>
      </c>
      <c r="J25" s="429">
        <f t="shared" si="38"/>
        <v>540.34610020510058</v>
      </c>
      <c r="K25" s="26" t="e">
        <f t="shared" si="38"/>
        <v>#DIV/0!</v>
      </c>
      <c r="L25" s="26" t="e">
        <f t="shared" si="38"/>
        <v>#DIV/0!</v>
      </c>
      <c r="M25" s="26" t="e">
        <f t="shared" si="38"/>
        <v>#DIV/0!</v>
      </c>
      <c r="N25" s="26" t="e">
        <f t="shared" si="38"/>
        <v>#DIV/0!</v>
      </c>
    </row>
    <row r="26" spans="2:14" ht="25.5">
      <c r="B26" s="25" t="s">
        <v>289</v>
      </c>
      <c r="C26" s="26">
        <f>AVERAGE(C25,C27)</f>
        <v>497.86397652591882</v>
      </c>
      <c r="D26" s="26">
        <f t="shared" ref="D26:H26" si="39">AVERAGE(D25,D27)</f>
        <v>515.19038157594844</v>
      </c>
      <c r="E26" s="26">
        <f t="shared" si="39"/>
        <v>503.53592815094072</v>
      </c>
      <c r="F26" s="26">
        <f t="shared" si="39"/>
        <v>505.20941589188232</v>
      </c>
      <c r="G26" s="26">
        <f t="shared" si="39"/>
        <v>534.27919816696021</v>
      </c>
      <c r="H26" s="26">
        <f t="shared" si="39"/>
        <v>641.39891510025768</v>
      </c>
      <c r="I26" s="26">
        <f t="shared" ref="I26:N26" si="40">AVERAGE(I25,I27)</f>
        <v>587.14198064393463</v>
      </c>
      <c r="J26" s="429">
        <f t="shared" si="40"/>
        <v>607.88936273073818</v>
      </c>
      <c r="K26" s="26" t="e">
        <f t="shared" si="40"/>
        <v>#DIV/0!</v>
      </c>
      <c r="L26" s="26" t="e">
        <f t="shared" si="40"/>
        <v>#DIV/0!</v>
      </c>
      <c r="M26" s="26" t="e">
        <f t="shared" si="40"/>
        <v>#DIV/0!</v>
      </c>
      <c r="N26" s="26" t="e">
        <f t="shared" si="40"/>
        <v>#DIV/0!</v>
      </c>
    </row>
    <row r="27" spans="2:14" ht="25.5">
      <c r="B27" s="25" t="s">
        <v>290</v>
      </c>
      <c r="C27" s="26">
        <f>+C18*C24</f>
        <v>553.18219613990982</v>
      </c>
      <c r="D27" s="26">
        <f t="shared" ref="D27:H27" si="41">+D18*D24</f>
        <v>572.43375730660932</v>
      </c>
      <c r="E27" s="26">
        <f t="shared" si="41"/>
        <v>559.48436461215636</v>
      </c>
      <c r="F27" s="26">
        <f t="shared" si="41"/>
        <v>561.34379543542479</v>
      </c>
      <c r="G27" s="26">
        <f t="shared" si="41"/>
        <v>593.64355351884467</v>
      </c>
      <c r="H27" s="26">
        <f t="shared" si="41"/>
        <v>712.66546122250861</v>
      </c>
      <c r="I27" s="26">
        <f t="shared" ref="I27:N27" si="42">+I18*I24</f>
        <v>652.37997849326064</v>
      </c>
      <c r="J27" s="429">
        <f t="shared" si="42"/>
        <v>675.43262525637579</v>
      </c>
      <c r="K27" s="26" t="e">
        <f t="shared" si="42"/>
        <v>#DIV/0!</v>
      </c>
      <c r="L27" s="26" t="e">
        <f t="shared" si="42"/>
        <v>#DIV/0!</v>
      </c>
      <c r="M27" s="26" t="e">
        <f t="shared" si="42"/>
        <v>#DIV/0!</v>
      </c>
      <c r="N27" s="26" t="e">
        <f t="shared" si="42"/>
        <v>#DIV/0!</v>
      </c>
    </row>
    <row r="29" spans="2:14" ht="25.5">
      <c r="B29" s="27" t="s">
        <v>291</v>
      </c>
      <c r="C29" s="29">
        <f t="shared" ref="C29:I29" si="43">C7-C12</f>
        <v>-2941317000</v>
      </c>
      <c r="D29" s="28">
        <f t="shared" si="43"/>
        <v>6820047000</v>
      </c>
      <c r="E29" s="28">
        <f t="shared" si="43"/>
        <v>8608440000</v>
      </c>
      <c r="F29" s="28">
        <f t="shared" si="43"/>
        <v>14066151000</v>
      </c>
      <c r="G29" s="28">
        <f t="shared" si="43"/>
        <v>25597483000</v>
      </c>
      <c r="H29" s="28">
        <f t="shared" si="43"/>
        <v>56284731000</v>
      </c>
      <c r="I29" s="28">
        <f t="shared" si="43"/>
        <v>40793989000</v>
      </c>
      <c r="J29" s="461">
        <f t="shared" ref="J29:N29" si="44">J7-J12</f>
        <v>41198102000</v>
      </c>
      <c r="K29" s="453">
        <f t="shared" si="44"/>
        <v>0</v>
      </c>
      <c r="L29" s="28">
        <f t="shared" si="44"/>
        <v>0</v>
      </c>
      <c r="M29" s="28">
        <f t="shared" si="44"/>
        <v>0</v>
      </c>
      <c r="N29" s="28">
        <f t="shared" si="44"/>
        <v>0</v>
      </c>
    </row>
    <row r="30" spans="2:14" ht="25.5">
      <c r="B30" s="30" t="s">
        <v>149</v>
      </c>
      <c r="C30" s="31">
        <f t="shared" ref="C30:I30" si="45">C7/C12</f>
        <v>0.92322437990987338</v>
      </c>
      <c r="D30" s="31">
        <f t="shared" si="45"/>
        <v>1.1533994937941561</v>
      </c>
      <c r="E30" s="31">
        <f t="shared" si="45"/>
        <v>1.2664743246321593</v>
      </c>
      <c r="F30" s="31">
        <f t="shared" si="45"/>
        <v>1.3227506920617444</v>
      </c>
      <c r="G30" s="31">
        <f t="shared" si="45"/>
        <v>1.5605414022209521</v>
      </c>
      <c r="H30" s="31">
        <f t="shared" si="45"/>
        <v>1.5780628015933966</v>
      </c>
      <c r="I30" s="31">
        <f t="shared" si="45"/>
        <v>1.809671992447029</v>
      </c>
      <c r="J30" s="31">
        <f t="shared" ref="J30:N30" si="46">J7/J12</f>
        <v>1.7998364297974618</v>
      </c>
      <c r="K30" s="31" t="e">
        <f t="shared" si="46"/>
        <v>#DIV/0!</v>
      </c>
      <c r="L30" s="31" t="e">
        <f t="shared" si="46"/>
        <v>#DIV/0!</v>
      </c>
      <c r="M30" s="98" t="e">
        <f t="shared" si="46"/>
        <v>#DIV/0!</v>
      </c>
      <c r="N30" s="98" t="e">
        <f t="shared" si="46"/>
        <v>#DIV/0!</v>
      </c>
    </row>
    <row r="31" spans="2:14" ht="25.5">
      <c r="B31" s="30" t="s">
        <v>292</v>
      </c>
      <c r="C31" s="31">
        <f>+(C7-C8)/C12</f>
        <v>0.92322437990987338</v>
      </c>
      <c r="D31" s="31">
        <f t="shared" ref="D31:I31" si="47">+(D7-D8)/D12</f>
        <v>1.1533994937941561</v>
      </c>
      <c r="E31" s="31">
        <f t="shared" si="47"/>
        <v>1.2663703158070105</v>
      </c>
      <c r="F31" s="31">
        <f t="shared" si="47"/>
        <v>1.3194859108880816</v>
      </c>
      <c r="G31" s="31">
        <f t="shared" si="47"/>
        <v>1.5570977848072298</v>
      </c>
      <c r="H31" s="31">
        <f>+(H7-H8)/H12</f>
        <v>1.5754473489031</v>
      </c>
      <c r="I31" s="31">
        <f t="shared" si="47"/>
        <v>1.801506378535513</v>
      </c>
      <c r="J31" s="31">
        <f t="shared" ref="J31:N31" si="48">+(J7-J8)/J12</f>
        <v>1.7943693541832857</v>
      </c>
      <c r="K31" s="31" t="e">
        <f t="shared" si="48"/>
        <v>#DIV/0!</v>
      </c>
      <c r="L31" s="31" t="e">
        <f t="shared" si="48"/>
        <v>#DIV/0!</v>
      </c>
      <c r="M31" s="31" t="e">
        <f t="shared" si="48"/>
        <v>#DIV/0!</v>
      </c>
      <c r="N31" s="31" t="e">
        <f t="shared" si="48"/>
        <v>#DIV/0!</v>
      </c>
    </row>
    <row r="32" spans="2:14" ht="25.5">
      <c r="B32" s="32" t="s">
        <v>153</v>
      </c>
      <c r="C32" s="33">
        <f t="shared" ref="C32:N32" si="49">C14/C11</f>
        <v>0.38973713673057758</v>
      </c>
      <c r="D32" s="33">
        <f t="shared" si="49"/>
        <v>0.39267674824860405</v>
      </c>
      <c r="E32" s="33">
        <f t="shared" si="49"/>
        <v>0.3585491187768145</v>
      </c>
      <c r="F32" s="33">
        <f t="shared" si="49"/>
        <v>0.38482116003421241</v>
      </c>
      <c r="G32" s="33">
        <f t="shared" si="49"/>
        <v>0.37323162979874114</v>
      </c>
      <c r="H32" s="33">
        <f t="shared" si="49"/>
        <v>0.43705173174237677</v>
      </c>
      <c r="I32" s="33">
        <f t="shared" si="49"/>
        <v>0.35153459625436545</v>
      </c>
      <c r="J32" s="432">
        <f t="shared" si="49"/>
        <v>0.3414496339245997</v>
      </c>
      <c r="K32" s="397" t="e">
        <f t="shared" si="49"/>
        <v>#DIV/0!</v>
      </c>
      <c r="L32" s="33" t="e">
        <f t="shared" si="49"/>
        <v>#DIV/0!</v>
      </c>
      <c r="M32" s="33" t="e">
        <f t="shared" si="49"/>
        <v>#DIV/0!</v>
      </c>
      <c r="N32" s="33" t="e">
        <f t="shared" si="49"/>
        <v>#DIV/0!</v>
      </c>
    </row>
    <row r="34" spans="2:14" ht="25.5">
      <c r="B34" s="35" t="s">
        <v>293</v>
      </c>
      <c r="C34" s="36">
        <f>+C105</f>
        <v>152500982000</v>
      </c>
      <c r="D34" s="36">
        <f t="shared" ref="D34:I34" si="50">+D105</f>
        <v>162739659000</v>
      </c>
      <c r="E34" s="36">
        <f t="shared" si="50"/>
        <v>147472131000</v>
      </c>
      <c r="F34" s="36">
        <f t="shared" si="50"/>
        <v>162555069000</v>
      </c>
      <c r="G34" s="36">
        <f t="shared" si="50"/>
        <v>208152440000</v>
      </c>
      <c r="H34" s="36">
        <f t="shared" si="50"/>
        <v>272441946000</v>
      </c>
      <c r="I34" s="36">
        <f t="shared" si="50"/>
        <v>217717148000</v>
      </c>
      <c r="J34" s="36">
        <v>249091558000</v>
      </c>
      <c r="K34" s="398">
        <f t="shared" ref="K34:N34" si="51">+K105</f>
        <v>0</v>
      </c>
      <c r="L34" s="36">
        <f t="shared" si="51"/>
        <v>0</v>
      </c>
      <c r="M34" s="36">
        <f t="shared" si="51"/>
        <v>0</v>
      </c>
      <c r="N34" s="36">
        <f t="shared" si="51"/>
        <v>0</v>
      </c>
    </row>
    <row r="35" spans="2:14" ht="25.5">
      <c r="B35" s="39" t="s">
        <v>156</v>
      </c>
      <c r="C35" s="40">
        <f>C114</f>
        <v>103556904000</v>
      </c>
      <c r="D35" s="40">
        <f>D114</f>
        <v>128068159000</v>
      </c>
      <c r="E35" s="40">
        <f>E114</f>
        <v>114117572000</v>
      </c>
      <c r="F35" s="40">
        <f>F114</f>
        <v>118664948000</v>
      </c>
      <c r="G35" s="40">
        <f t="shared" ref="G35:K35" si="52">G114</f>
        <v>142376689000</v>
      </c>
      <c r="H35" s="40">
        <f t="shared" si="52"/>
        <v>248835472000</v>
      </c>
      <c r="I35" s="40">
        <f>I114</f>
        <v>194705044000</v>
      </c>
      <c r="J35" s="40">
        <v>217595776000</v>
      </c>
      <c r="K35" s="40">
        <f t="shared" si="52"/>
        <v>0</v>
      </c>
      <c r="L35" s="40">
        <f t="shared" ref="L35:N35" si="53">+L105+L106+L107+L109</f>
        <v>0</v>
      </c>
      <c r="M35" s="40">
        <f t="shared" si="53"/>
        <v>0</v>
      </c>
      <c r="N35" s="40">
        <f t="shared" si="53"/>
        <v>0</v>
      </c>
    </row>
    <row r="36" spans="2:14" ht="25.5">
      <c r="B36" s="35" t="s">
        <v>294</v>
      </c>
      <c r="C36" s="41">
        <f>C35/C34</f>
        <v>0.67905729289008776</v>
      </c>
      <c r="D36" s="41">
        <f t="shared" ref="D36:I36" si="54">D35/D34</f>
        <v>0.78695113279056339</v>
      </c>
      <c r="E36" s="41">
        <f t="shared" si="54"/>
        <v>0.77382466250521598</v>
      </c>
      <c r="F36" s="41">
        <f t="shared" si="54"/>
        <v>0.72999844747997367</v>
      </c>
      <c r="G36" s="41">
        <f t="shared" si="54"/>
        <v>0.68400201794415671</v>
      </c>
      <c r="H36" s="41">
        <f t="shared" si="54"/>
        <v>0.91335227799319862</v>
      </c>
      <c r="I36" s="41">
        <f t="shared" si="54"/>
        <v>0.89430274917986707</v>
      </c>
      <c r="J36" s="436">
        <f t="shared" ref="J36:N36" si="55">J35/J34</f>
        <v>0.87355740895883749</v>
      </c>
      <c r="K36" s="400" t="e">
        <f t="shared" si="55"/>
        <v>#DIV/0!</v>
      </c>
      <c r="L36" s="41" t="e">
        <f t="shared" si="55"/>
        <v>#DIV/0!</v>
      </c>
      <c r="M36" s="41" t="e">
        <f t="shared" si="55"/>
        <v>#DIV/0!</v>
      </c>
      <c r="N36" s="41" t="e">
        <f t="shared" si="55"/>
        <v>#DIV/0!</v>
      </c>
    </row>
    <row r="37" spans="2:14" ht="25.5">
      <c r="B37" s="43" t="s">
        <v>295</v>
      </c>
      <c r="C37" s="44">
        <f>+C124</f>
        <v>76860591000</v>
      </c>
      <c r="D37" s="44">
        <f t="shared" ref="D37:I37" si="56">+D124</f>
        <v>93679208000</v>
      </c>
      <c r="E37" s="44">
        <f t="shared" si="56"/>
        <v>84888178000</v>
      </c>
      <c r="F37" s="44">
        <f t="shared" si="56"/>
        <v>87102068000</v>
      </c>
      <c r="G37" s="44">
        <f t="shared" si="56"/>
        <v>104966173000</v>
      </c>
      <c r="H37" s="44">
        <f t="shared" si="56"/>
        <v>186909221000</v>
      </c>
      <c r="I37" s="44">
        <f t="shared" si="56"/>
        <v>147655728000</v>
      </c>
      <c r="J37" s="437">
        <v>161809029000</v>
      </c>
      <c r="K37" s="401">
        <f t="shared" ref="K37:N37" si="57">+K124</f>
        <v>0</v>
      </c>
      <c r="L37" s="44">
        <f t="shared" si="57"/>
        <v>0</v>
      </c>
      <c r="M37" s="44">
        <f t="shared" si="57"/>
        <v>0</v>
      </c>
      <c r="N37" s="44">
        <f t="shared" si="57"/>
        <v>0</v>
      </c>
    </row>
    <row r="38" spans="2:14" ht="25.5">
      <c r="B38" s="30" t="s">
        <v>296</v>
      </c>
      <c r="C38" s="45">
        <f>C37/C34</f>
        <v>0.50400062997627126</v>
      </c>
      <c r="D38" s="45">
        <f t="shared" ref="D38:I38" si="58">D37/D34</f>
        <v>0.57563846806389096</v>
      </c>
      <c r="E38" s="45">
        <f t="shared" si="58"/>
        <v>0.57562183054098537</v>
      </c>
      <c r="F38" s="45">
        <f t="shared" si="58"/>
        <v>0.53583114039956514</v>
      </c>
      <c r="G38" s="45">
        <f t="shared" si="58"/>
        <v>0.50427548675384248</v>
      </c>
      <c r="H38" s="45">
        <f t="shared" si="58"/>
        <v>0.68605155609922119</v>
      </c>
      <c r="I38" s="45">
        <f t="shared" si="58"/>
        <v>0.67819980812903169</v>
      </c>
      <c r="J38" s="438">
        <f t="shared" ref="J38:N38" si="59">J37/J34</f>
        <v>0.64959659933557445</v>
      </c>
      <c r="K38" s="402" t="e">
        <f t="shared" si="59"/>
        <v>#DIV/0!</v>
      </c>
      <c r="L38" s="45" t="e">
        <f t="shared" si="59"/>
        <v>#DIV/0!</v>
      </c>
      <c r="M38" s="45" t="e">
        <f t="shared" si="59"/>
        <v>#DIV/0!</v>
      </c>
      <c r="N38" s="45" t="e">
        <f t="shared" si="59"/>
        <v>#DIV/0!</v>
      </c>
    </row>
    <row r="39" spans="2:14" ht="25.5">
      <c r="B39" s="46" t="s">
        <v>159</v>
      </c>
      <c r="C39" s="121">
        <f>+C125</f>
        <v>125.46</v>
      </c>
      <c r="D39" s="121">
        <f t="shared" ref="D39:I39" si="60">+D125</f>
        <v>152.91</v>
      </c>
      <c r="E39" s="121">
        <f t="shared" si="60"/>
        <v>138.56</v>
      </c>
      <c r="F39" s="121">
        <f t="shared" si="60"/>
        <v>142.18</v>
      </c>
      <c r="G39" s="121">
        <f t="shared" si="60"/>
        <v>171.34</v>
      </c>
      <c r="H39" s="121">
        <f t="shared" si="60"/>
        <v>305.10000000000002</v>
      </c>
      <c r="I39" s="121">
        <f t="shared" si="60"/>
        <v>241.02</v>
      </c>
      <c r="J39" s="481">
        <v>264.12</v>
      </c>
      <c r="K39" s="480">
        <f t="shared" ref="K39:N39" si="61">+K125</f>
        <v>0</v>
      </c>
      <c r="L39" s="121">
        <f t="shared" si="61"/>
        <v>0</v>
      </c>
      <c r="M39" s="121">
        <f t="shared" si="61"/>
        <v>0</v>
      </c>
      <c r="N39" s="121">
        <f t="shared" si="61"/>
        <v>0</v>
      </c>
    </row>
    <row r="40" spans="2:14" ht="25.5">
      <c r="B40" s="48" t="s">
        <v>160</v>
      </c>
      <c r="C40" s="49">
        <f t="shared" ref="C40:N40" si="62">C37/C15</f>
        <v>0.56699648183822648</v>
      </c>
      <c r="D40" s="49">
        <f t="shared" si="62"/>
        <v>0.66782521443462228</v>
      </c>
      <c r="E40" s="49">
        <f t="shared" si="62"/>
        <v>0.61916171814740828</v>
      </c>
      <c r="F40" s="49">
        <f t="shared" si="62"/>
        <v>0.63320506231284135</v>
      </c>
      <c r="G40" s="49">
        <f t="shared" si="62"/>
        <v>0.72155334783023084</v>
      </c>
      <c r="H40" s="49">
        <f t="shared" si="62"/>
        <v>1.0702613806661831</v>
      </c>
      <c r="I40" s="49">
        <f t="shared" si="62"/>
        <v>0.9236225208054244</v>
      </c>
      <c r="J40" s="49">
        <f t="shared" si="62"/>
        <v>0.97760982153767895</v>
      </c>
      <c r="K40" s="49" t="e">
        <f t="shared" si="62"/>
        <v>#DIV/0!</v>
      </c>
      <c r="L40" s="49" t="e">
        <f t="shared" si="62"/>
        <v>#DIV/0!</v>
      </c>
      <c r="M40" s="49" t="e">
        <f t="shared" si="62"/>
        <v>#DIV/0!</v>
      </c>
      <c r="N40" s="49" t="e">
        <f t="shared" si="62"/>
        <v>#DIV/0!</v>
      </c>
    </row>
    <row r="41" spans="2:14" ht="25.5">
      <c r="B41" s="48" t="s">
        <v>382</v>
      </c>
      <c r="C41" s="49">
        <f>AVERAGE(G40:I40)</f>
        <v>0.90514574976727946</v>
      </c>
      <c r="D41" s="49"/>
      <c r="E41" s="49"/>
      <c r="F41" s="49"/>
      <c r="G41" s="49"/>
      <c r="H41" s="49"/>
      <c r="I41" s="49"/>
      <c r="J41" s="440"/>
      <c r="K41" s="404"/>
      <c r="L41" s="49"/>
      <c r="M41" s="49"/>
      <c r="N41" s="49"/>
    </row>
    <row r="42" spans="2:14" ht="25.5">
      <c r="B42" s="48" t="s">
        <v>298</v>
      </c>
      <c r="C42" s="50">
        <f>+C137</f>
        <v>81465541000</v>
      </c>
      <c r="D42" s="50">
        <f>+D137</f>
        <v>116856456000</v>
      </c>
      <c r="E42" s="50">
        <f t="shared" ref="E42:I42" si="63">+E137</f>
        <v>83768002000</v>
      </c>
      <c r="F42" s="50">
        <f t="shared" si="63"/>
        <v>96981589000</v>
      </c>
      <c r="G42" s="50">
        <f t="shared" si="63"/>
        <v>97297381000</v>
      </c>
      <c r="H42" s="50">
        <f t="shared" si="63"/>
        <v>193505255000</v>
      </c>
      <c r="I42" s="50">
        <f t="shared" si="63"/>
        <v>130860032000</v>
      </c>
      <c r="J42" s="441">
        <f t="shared" ref="J42:N42" si="64">+J137</f>
        <v>162989356000</v>
      </c>
      <c r="K42" s="405">
        <f t="shared" si="64"/>
        <v>0</v>
      </c>
      <c r="L42" s="50">
        <f t="shared" si="64"/>
        <v>0</v>
      </c>
      <c r="M42" s="50">
        <f t="shared" si="64"/>
        <v>0</v>
      </c>
      <c r="N42" s="50">
        <f t="shared" si="64"/>
        <v>0</v>
      </c>
    </row>
    <row r="43" spans="2:14" ht="25.5">
      <c r="B43" s="51" t="s">
        <v>111</v>
      </c>
      <c r="C43" s="51">
        <f>SUM(C45:C48)</f>
        <v>94.741</v>
      </c>
      <c r="D43" s="51">
        <f t="shared" ref="D43:F43" si="65">SUM(D45:D48)</f>
        <v>132.321</v>
      </c>
      <c r="E43" s="51">
        <f t="shared" si="65"/>
        <v>152.76400000000001</v>
      </c>
      <c r="F43" s="51">
        <f t="shared" si="65"/>
        <v>136.17500000000001</v>
      </c>
      <c r="G43" s="51">
        <f>SUM(G45:G48)</f>
        <v>155.37800000000001</v>
      </c>
      <c r="H43" s="51">
        <f>SUM(H45:H48)</f>
        <v>203.678</v>
      </c>
      <c r="I43" s="51">
        <f>SUM(I45:I48)</f>
        <v>311.995</v>
      </c>
      <c r="J43" s="51">
        <f>SUM(J45:J48)</f>
        <v>251.33</v>
      </c>
      <c r="K43" s="51">
        <f t="shared" ref="K43:N43" si="66">SUM(K45:K48)</f>
        <v>152.52382682499999</v>
      </c>
      <c r="L43" s="51">
        <f t="shared" si="66"/>
        <v>0</v>
      </c>
      <c r="M43" s="51">
        <f t="shared" si="66"/>
        <v>0</v>
      </c>
      <c r="N43" s="51">
        <f t="shared" si="66"/>
        <v>0</v>
      </c>
    </row>
    <row r="44" spans="2:14" ht="25.5">
      <c r="B44" s="51" t="s">
        <v>112</v>
      </c>
      <c r="C44" s="51">
        <f>+C45+C46+C47</f>
        <v>94.741</v>
      </c>
      <c r="D44" s="51">
        <f t="shared" ref="D44:H44" si="67">+D45+D46+D47</f>
        <v>132.321</v>
      </c>
      <c r="E44" s="51">
        <f t="shared" si="67"/>
        <v>152.76400000000001</v>
      </c>
      <c r="F44" s="51">
        <f t="shared" si="67"/>
        <v>136.17500000000001</v>
      </c>
      <c r="G44" s="51">
        <f t="shared" si="67"/>
        <v>155.37800000000001</v>
      </c>
      <c r="H44" s="51">
        <f t="shared" si="67"/>
        <v>203.678</v>
      </c>
      <c r="I44" s="51">
        <f>+I45+I46+I47</f>
        <v>311.995</v>
      </c>
      <c r="J44" s="51">
        <f t="shared" ref="J44" si="68">+J45+J46+J47</f>
        <v>251.33</v>
      </c>
      <c r="K44" s="51">
        <f t="shared" ref="K44" si="69">+K45+K46+K47</f>
        <v>152.52382682499999</v>
      </c>
      <c r="L44" s="51">
        <f t="shared" ref="L44:N44" si="70">+L45+L46+L47+L48</f>
        <v>0</v>
      </c>
      <c r="M44" s="51">
        <f t="shared" si="70"/>
        <v>0</v>
      </c>
      <c r="N44" s="51">
        <f t="shared" si="70"/>
        <v>0</v>
      </c>
    </row>
    <row r="45" spans="2:14" ht="18">
      <c r="B45" s="135" t="s">
        <v>114</v>
      </c>
      <c r="C45" s="138">
        <v>50.241</v>
      </c>
      <c r="D45" s="138">
        <v>49.241</v>
      </c>
      <c r="E45" s="138">
        <f>56.954+44.6</f>
        <v>101.554</v>
      </c>
      <c r="F45" s="138">
        <v>51.774999999999999</v>
      </c>
      <c r="G45" s="138">
        <v>52.518000000000001</v>
      </c>
      <c r="H45" s="138">
        <v>65.438000000000002</v>
      </c>
      <c r="I45" s="138">
        <f>101.26+113.045</f>
        <v>214.30500000000001</v>
      </c>
      <c r="J45" s="507">
        <v>88.9</v>
      </c>
      <c r="K45" s="500">
        <v>98.153826824999996</v>
      </c>
      <c r="L45" s="138"/>
      <c r="M45" s="138"/>
      <c r="N45" s="138"/>
    </row>
    <row r="46" spans="2:14" ht="18">
      <c r="B46" s="135" t="s">
        <v>115</v>
      </c>
      <c r="C46" s="138">
        <f>16.42+28.08</f>
        <v>44.5</v>
      </c>
      <c r="D46" s="138">
        <f>31.72+51.36</f>
        <v>83.08</v>
      </c>
      <c r="E46" s="138">
        <v>51.21</v>
      </c>
      <c r="F46" s="138">
        <f>35.58+48.82</f>
        <v>84.4</v>
      </c>
      <c r="G46" s="138">
        <f>40.84+62.02</f>
        <v>102.86000000000001</v>
      </c>
      <c r="H46" s="138">
        <f>43.88+94.36</f>
        <v>138.24</v>
      </c>
      <c r="I46" s="138">
        <v>97.69</v>
      </c>
      <c r="J46" s="507">
        <f>111.6+50.83</f>
        <v>162.43</v>
      </c>
      <c r="K46" s="500">
        <v>54.37</v>
      </c>
      <c r="L46" s="138"/>
      <c r="M46" s="138"/>
      <c r="N46" s="138"/>
    </row>
    <row r="47" spans="2:14" ht="18">
      <c r="B47" s="135" t="s">
        <v>116</v>
      </c>
      <c r="C47" s="138"/>
      <c r="D47" s="138"/>
      <c r="E47" s="138"/>
      <c r="F47" s="138"/>
      <c r="G47" s="138"/>
      <c r="H47" s="138"/>
      <c r="I47" s="138"/>
      <c r="J47" s="507"/>
      <c r="K47" s="500"/>
      <c r="L47" s="138"/>
      <c r="M47" s="138"/>
      <c r="N47" s="138"/>
    </row>
    <row r="48" spans="2:14" ht="18">
      <c r="B48" s="135" t="s">
        <v>117</v>
      </c>
      <c r="C48" s="138"/>
      <c r="D48" s="138"/>
      <c r="E48" s="138"/>
      <c r="F48" s="138"/>
      <c r="G48" s="138"/>
      <c r="H48" s="138"/>
      <c r="I48" s="138"/>
      <c r="J48" s="507"/>
      <c r="K48" s="500"/>
      <c r="L48" s="138"/>
      <c r="M48" s="138"/>
      <c r="N48" s="138"/>
    </row>
    <row r="49" spans="2:16" ht="25.5">
      <c r="B49" s="51" t="s">
        <v>119</v>
      </c>
      <c r="C49" s="138"/>
      <c r="D49" s="138"/>
      <c r="E49" s="138"/>
      <c r="F49" s="138"/>
      <c r="G49" s="138"/>
      <c r="H49" s="138"/>
      <c r="I49" s="138"/>
      <c r="J49" s="728"/>
      <c r="K49" s="500"/>
      <c r="L49" s="138"/>
      <c r="M49" s="138"/>
      <c r="N49" s="138"/>
    </row>
    <row r="50" spans="2:16" ht="25.5">
      <c r="B50" s="51" t="s">
        <v>120</v>
      </c>
      <c r="C50" s="138"/>
      <c r="D50" s="138"/>
      <c r="E50" s="138"/>
      <c r="F50" s="138"/>
      <c r="G50" s="138"/>
      <c r="H50" s="138"/>
      <c r="I50" s="138"/>
      <c r="J50" s="728"/>
      <c r="K50" s="500"/>
      <c r="L50" s="138"/>
      <c r="M50" s="138"/>
      <c r="N50" s="138"/>
    </row>
    <row r="51" spans="2:16" ht="18">
      <c r="B51" s="135" t="s">
        <v>121</v>
      </c>
      <c r="C51" s="138">
        <v>49.241</v>
      </c>
      <c r="D51" s="138">
        <f>44.6+56.954</f>
        <v>101.554</v>
      </c>
      <c r="E51" s="138">
        <v>51.774999999999999</v>
      </c>
      <c r="F51" s="138">
        <v>52.518000000000001</v>
      </c>
      <c r="G51" s="138">
        <v>65.438000000000002</v>
      </c>
      <c r="H51" s="138">
        <v>113.045</v>
      </c>
      <c r="I51" s="138">
        <v>88.930999999999997</v>
      </c>
      <c r="J51" s="138">
        <v>98.153999999999996</v>
      </c>
      <c r="K51" s="500"/>
      <c r="L51" s="138"/>
      <c r="M51" s="138"/>
      <c r="N51" s="138"/>
    </row>
    <row r="52" spans="2:16" ht="18">
      <c r="B52" s="135" t="s">
        <v>122</v>
      </c>
      <c r="C52" s="138">
        <f>16.42+28.08+31.72</f>
        <v>76.22</v>
      </c>
      <c r="D52" s="138">
        <f>51.36</f>
        <v>51.36</v>
      </c>
      <c r="E52" s="138">
        <f>35.58+51.21</f>
        <v>86.789999999999992</v>
      </c>
      <c r="F52" s="138">
        <f>40.84+48.82</f>
        <v>89.66</v>
      </c>
      <c r="G52" s="138">
        <f>43.88+62.02</f>
        <v>105.9</v>
      </c>
      <c r="H52" s="138">
        <f>94.36+97.69</f>
        <v>192.05</v>
      </c>
      <c r="I52" s="138">
        <f>50.83+101.26</f>
        <v>152.09</v>
      </c>
      <c r="J52" s="138">
        <f>54.37+111.6</f>
        <v>165.97</v>
      </c>
      <c r="K52" s="500"/>
      <c r="L52" s="138"/>
      <c r="M52" s="138"/>
      <c r="N52" s="138"/>
    </row>
    <row r="53" spans="2:16" ht="18">
      <c r="B53" s="135" t="s">
        <v>123</v>
      </c>
      <c r="C53" s="138"/>
      <c r="D53" s="138"/>
      <c r="E53" s="138"/>
      <c r="F53" s="138"/>
      <c r="G53" s="138"/>
      <c r="H53" s="138"/>
      <c r="I53" s="138"/>
      <c r="J53" s="728"/>
      <c r="K53" s="500"/>
      <c r="L53" s="138"/>
      <c r="M53" s="138"/>
      <c r="N53" s="138"/>
    </row>
    <row r="54" spans="2:16" ht="18">
      <c r="B54" s="135" t="s">
        <v>124</v>
      </c>
      <c r="C54" s="138"/>
      <c r="D54" s="138"/>
      <c r="E54" s="138"/>
      <c r="F54" s="138"/>
      <c r="G54" s="138"/>
      <c r="H54" s="138"/>
      <c r="I54" s="138"/>
      <c r="J54" s="728"/>
      <c r="K54" s="500"/>
      <c r="L54" s="138"/>
      <c r="M54" s="138"/>
      <c r="N54" s="138"/>
    </row>
    <row r="55" spans="2:16" ht="25.5">
      <c r="B55" s="541" t="s">
        <v>167</v>
      </c>
      <c r="C55" s="99">
        <f>(C52+C53+C54+C51)/C39</f>
        <v>1.0000079706679421</v>
      </c>
      <c r="D55" s="99">
        <f t="shared" ref="D55:N55" si="71">(D52+D53+D54+D51)/D39</f>
        <v>1.0000261591786017</v>
      </c>
      <c r="E55" s="99">
        <f t="shared" si="71"/>
        <v>1.0000360854503463</v>
      </c>
      <c r="F55" s="99">
        <f t="shared" si="71"/>
        <v>0.99998593332395547</v>
      </c>
      <c r="G55" s="99">
        <f t="shared" si="71"/>
        <v>0.99998832730243969</v>
      </c>
      <c r="H55" s="99">
        <f t="shared" si="71"/>
        <v>0.99998361193051455</v>
      </c>
      <c r="I55" s="99">
        <f t="shared" si="71"/>
        <v>1.0000041490332752</v>
      </c>
      <c r="J55" s="99">
        <f t="shared" si="71"/>
        <v>1.0000151446312282</v>
      </c>
      <c r="K55" s="99" t="e">
        <f t="shared" si="71"/>
        <v>#DIV/0!</v>
      </c>
      <c r="L55" s="99" t="e">
        <f t="shared" si="71"/>
        <v>#DIV/0!</v>
      </c>
      <c r="M55" s="99" t="e">
        <f t="shared" si="71"/>
        <v>#DIV/0!</v>
      </c>
      <c r="N55" s="99" t="e">
        <f t="shared" si="71"/>
        <v>#DIV/0!</v>
      </c>
      <c r="O55" s="99"/>
      <c r="P55" s="99"/>
    </row>
    <row r="56" spans="2:16" ht="28.5">
      <c r="B56" s="540" t="s">
        <v>303</v>
      </c>
      <c r="C56" s="54">
        <f>AVERAGE(G55:I55)</f>
        <v>0.99999202942207643</v>
      </c>
      <c r="D56" s="54"/>
      <c r="E56" s="54"/>
      <c r="F56" s="54"/>
      <c r="G56" s="54"/>
      <c r="H56" s="54"/>
      <c r="I56" s="54"/>
      <c r="J56" s="54"/>
      <c r="K56" s="54"/>
      <c r="L56" s="54"/>
      <c r="M56" s="54"/>
      <c r="N56" s="54"/>
      <c r="O56" s="54"/>
      <c r="P56" s="54"/>
    </row>
    <row r="57" spans="2:16" ht="25.5">
      <c r="B57" s="541" t="s">
        <v>299</v>
      </c>
      <c r="C57" s="99" t="e">
        <f>+C43/B19</f>
        <v>#VALUE!</v>
      </c>
      <c r="D57" s="99">
        <f t="shared" ref="D57:N57" si="72">+D43/C19</f>
        <v>6.454682926829268E-2</v>
      </c>
      <c r="E57" s="99">
        <f t="shared" si="72"/>
        <v>6.975525114155251E-2</v>
      </c>
      <c r="F57" s="99">
        <f t="shared" si="72"/>
        <v>7.8713872832369955E-2</v>
      </c>
      <c r="G57" s="99">
        <f t="shared" si="72"/>
        <v>9.5078937706523078E-2</v>
      </c>
      <c r="H57" s="99">
        <f t="shared" si="72"/>
        <v>0.16425645161290323</v>
      </c>
      <c r="I57" s="99">
        <f t="shared" si="72"/>
        <v>0.22283765445325335</v>
      </c>
      <c r="J57" s="99">
        <f t="shared" si="72"/>
        <v>0.10029130087789306</v>
      </c>
      <c r="K57" s="99">
        <f t="shared" si="72"/>
        <v>6.1009530729999997E-2</v>
      </c>
      <c r="L57" s="99" t="e">
        <f t="shared" si="72"/>
        <v>#DIV/0!</v>
      </c>
      <c r="M57" s="99" t="e">
        <f t="shared" si="72"/>
        <v>#DIV/0!</v>
      </c>
      <c r="N57" s="99" t="e">
        <f t="shared" si="72"/>
        <v>#DIV/0!</v>
      </c>
      <c r="O57" s="99"/>
      <c r="P57" s="99"/>
    </row>
    <row r="58" spans="2:16" ht="25.5">
      <c r="B58" s="542" t="s">
        <v>305</v>
      </c>
      <c r="C58" s="534">
        <f>AVERAGE(G57:I57)</f>
        <v>0.16072434792422655</v>
      </c>
      <c r="D58" s="534"/>
      <c r="E58" s="534"/>
      <c r="F58" s="534"/>
      <c r="G58" s="534"/>
      <c r="H58" s="534"/>
      <c r="I58" s="534"/>
      <c r="J58" s="534"/>
      <c r="K58" s="534"/>
      <c r="L58" s="534"/>
      <c r="M58" s="534"/>
      <c r="N58" s="534"/>
      <c r="O58" s="534"/>
      <c r="P58" s="534"/>
    </row>
    <row r="59" spans="2:16" ht="25.5">
      <c r="B59" s="543" t="s">
        <v>176</v>
      </c>
      <c r="C59" s="355">
        <f>+C40*(100%-C55)</f>
        <v>-4.5193406810795548E-6</v>
      </c>
      <c r="D59" s="355">
        <f t="shared" ref="D59:I59" si="73">+D40*(100%-D55)</f>
        <v>-1.7469759059123616E-5</v>
      </c>
      <c r="E59" s="355">
        <f t="shared" si="73"/>
        <v>-2.2342729436525282E-5</v>
      </c>
      <c r="F59" s="355">
        <f t="shared" si="73"/>
        <v>8.907090481313029E-6</v>
      </c>
      <c r="G59" s="355">
        <f t="shared" si="73"/>
        <v>8.4224740028481449E-6</v>
      </c>
      <c r="H59" s="355">
        <f t="shared" si="73"/>
        <v>1.753951787395239E-5</v>
      </c>
      <c r="I59" s="355">
        <f t="shared" si="73"/>
        <v>-3.8321405725174036E-6</v>
      </c>
      <c r="J59" s="355">
        <f t="shared" ref="J59:N59" si="74">+J40*(100%-J55)</f>
        <v>-1.4805540232257796E-5</v>
      </c>
      <c r="K59" s="355" t="e">
        <f t="shared" si="74"/>
        <v>#DIV/0!</v>
      </c>
      <c r="L59" s="355" t="e">
        <f t="shared" si="74"/>
        <v>#DIV/0!</v>
      </c>
      <c r="M59" s="355" t="e">
        <f t="shared" si="74"/>
        <v>#DIV/0!</v>
      </c>
      <c r="N59" s="355" t="e">
        <f t="shared" si="74"/>
        <v>#DIV/0!</v>
      </c>
      <c r="O59" s="355"/>
      <c r="P59" s="355"/>
    </row>
    <row r="60" spans="2:16" ht="25.5">
      <c r="B60" s="542" t="s">
        <v>306</v>
      </c>
      <c r="C60" s="534">
        <f>AVERAGE(G59:I59)</f>
        <v>7.3766171014277092E-6</v>
      </c>
      <c r="D60" s="534"/>
      <c r="E60" s="534"/>
      <c r="F60" s="534"/>
      <c r="G60" s="534"/>
      <c r="H60" s="534"/>
      <c r="I60" s="534"/>
      <c r="J60" s="535"/>
      <c r="K60" s="534"/>
      <c r="L60" s="534"/>
      <c r="M60" s="534"/>
      <c r="N60" s="534"/>
    </row>
    <row r="61" spans="2:16" ht="25.5">
      <c r="B61" s="543" t="s">
        <v>300</v>
      </c>
      <c r="C61" s="744">
        <f ca="1">B3</f>
        <v>2719.9</v>
      </c>
    </row>
    <row r="62" spans="2:16" ht="25.5">
      <c r="B62" s="744"/>
      <c r="C62" s="744"/>
    </row>
    <row r="63" spans="2:16">
      <c r="B63" s="75" t="s">
        <v>307</v>
      </c>
    </row>
    <row r="64" spans="2:16" ht="14.65" thickBot="1"/>
    <row r="65" spans="2:14">
      <c r="B65" s="82" t="s">
        <v>696</v>
      </c>
      <c r="C65" s="88">
        <v>2017</v>
      </c>
      <c r="D65" s="88">
        <v>2018</v>
      </c>
      <c r="E65" s="88">
        <v>2019</v>
      </c>
      <c r="F65" s="88">
        <v>2020</v>
      </c>
      <c r="G65" s="88">
        <v>2021</v>
      </c>
      <c r="H65" s="88">
        <v>2022</v>
      </c>
      <c r="I65" s="88">
        <v>2023</v>
      </c>
      <c r="J65" s="89">
        <v>2024</v>
      </c>
      <c r="K65" s="103">
        <v>2025</v>
      </c>
      <c r="L65" s="88">
        <v>2026</v>
      </c>
      <c r="M65" s="88">
        <v>2027</v>
      </c>
      <c r="N65" s="88">
        <v>2028</v>
      </c>
    </row>
    <row r="66" spans="2:14">
      <c r="B66" s="57" t="s">
        <v>309</v>
      </c>
      <c r="C66" s="62"/>
      <c r="D66" s="62"/>
      <c r="E66" s="62"/>
      <c r="F66" s="62"/>
      <c r="G66" s="62"/>
      <c r="H66" s="62"/>
      <c r="I66" s="62"/>
      <c r="J66" s="63"/>
      <c r="K66" s="104"/>
      <c r="L66" s="62"/>
      <c r="M66" s="62"/>
      <c r="N66" s="62"/>
    </row>
    <row r="67" spans="2:14">
      <c r="B67" s="58" t="s">
        <v>310</v>
      </c>
      <c r="C67" s="64">
        <v>35369243000</v>
      </c>
      <c r="D67" s="64">
        <v>51279431000</v>
      </c>
      <c r="E67" s="64">
        <v>40913391000</v>
      </c>
      <c r="F67" s="69">
        <v>57648245000</v>
      </c>
      <c r="G67" s="65">
        <v>71263125000</v>
      </c>
      <c r="H67" s="65">
        <v>153652579000</v>
      </c>
      <c r="I67" s="65">
        <v>91177341000</v>
      </c>
      <c r="J67" s="65">
        <v>92706261000</v>
      </c>
      <c r="K67" s="464"/>
      <c r="L67" s="65"/>
      <c r="M67" s="65"/>
      <c r="N67" s="65"/>
    </row>
    <row r="68" spans="2:14">
      <c r="B68" s="59" t="s">
        <v>311</v>
      </c>
      <c r="C68" s="66">
        <v>24563000</v>
      </c>
      <c r="D68" s="66">
        <v>27435303000</v>
      </c>
      <c r="E68" s="66">
        <v>806000</v>
      </c>
      <c r="F68" s="66">
        <v>15815000</v>
      </c>
      <c r="G68" s="66">
        <v>52079000</v>
      </c>
      <c r="H68" s="66">
        <v>102644000</v>
      </c>
      <c r="I68" s="66">
        <v>144944000</v>
      </c>
      <c r="J68" s="67">
        <v>23410000</v>
      </c>
      <c r="K68" s="105"/>
      <c r="L68" s="66"/>
      <c r="M68" s="66"/>
      <c r="N68" s="66"/>
    </row>
    <row r="69" spans="2:14">
      <c r="B69" s="59" t="s">
        <v>604</v>
      </c>
      <c r="C69" s="139">
        <v>0</v>
      </c>
      <c r="D69" s="66">
        <v>70588000</v>
      </c>
      <c r="E69" s="66">
        <v>344000</v>
      </c>
      <c r="F69" s="66">
        <v>0</v>
      </c>
      <c r="G69" s="132">
        <v>1451926000</v>
      </c>
      <c r="H69" s="132">
        <v>1425214000</v>
      </c>
      <c r="I69" s="132">
        <v>1543490000</v>
      </c>
      <c r="J69" s="67">
        <v>1725961000</v>
      </c>
      <c r="K69" s="495"/>
      <c r="L69" s="132"/>
      <c r="M69" s="132"/>
      <c r="N69" s="132"/>
    </row>
    <row r="70" spans="2:14">
      <c r="B70" s="59" t="s">
        <v>313</v>
      </c>
      <c r="C70" s="68">
        <v>10924613000</v>
      </c>
      <c r="D70" s="66">
        <v>11072099000</v>
      </c>
      <c r="E70" s="66">
        <v>12882783000</v>
      </c>
      <c r="F70" s="66">
        <v>10622733000</v>
      </c>
      <c r="G70" s="67">
        <v>7223764000</v>
      </c>
      <c r="H70" s="67">
        <v>33943282000</v>
      </c>
      <c r="I70" s="67">
        <v>21452463000</v>
      </c>
      <c r="J70" s="67">
        <v>22682507000</v>
      </c>
      <c r="K70" s="456"/>
      <c r="L70" s="67"/>
      <c r="M70" s="67"/>
      <c r="N70" s="67"/>
    </row>
    <row r="71" spans="2:14">
      <c r="B71" s="59" t="s">
        <v>697</v>
      </c>
      <c r="C71" s="68">
        <v>21110117000</v>
      </c>
      <c r="D71" s="66">
        <v>12701441000</v>
      </c>
      <c r="E71" s="66">
        <v>28026098000</v>
      </c>
      <c r="F71" s="66">
        <v>46867411000</v>
      </c>
      <c r="G71" s="67">
        <v>60454735000</v>
      </c>
      <c r="H71" s="67">
        <v>117926778000</v>
      </c>
      <c r="I71" s="67">
        <v>67625033000</v>
      </c>
      <c r="J71" s="67">
        <v>67286206000</v>
      </c>
      <c r="K71" s="456"/>
      <c r="L71" s="67"/>
      <c r="M71" s="67"/>
      <c r="N71" s="67"/>
    </row>
    <row r="72" spans="2:14">
      <c r="B72" s="59" t="s">
        <v>698</v>
      </c>
      <c r="C72" s="66"/>
      <c r="D72" s="66"/>
      <c r="E72" s="66">
        <v>3360000</v>
      </c>
      <c r="F72" s="66">
        <v>142286000</v>
      </c>
      <c r="G72" s="67">
        <v>157255000</v>
      </c>
      <c r="H72" s="67">
        <v>254661000</v>
      </c>
      <c r="I72" s="67">
        <v>411411000</v>
      </c>
      <c r="J72" s="67">
        <v>281599000</v>
      </c>
      <c r="K72" s="456"/>
      <c r="L72" s="67"/>
      <c r="M72" s="67"/>
      <c r="N72" s="67"/>
    </row>
    <row r="73" spans="2:14">
      <c r="B73" s="59" t="s">
        <v>318</v>
      </c>
      <c r="C73" s="131">
        <f>+C67-C68-C70-C72-C69-C71</f>
        <v>3309950000</v>
      </c>
      <c r="D73" s="131">
        <f t="shared" ref="D73:G73" si="75">+D67-D68-D70-D72-D69-D71</f>
        <v>0</v>
      </c>
      <c r="E73" s="131">
        <f t="shared" si="75"/>
        <v>0</v>
      </c>
      <c r="F73" s="131">
        <f t="shared" si="75"/>
        <v>0</v>
      </c>
      <c r="G73" s="131">
        <f t="shared" si="75"/>
        <v>1923366000</v>
      </c>
      <c r="H73" s="131">
        <f>+H67-H68-H70-H72-H69-H71</f>
        <v>0</v>
      </c>
      <c r="I73" s="131">
        <f t="shared" ref="I73:M73" si="76">+I67-I68-I70-I72-I69-I71</f>
        <v>0</v>
      </c>
      <c r="J73" s="131">
        <f t="shared" si="76"/>
        <v>706578000</v>
      </c>
      <c r="K73" s="501">
        <f t="shared" si="76"/>
        <v>0</v>
      </c>
      <c r="L73" s="131">
        <f t="shared" si="76"/>
        <v>0</v>
      </c>
      <c r="M73" s="131">
        <f t="shared" si="76"/>
        <v>0</v>
      </c>
      <c r="N73" s="131"/>
    </row>
    <row r="74" spans="2:14">
      <c r="B74" s="58" t="s">
        <v>319</v>
      </c>
      <c r="C74" s="64">
        <v>186760346000</v>
      </c>
      <c r="D74" s="64">
        <v>179693183000</v>
      </c>
      <c r="E74" s="64">
        <v>172823609000</v>
      </c>
      <c r="F74" s="69">
        <v>165957367000</v>
      </c>
      <c r="G74" s="65">
        <v>160836183000</v>
      </c>
      <c r="H74" s="65">
        <v>156567496000</v>
      </c>
      <c r="I74" s="65">
        <v>155350662000</v>
      </c>
      <c r="J74" s="65">
        <v>158625978000</v>
      </c>
      <c r="K74" s="464"/>
      <c r="L74" s="65"/>
      <c r="M74" s="65"/>
      <c r="N74" s="65"/>
    </row>
    <row r="75" spans="2:14">
      <c r="B75" s="59" t="s">
        <v>393</v>
      </c>
      <c r="C75" s="66"/>
      <c r="D75" s="66"/>
      <c r="E75" s="66"/>
      <c r="F75" s="66"/>
      <c r="G75" s="67"/>
      <c r="H75" s="67"/>
      <c r="I75" s="67"/>
      <c r="J75" s="67"/>
      <c r="K75" s="456"/>
      <c r="L75" s="67"/>
      <c r="M75" s="67"/>
      <c r="N75" s="67"/>
    </row>
    <row r="76" spans="2:14">
      <c r="B76" s="59" t="s">
        <v>394</v>
      </c>
      <c r="C76" s="66">
        <v>70588000</v>
      </c>
      <c r="D76" s="66">
        <v>0</v>
      </c>
      <c r="E76" s="66">
        <v>1145000</v>
      </c>
      <c r="F76" s="66">
        <v>236000</v>
      </c>
      <c r="G76" s="67"/>
      <c r="H76" s="67"/>
      <c r="I76" s="67"/>
      <c r="J76" s="67"/>
      <c r="K76" s="456"/>
      <c r="L76" s="67"/>
      <c r="M76" s="67"/>
      <c r="N76" s="67"/>
    </row>
    <row r="77" spans="2:14">
      <c r="B77" s="59" t="s">
        <v>664</v>
      </c>
      <c r="C77" s="66">
        <v>86463000</v>
      </c>
      <c r="D77" s="66">
        <v>86463000</v>
      </c>
      <c r="E77" s="66">
        <v>411275000</v>
      </c>
      <c r="F77" s="66">
        <v>263922000</v>
      </c>
      <c r="G77" s="67">
        <v>86463000</v>
      </c>
      <c r="H77" s="67">
        <v>86463000</v>
      </c>
      <c r="I77" s="67">
        <v>154385000</v>
      </c>
      <c r="J77" s="67">
        <v>154382000</v>
      </c>
      <c r="K77" s="456"/>
      <c r="L77" s="67"/>
      <c r="M77" s="67"/>
      <c r="N77" s="67"/>
    </row>
    <row r="78" spans="2:14">
      <c r="B78" s="59" t="s">
        <v>398</v>
      </c>
      <c r="C78" s="66">
        <v>186571280000</v>
      </c>
      <c r="D78" s="66">
        <v>179577153000</v>
      </c>
      <c r="E78" s="66">
        <v>172411189000</v>
      </c>
      <c r="F78" s="68">
        <v>165693209000</v>
      </c>
      <c r="G78" s="67">
        <v>160749720000</v>
      </c>
      <c r="H78" s="67">
        <v>156481033000</v>
      </c>
      <c r="I78" s="67">
        <v>155196277000</v>
      </c>
      <c r="J78" s="67">
        <v>158471593000</v>
      </c>
      <c r="K78" s="456"/>
      <c r="L78" s="67"/>
      <c r="M78" s="67"/>
      <c r="N78" s="67"/>
    </row>
    <row r="79" spans="2:14">
      <c r="B79" s="59" t="s">
        <v>399</v>
      </c>
      <c r="C79" s="66"/>
      <c r="D79" s="66"/>
      <c r="E79" s="66"/>
      <c r="F79" s="66"/>
      <c r="G79" s="66"/>
      <c r="H79" s="66"/>
      <c r="I79" s="66"/>
      <c r="J79" s="67"/>
      <c r="K79" s="105"/>
      <c r="L79" s="66"/>
      <c r="M79" s="66"/>
      <c r="N79" s="66"/>
    </row>
    <row r="80" spans="2:14">
      <c r="B80" s="59" t="s">
        <v>328</v>
      </c>
      <c r="C80" s="66">
        <f>+C74-C77-C78-C76-C75-C79</f>
        <v>32015000</v>
      </c>
      <c r="D80" s="66">
        <f t="shared" ref="D80:G80" si="77">+D74-D77-D78-D76-D75-D79</f>
        <v>29567000</v>
      </c>
      <c r="E80" s="66">
        <f t="shared" si="77"/>
        <v>0</v>
      </c>
      <c r="F80" s="66">
        <f t="shared" si="77"/>
        <v>0</v>
      </c>
      <c r="G80" s="66">
        <f t="shared" si="77"/>
        <v>0</v>
      </c>
      <c r="H80" s="66">
        <f>+H74-H77-H78-H76-H75-H79</f>
        <v>0</v>
      </c>
      <c r="I80" s="66">
        <f t="shared" ref="I80:M80" si="78">+I74-I77-I78-I76-I75-I79</f>
        <v>0</v>
      </c>
      <c r="J80" s="67">
        <f t="shared" si="78"/>
        <v>3000</v>
      </c>
      <c r="K80" s="105">
        <f t="shared" si="78"/>
        <v>0</v>
      </c>
      <c r="L80" s="66">
        <f t="shared" si="78"/>
        <v>0</v>
      </c>
      <c r="M80" s="66">
        <f t="shared" si="78"/>
        <v>0</v>
      </c>
      <c r="N80" s="66"/>
    </row>
    <row r="81" spans="2:14">
      <c r="B81" s="60" t="s">
        <v>329</v>
      </c>
      <c r="C81" s="70">
        <f>+C74+C67</f>
        <v>222129589000</v>
      </c>
      <c r="D81" s="70">
        <f t="shared" ref="D81:I81" si="79">+D74+D67</f>
        <v>230972614000</v>
      </c>
      <c r="E81" s="70">
        <f t="shared" si="79"/>
        <v>213737000000</v>
      </c>
      <c r="F81" s="70">
        <f t="shared" si="79"/>
        <v>223605612000</v>
      </c>
      <c r="G81" s="70">
        <f t="shared" si="79"/>
        <v>232099308000</v>
      </c>
      <c r="H81" s="70">
        <f t="shared" si="79"/>
        <v>310220075000</v>
      </c>
      <c r="I81" s="70">
        <f t="shared" si="79"/>
        <v>246528003000</v>
      </c>
      <c r="J81" s="71">
        <v>251332239000</v>
      </c>
      <c r="K81" s="106"/>
      <c r="L81" s="70"/>
      <c r="M81" s="70"/>
      <c r="N81" s="70"/>
    </row>
    <row r="82" spans="2:14">
      <c r="B82" s="61"/>
      <c r="C82" s="72"/>
      <c r="D82" s="72"/>
      <c r="E82" s="72"/>
      <c r="F82" s="72"/>
      <c r="G82" s="72"/>
      <c r="H82" s="72"/>
      <c r="I82" s="72"/>
      <c r="J82" s="73"/>
      <c r="K82" s="107"/>
      <c r="L82" s="72"/>
      <c r="M82" s="72"/>
      <c r="N82" s="72"/>
    </row>
    <row r="83" spans="2:14">
      <c r="B83" s="57" t="s">
        <v>330</v>
      </c>
      <c r="C83" s="62"/>
      <c r="D83" s="62"/>
      <c r="E83" s="62"/>
      <c r="F83" s="62"/>
      <c r="G83" s="62"/>
      <c r="H83" s="62"/>
      <c r="I83" s="62"/>
      <c r="J83" s="63"/>
      <c r="K83" s="104"/>
      <c r="L83" s="62"/>
      <c r="M83" s="62"/>
      <c r="N83" s="62"/>
    </row>
    <row r="84" spans="2:14">
      <c r="B84" s="58" t="s">
        <v>310</v>
      </c>
      <c r="C84" s="64">
        <v>38310560000</v>
      </c>
      <c r="D84" s="64">
        <v>44459384000</v>
      </c>
      <c r="E84" s="64">
        <v>32304951000</v>
      </c>
      <c r="F84" s="64">
        <v>43582094000</v>
      </c>
      <c r="G84" s="64">
        <v>45665642000</v>
      </c>
      <c r="H84" s="64">
        <v>97367848000</v>
      </c>
      <c r="I84" s="64">
        <v>50383352000</v>
      </c>
      <c r="J84" s="65">
        <v>51508159000</v>
      </c>
      <c r="K84" s="196"/>
      <c r="L84" s="64"/>
      <c r="M84" s="64"/>
      <c r="N84" s="64"/>
    </row>
    <row r="85" spans="2:14">
      <c r="B85" s="59" t="s">
        <v>700</v>
      </c>
      <c r="C85" s="66">
        <v>8681880000</v>
      </c>
      <c r="D85" s="66">
        <v>7175778000</v>
      </c>
      <c r="E85" s="66">
        <v>6099367000</v>
      </c>
      <c r="F85" s="66">
        <v>7796753000</v>
      </c>
      <c r="G85" s="66">
        <v>13730569000</v>
      </c>
      <c r="H85" s="66">
        <v>17195551000</v>
      </c>
      <c r="I85" s="66">
        <v>10282709000</v>
      </c>
      <c r="J85" s="67">
        <v>14574976000</v>
      </c>
      <c r="K85" s="105"/>
      <c r="L85" s="66"/>
      <c r="M85" s="66"/>
      <c r="N85" s="66"/>
    </row>
    <row r="86" spans="2:14">
      <c r="B86" s="59" t="s">
        <v>701</v>
      </c>
      <c r="C86" s="66">
        <v>27295533000</v>
      </c>
      <c r="D86" s="66">
        <v>28592196000</v>
      </c>
      <c r="E86" s="66">
        <v>23397818000</v>
      </c>
      <c r="F86" s="66">
        <v>26681694000</v>
      </c>
      <c r="G86" s="66">
        <v>28489084000</v>
      </c>
      <c r="H86" s="66">
        <v>57721763000</v>
      </c>
      <c r="I86" s="66">
        <v>31978077000</v>
      </c>
      <c r="J86" s="67">
        <v>33704550000</v>
      </c>
      <c r="K86" s="105"/>
      <c r="L86" s="66"/>
      <c r="M86" s="66"/>
      <c r="N86" s="66"/>
    </row>
    <row r="87" spans="2:14">
      <c r="B87" s="59" t="s">
        <v>408</v>
      </c>
      <c r="C87" s="66">
        <v>0</v>
      </c>
      <c r="D87" s="66">
        <v>5889774000</v>
      </c>
      <c r="E87" s="66">
        <v>693597000</v>
      </c>
      <c r="F87" s="66">
        <v>6105371000</v>
      </c>
      <c r="G87" s="66">
        <v>0</v>
      </c>
      <c r="H87" s="66">
        <v>14430696000</v>
      </c>
      <c r="I87" s="66">
        <v>4381686000</v>
      </c>
      <c r="J87" s="67">
        <v>0</v>
      </c>
      <c r="K87" s="105"/>
      <c r="L87" s="66"/>
      <c r="M87" s="66"/>
      <c r="N87" s="66"/>
    </row>
    <row r="88" spans="2:14">
      <c r="B88" s="59" t="s">
        <v>703</v>
      </c>
      <c r="C88" s="66">
        <f t="shared" ref="C88:F88" si="80">+C84-C85-C86-C87</f>
        <v>2333147000</v>
      </c>
      <c r="D88" s="66">
        <f t="shared" si="80"/>
        <v>2801636000</v>
      </c>
      <c r="E88" s="66">
        <f t="shared" si="80"/>
        <v>2114169000</v>
      </c>
      <c r="F88" s="66">
        <f t="shared" si="80"/>
        <v>2998276000</v>
      </c>
      <c r="G88" s="66">
        <f>+G84-G85-G86-G87</f>
        <v>3445989000</v>
      </c>
      <c r="H88" s="66">
        <f>+H84-H85-H86-H87</f>
        <v>8019838000</v>
      </c>
      <c r="I88" s="66">
        <v>3740880000</v>
      </c>
      <c r="J88" s="67">
        <v>3228633000</v>
      </c>
      <c r="K88" s="105"/>
      <c r="L88" s="66"/>
      <c r="M88" s="66"/>
      <c r="N88" s="66"/>
    </row>
    <row r="89" spans="2:14">
      <c r="B89" s="58" t="s">
        <v>319</v>
      </c>
      <c r="C89" s="64">
        <v>48261590000</v>
      </c>
      <c r="D89" s="64">
        <v>46238191000</v>
      </c>
      <c r="E89" s="64">
        <v>44330262000</v>
      </c>
      <c r="F89" s="64">
        <v>42466077000</v>
      </c>
      <c r="G89" s="64">
        <v>40961161000</v>
      </c>
      <c r="H89" s="64">
        <v>38214373000</v>
      </c>
      <c r="I89" s="64">
        <v>36279770000</v>
      </c>
      <c r="J89" s="65">
        <v>34309142000</v>
      </c>
      <c r="K89" s="196"/>
      <c r="L89" s="64"/>
      <c r="M89" s="64"/>
      <c r="N89" s="64"/>
    </row>
    <row r="90" spans="2:14">
      <c r="B90" s="59" t="s">
        <v>616</v>
      </c>
      <c r="C90" s="66"/>
      <c r="D90" s="66"/>
      <c r="E90" s="66"/>
      <c r="F90" s="66"/>
      <c r="G90" s="66">
        <v>347877000</v>
      </c>
      <c r="H90" s="66">
        <v>0</v>
      </c>
      <c r="I90" s="66"/>
      <c r="J90" s="67"/>
      <c r="K90" s="105"/>
      <c r="L90" s="66"/>
      <c r="M90" s="66"/>
      <c r="N90" s="66"/>
    </row>
    <row r="91" spans="2:14">
      <c r="B91" s="59" t="s">
        <v>339</v>
      </c>
      <c r="C91" s="66">
        <v>48261590000</v>
      </c>
      <c r="D91" s="66">
        <v>46238191000</v>
      </c>
      <c r="E91" s="66">
        <v>44330262000</v>
      </c>
      <c r="F91" s="66">
        <v>42466077000</v>
      </c>
      <c r="G91" s="66">
        <v>40613284000</v>
      </c>
      <c r="H91" s="66">
        <v>38214373000</v>
      </c>
      <c r="I91" s="66">
        <v>36279770000</v>
      </c>
      <c r="J91" s="67">
        <v>34309142000</v>
      </c>
      <c r="K91" s="105"/>
      <c r="L91" s="66"/>
      <c r="M91" s="66"/>
      <c r="N91" s="66"/>
    </row>
    <row r="92" spans="2:14">
      <c r="B92" s="59"/>
      <c r="C92" s="66"/>
      <c r="D92" s="66"/>
      <c r="E92" s="66"/>
      <c r="F92" s="66"/>
      <c r="G92" s="66"/>
      <c r="H92" s="66"/>
      <c r="I92" s="66"/>
      <c r="J92" s="67"/>
      <c r="K92" s="105"/>
      <c r="L92" s="66"/>
      <c r="M92" s="66"/>
      <c r="N92" s="66"/>
    </row>
    <row r="93" spans="2:14">
      <c r="B93" s="59" t="s">
        <v>341</v>
      </c>
      <c r="C93" s="66">
        <f t="shared" ref="C93:H93" si="81">+C89-C90-C91-C92</f>
        <v>0</v>
      </c>
      <c r="D93" s="66">
        <f t="shared" si="81"/>
        <v>0</v>
      </c>
      <c r="E93" s="66">
        <f t="shared" si="81"/>
        <v>0</v>
      </c>
      <c r="F93" s="66">
        <f t="shared" si="81"/>
        <v>0</v>
      </c>
      <c r="G93" s="66">
        <f t="shared" si="81"/>
        <v>0</v>
      </c>
      <c r="H93" s="66">
        <f t="shared" si="81"/>
        <v>0</v>
      </c>
      <c r="I93" s="66"/>
      <c r="J93" s="67"/>
      <c r="K93" s="105"/>
      <c r="L93" s="66"/>
      <c r="M93" s="66"/>
      <c r="N93" s="66"/>
    </row>
    <row r="94" spans="2:14" ht="14.65" thickBot="1">
      <c r="B94" s="60" t="s">
        <v>342</v>
      </c>
      <c r="C94" s="70">
        <f t="shared" ref="C94:J94" si="82">+C89+C84</f>
        <v>86572150000</v>
      </c>
      <c r="D94" s="70">
        <f t="shared" si="82"/>
        <v>90697575000</v>
      </c>
      <c r="E94" s="70">
        <f t="shared" si="82"/>
        <v>76635213000</v>
      </c>
      <c r="F94" s="70">
        <f t="shared" si="82"/>
        <v>86048171000</v>
      </c>
      <c r="G94" s="70">
        <f t="shared" si="82"/>
        <v>86626803000</v>
      </c>
      <c r="H94" s="70">
        <f t="shared" si="82"/>
        <v>135582221000</v>
      </c>
      <c r="I94" s="70">
        <f t="shared" si="82"/>
        <v>86663122000</v>
      </c>
      <c r="J94" s="70">
        <f t="shared" si="82"/>
        <v>85817301000</v>
      </c>
      <c r="K94" s="106"/>
      <c r="L94" s="70"/>
      <c r="M94" s="70"/>
      <c r="N94" s="70"/>
    </row>
    <row r="95" spans="2:14" ht="14.65" thickBot="1"/>
    <row r="96" spans="2:14" ht="14.65" thickBot="1">
      <c r="B96" s="57" t="s">
        <v>343</v>
      </c>
      <c r="C96" s="62"/>
      <c r="D96" s="62"/>
      <c r="E96" s="62"/>
      <c r="F96" s="62"/>
      <c r="G96" s="62"/>
      <c r="H96" s="62"/>
      <c r="I96" s="62"/>
      <c r="J96" s="63"/>
      <c r="K96" s="104"/>
      <c r="L96" s="62"/>
      <c r="M96" s="62"/>
      <c r="N96" s="62"/>
    </row>
    <row r="97" spans="2:14">
      <c r="B97" s="59" t="s">
        <v>344</v>
      </c>
      <c r="C97" s="62">
        <v>175774920000</v>
      </c>
      <c r="D97" s="62">
        <v>175774920000</v>
      </c>
      <c r="E97" s="62">
        <v>175774920000</v>
      </c>
      <c r="F97" s="62">
        <v>175774920000</v>
      </c>
      <c r="G97" s="62">
        <v>175774920000</v>
      </c>
      <c r="H97" s="62">
        <v>175775920000</v>
      </c>
      <c r="I97" s="62">
        <v>175775920000</v>
      </c>
      <c r="J97" s="63">
        <v>175774920000</v>
      </c>
      <c r="K97" s="104"/>
      <c r="L97" s="62"/>
      <c r="M97" s="62"/>
      <c r="N97" s="62"/>
    </row>
    <row r="98" spans="2:14">
      <c r="B98" s="59" t="s">
        <v>345</v>
      </c>
      <c r="C98" s="66">
        <v>-37656647000</v>
      </c>
      <c r="D98" s="66">
        <v>-37656647000</v>
      </c>
      <c r="E98" s="66">
        <v>-37656647000</v>
      </c>
      <c r="F98" s="66">
        <v>-37656647000</v>
      </c>
      <c r="G98" s="66">
        <v>-37656647000</v>
      </c>
      <c r="H98" s="66">
        <v>-37656647000</v>
      </c>
      <c r="I98" s="66">
        <v>-37656647000</v>
      </c>
      <c r="J98" s="67">
        <v>-37656647000</v>
      </c>
      <c r="K98" s="105"/>
      <c r="L98" s="66"/>
      <c r="M98" s="66"/>
      <c r="N98" s="66"/>
    </row>
    <row r="99" spans="2:14">
      <c r="B99" s="59" t="s">
        <v>346</v>
      </c>
      <c r="C99" s="66">
        <v>-21060143000</v>
      </c>
      <c r="D99" s="66">
        <v>-16342543000</v>
      </c>
      <c r="E99" s="68">
        <v>-19515795000</v>
      </c>
      <c r="F99" s="66">
        <v>-19060141000</v>
      </c>
      <c r="G99" s="66">
        <v>-11145077000</v>
      </c>
      <c r="H99" s="66">
        <v>18020272000</v>
      </c>
      <c r="I99" s="66">
        <v>3247299000</v>
      </c>
      <c r="J99" s="67">
        <v>8897356000</v>
      </c>
      <c r="K99" s="105"/>
      <c r="L99" s="66"/>
      <c r="M99" s="66"/>
      <c r="N99" s="66"/>
    </row>
    <row r="100" spans="2:14">
      <c r="B100" s="129" t="s">
        <v>591</v>
      </c>
      <c r="C100" s="133">
        <v>18499309000</v>
      </c>
      <c r="D100" s="133">
        <v>18499309000</v>
      </c>
      <c r="E100" s="133">
        <v>18499309000</v>
      </c>
      <c r="F100" s="133">
        <v>18499309000</v>
      </c>
      <c r="G100" s="133">
        <v>18499309000</v>
      </c>
      <c r="H100" s="133">
        <v>18499309000</v>
      </c>
      <c r="I100" s="133">
        <v>18499309000</v>
      </c>
      <c r="J100" s="171">
        <v>18499309000</v>
      </c>
      <c r="K100" s="191"/>
      <c r="L100" s="133"/>
      <c r="M100" s="133"/>
      <c r="N100" s="133"/>
    </row>
    <row r="101" spans="2:14" ht="14.65" thickBot="1">
      <c r="B101" s="60" t="s">
        <v>347</v>
      </c>
      <c r="C101" s="70">
        <f t="shared" ref="C101:I101" si="83">+C97+C99+C98+C100</f>
        <v>135557439000</v>
      </c>
      <c r="D101" s="70">
        <f t="shared" si="83"/>
        <v>140275039000</v>
      </c>
      <c r="E101" s="70">
        <f t="shared" si="83"/>
        <v>137101787000</v>
      </c>
      <c r="F101" s="70">
        <f t="shared" si="83"/>
        <v>137557441000</v>
      </c>
      <c r="G101" s="70">
        <f t="shared" si="83"/>
        <v>145472505000</v>
      </c>
      <c r="H101" s="70">
        <f t="shared" si="83"/>
        <v>174638854000</v>
      </c>
      <c r="I101" s="70">
        <f t="shared" si="83"/>
        <v>159865881000</v>
      </c>
      <c r="J101" s="70">
        <f>+J97+J99+J98+J100</f>
        <v>165514938000</v>
      </c>
      <c r="K101" s="106"/>
      <c r="L101" s="70"/>
      <c r="M101" s="70"/>
      <c r="N101" s="70"/>
    </row>
    <row r="103" spans="2:14" ht="14.65" thickBot="1">
      <c r="B103" s="75" t="s">
        <v>348</v>
      </c>
    </row>
    <row r="104" spans="2:14" ht="14.65" thickBot="1">
      <c r="B104" s="82" t="s">
        <v>308</v>
      </c>
      <c r="C104" s="88">
        <v>2017</v>
      </c>
      <c r="D104" s="88">
        <v>2018</v>
      </c>
      <c r="E104" s="88">
        <v>2019</v>
      </c>
      <c r="F104" s="88">
        <v>2020</v>
      </c>
      <c r="G104" s="88">
        <v>2021</v>
      </c>
      <c r="H104" s="88">
        <v>2022</v>
      </c>
      <c r="I104" s="88">
        <v>2023</v>
      </c>
      <c r="J104" s="89">
        <v>2024</v>
      </c>
      <c r="K104" s="103">
        <v>2025</v>
      </c>
      <c r="L104" s="88">
        <v>2026</v>
      </c>
      <c r="M104" s="88">
        <v>2027</v>
      </c>
      <c r="N104" s="88">
        <v>2028</v>
      </c>
    </row>
    <row r="105" spans="2:14">
      <c r="B105" s="83" t="s">
        <v>349</v>
      </c>
      <c r="C105" s="90">
        <v>152500982000</v>
      </c>
      <c r="D105" s="90">
        <v>162739659000</v>
      </c>
      <c r="E105" s="90">
        <v>147472131000</v>
      </c>
      <c r="F105" s="90">
        <v>162555069000</v>
      </c>
      <c r="G105" s="90">
        <f>208152440000</f>
        <v>208152440000</v>
      </c>
      <c r="H105" s="90">
        <v>272441946000</v>
      </c>
      <c r="I105" s="90">
        <v>217717148000</v>
      </c>
      <c r="J105" s="109">
        <v>249091558000</v>
      </c>
      <c r="K105" s="410"/>
      <c r="L105" s="90"/>
      <c r="M105" s="90"/>
      <c r="N105" s="90"/>
    </row>
    <row r="106" spans="2:14">
      <c r="B106" s="83" t="s">
        <v>535</v>
      </c>
      <c r="C106" s="90">
        <v>401000</v>
      </c>
      <c r="D106" s="90">
        <v>28529000</v>
      </c>
      <c r="E106" s="90">
        <v>0</v>
      </c>
      <c r="F106" s="90">
        <v>0</v>
      </c>
      <c r="G106" s="90">
        <v>429000</v>
      </c>
      <c r="H106" s="90">
        <v>0</v>
      </c>
      <c r="I106" s="90">
        <v>0</v>
      </c>
      <c r="J106" s="109">
        <v>33192000</v>
      </c>
      <c r="K106" s="410"/>
      <c r="L106" s="90"/>
      <c r="M106" s="90"/>
      <c r="N106" s="90"/>
    </row>
    <row r="107" spans="2:14">
      <c r="B107" s="85" t="s">
        <v>621</v>
      </c>
      <c r="C107" s="66">
        <v>-36289330000</v>
      </c>
      <c r="D107" s="66">
        <v>-21539174000</v>
      </c>
      <c r="E107" s="66">
        <v>-19725956000</v>
      </c>
      <c r="F107" s="66">
        <v>-29660883000</v>
      </c>
      <c r="G107" s="66">
        <v>-50164404000</v>
      </c>
      <c r="H107" s="66">
        <v>-8068518000</v>
      </c>
      <c r="I107" s="66">
        <v>-7818816000</v>
      </c>
      <c r="J107" s="67">
        <v>-16366496000</v>
      </c>
      <c r="K107" s="105"/>
      <c r="L107" s="66"/>
      <c r="M107" s="66"/>
      <c r="N107" s="66"/>
    </row>
    <row r="108" spans="2:14">
      <c r="B108" s="86" t="s">
        <v>622</v>
      </c>
      <c r="C108" s="141">
        <f>+C105+C107+C106</f>
        <v>116212053000</v>
      </c>
      <c r="D108" s="141">
        <f t="shared" ref="D108:G108" si="84">+D105+D107+D106</f>
        <v>141229014000</v>
      </c>
      <c r="E108" s="141">
        <f t="shared" si="84"/>
        <v>127746175000</v>
      </c>
      <c r="F108" s="141">
        <f t="shared" si="84"/>
        <v>132894186000</v>
      </c>
      <c r="G108" s="141">
        <f t="shared" si="84"/>
        <v>157988465000</v>
      </c>
      <c r="H108" s="141">
        <f>+H105+H107+H106</f>
        <v>264373428000</v>
      </c>
      <c r="I108" s="141">
        <f>+I105+I107+I106</f>
        <v>209898332000</v>
      </c>
      <c r="J108" s="141">
        <f>+J105+J107+J106</f>
        <v>232758254000</v>
      </c>
      <c r="K108" s="502"/>
      <c r="L108" s="141"/>
      <c r="M108" s="141"/>
      <c r="N108" s="141"/>
    </row>
    <row r="109" spans="2:14">
      <c r="B109" s="85" t="s">
        <v>623</v>
      </c>
      <c r="C109" s="141">
        <v>-167213000</v>
      </c>
      <c r="D109" s="141">
        <v>-169516000</v>
      </c>
      <c r="E109" s="141">
        <v>-166202000</v>
      </c>
      <c r="F109" s="141">
        <v>-179534000</v>
      </c>
      <c r="G109" s="141">
        <v>-531308000</v>
      </c>
      <c r="H109" s="141">
        <v>-209885000</v>
      </c>
      <c r="I109" s="141">
        <v>-99839000</v>
      </c>
      <c r="J109" s="130">
        <v>-160539000</v>
      </c>
      <c r="K109" s="502"/>
      <c r="L109" s="141"/>
      <c r="M109" s="141"/>
      <c r="N109" s="141"/>
    </row>
    <row r="110" spans="2:14">
      <c r="B110" s="140" t="s">
        <v>181</v>
      </c>
      <c r="C110" s="142">
        <f>+C105+C106+C107+C109+C113</f>
        <v>110957039000</v>
      </c>
      <c r="D110" s="142">
        <f t="shared" ref="D110:G110" si="85">+D105+D106+D107+D109+D113</f>
        <v>135558558000</v>
      </c>
      <c r="E110" s="142">
        <f t="shared" si="85"/>
        <v>121631814000</v>
      </c>
      <c r="F110" s="142">
        <f t="shared" si="85"/>
        <v>126117736000</v>
      </c>
      <c r="G110" s="142">
        <f t="shared" si="85"/>
        <v>149853936000</v>
      </c>
      <c r="H110" s="142">
        <f>+H105+H106+H107+H109+H113</f>
        <v>256448536000</v>
      </c>
      <c r="I110" s="142">
        <f>+I105+I106+I107+I109+I113</f>
        <v>201464786000</v>
      </c>
      <c r="J110" s="142">
        <f>+J105+J106+J107+J109+J113</f>
        <v>224506166000</v>
      </c>
      <c r="K110" s="503"/>
      <c r="L110" s="142"/>
      <c r="M110" s="142"/>
      <c r="N110" s="142"/>
    </row>
    <row r="111" spans="2:14">
      <c r="B111" s="140" t="s">
        <v>424</v>
      </c>
      <c r="C111" s="64">
        <v>-7400135000</v>
      </c>
      <c r="D111" s="64">
        <v>-7487300000</v>
      </c>
      <c r="E111" s="64">
        <v>-7516846000</v>
      </c>
      <c r="F111" s="64">
        <v>-7456097000</v>
      </c>
      <c r="G111" s="64">
        <v>-7476015000</v>
      </c>
      <c r="H111" s="64">
        <v>-7538231000</v>
      </c>
      <c r="I111" s="64">
        <v>-6789345000</v>
      </c>
      <c r="J111" s="65">
        <v>6797714000</v>
      </c>
      <c r="K111" s="196"/>
      <c r="L111" s="64"/>
      <c r="M111" s="64"/>
      <c r="N111" s="64"/>
    </row>
    <row r="112" spans="2:14">
      <c r="B112" s="85" t="s">
        <v>805</v>
      </c>
      <c r="C112" s="66">
        <v>0</v>
      </c>
      <c r="D112" s="66">
        <v>-3099000</v>
      </c>
      <c r="E112" s="66">
        <v>2604000</v>
      </c>
      <c r="F112" s="117">
        <v>3309000</v>
      </c>
      <c r="G112" s="117">
        <v>-1232000</v>
      </c>
      <c r="H112" s="117">
        <v>-74833000</v>
      </c>
      <c r="I112" s="117">
        <v>29603000</v>
      </c>
      <c r="J112" s="450">
        <v>-112676000</v>
      </c>
      <c r="K112" s="451"/>
      <c r="L112" s="117"/>
      <c r="M112" s="117"/>
      <c r="N112" s="117"/>
    </row>
    <row r="113" spans="2:14">
      <c r="B113" s="85" t="s">
        <v>734</v>
      </c>
      <c r="C113" s="66">
        <v>-5087801000</v>
      </c>
      <c r="D113" s="66">
        <v>-5500940000</v>
      </c>
      <c r="E113" s="66">
        <v>-5948159000</v>
      </c>
      <c r="F113" s="117">
        <v>-6596916000</v>
      </c>
      <c r="G113" s="117">
        <v>-7603221000</v>
      </c>
      <c r="H113" s="117">
        <v>-7715007000</v>
      </c>
      <c r="I113" s="117">
        <v>-8333707000</v>
      </c>
      <c r="J113" s="450">
        <v>-8091549000</v>
      </c>
      <c r="K113" s="451"/>
      <c r="L113" s="117"/>
      <c r="M113" s="117"/>
      <c r="N113" s="117"/>
    </row>
    <row r="114" spans="2:14">
      <c r="B114" s="86" t="s">
        <v>428</v>
      </c>
      <c r="C114" s="141">
        <f>+C108+C112+C111+C109+C113</f>
        <v>103556904000</v>
      </c>
      <c r="D114" s="141">
        <f t="shared" ref="D114:G114" si="86">+D108+D112+D111+D109+D113</f>
        <v>128068159000</v>
      </c>
      <c r="E114" s="141">
        <f t="shared" si="86"/>
        <v>114117572000</v>
      </c>
      <c r="F114" s="141">
        <f t="shared" si="86"/>
        <v>118664948000</v>
      </c>
      <c r="G114" s="141">
        <f t="shared" si="86"/>
        <v>142376689000</v>
      </c>
      <c r="H114" s="141">
        <f>+H108+H112+H111+H109+H113</f>
        <v>248835472000</v>
      </c>
      <c r="I114" s="141">
        <f>+I108+I112+I111+I109+I113</f>
        <v>194705044000</v>
      </c>
      <c r="J114" s="141">
        <f>+J108+J112+J111+J109+J113</f>
        <v>231191204000</v>
      </c>
      <c r="K114" s="502"/>
      <c r="L114" s="141"/>
      <c r="M114" s="141"/>
      <c r="N114" s="141"/>
    </row>
    <row r="115" spans="2:14">
      <c r="B115" s="85" t="s">
        <v>512</v>
      </c>
      <c r="C115" s="66">
        <v>244000</v>
      </c>
      <c r="D115" s="66">
        <v>103969000</v>
      </c>
      <c r="E115" s="66">
        <v>1901257000</v>
      </c>
      <c r="F115" s="66">
        <v>392212000</v>
      </c>
      <c r="G115" s="66">
        <v>252672000</v>
      </c>
      <c r="H115" s="66">
        <v>3694906000</v>
      </c>
      <c r="I115" s="66">
        <v>5920735000</v>
      </c>
      <c r="J115" s="67">
        <v>2941187000</v>
      </c>
      <c r="K115" s="105"/>
      <c r="L115" s="66"/>
      <c r="M115" s="66"/>
      <c r="N115" s="66"/>
    </row>
    <row r="116" spans="2:14">
      <c r="B116" s="85" t="s">
        <v>513</v>
      </c>
      <c r="C116" s="66">
        <v>-611938000</v>
      </c>
      <c r="D116" s="66">
        <v>-230887000</v>
      </c>
      <c r="E116" s="66">
        <v>-84194000</v>
      </c>
      <c r="F116" s="66">
        <v>-9885000</v>
      </c>
      <c r="G116" s="68">
        <v>-2792000</v>
      </c>
      <c r="H116" s="498">
        <v>-55435000</v>
      </c>
      <c r="I116" s="498">
        <v>-169104000</v>
      </c>
      <c r="J116" s="497">
        <v>92331000</v>
      </c>
      <c r="K116" s="68"/>
      <c r="L116" s="68"/>
      <c r="M116" s="68"/>
      <c r="N116" s="68"/>
    </row>
    <row r="117" spans="2:14">
      <c r="B117" s="85" t="s">
        <v>709</v>
      </c>
      <c r="C117" s="66">
        <v>4943000</v>
      </c>
      <c r="D117" s="66">
        <v>9281000</v>
      </c>
      <c r="E117" s="66">
        <v>2766000</v>
      </c>
      <c r="F117" s="66">
        <v>-85195000</v>
      </c>
      <c r="G117" s="66">
        <v>29766000</v>
      </c>
      <c r="H117" s="66">
        <v>317680000</v>
      </c>
      <c r="I117" s="66">
        <v>232576000</v>
      </c>
      <c r="J117" s="67">
        <v>-171766000</v>
      </c>
      <c r="K117" s="105"/>
      <c r="L117" s="66"/>
      <c r="M117" s="66"/>
      <c r="N117" s="66"/>
    </row>
    <row r="118" spans="2:14">
      <c r="B118" s="85" t="s">
        <v>710</v>
      </c>
      <c r="C118" s="66">
        <v>211519000</v>
      </c>
      <c r="D118" s="66">
        <v>342180000</v>
      </c>
      <c r="E118" s="66">
        <v>410420000</v>
      </c>
      <c r="F118" s="66">
        <v>240649000</v>
      </c>
      <c r="G118" s="66">
        <v>1269743000</v>
      </c>
      <c r="H118" s="66">
        <v>1902071000</v>
      </c>
      <c r="I118" s="66">
        <v>876984000</v>
      </c>
      <c r="J118" s="67">
        <v>1120165000</v>
      </c>
      <c r="K118" s="105"/>
      <c r="L118" s="66"/>
      <c r="M118" s="66"/>
      <c r="N118" s="66"/>
    </row>
    <row r="119" spans="2:14">
      <c r="B119" s="85" t="s">
        <v>357</v>
      </c>
      <c r="C119" s="66">
        <v>45000000</v>
      </c>
      <c r="D119" s="66">
        <v>55697000</v>
      </c>
      <c r="E119" s="66">
        <v>94725000</v>
      </c>
      <c r="F119" s="66">
        <v>0</v>
      </c>
      <c r="G119" s="66">
        <v>0</v>
      </c>
      <c r="H119" s="66">
        <v>0</v>
      </c>
      <c r="I119" s="66"/>
      <c r="J119" s="67"/>
      <c r="K119" s="105"/>
      <c r="L119" s="66"/>
      <c r="M119" s="66"/>
      <c r="N119" s="66"/>
    </row>
    <row r="120" spans="2:14">
      <c r="B120" s="87"/>
      <c r="C120" s="66"/>
      <c r="D120" s="66"/>
      <c r="E120" s="66"/>
      <c r="F120" s="66"/>
      <c r="G120" s="66"/>
      <c r="H120" s="66"/>
      <c r="I120" s="66"/>
      <c r="J120" s="67"/>
      <c r="K120" s="105"/>
      <c r="L120" s="66"/>
      <c r="M120" s="66"/>
      <c r="N120" s="66"/>
    </row>
    <row r="121" spans="2:14">
      <c r="B121" s="86" t="s">
        <v>362</v>
      </c>
      <c r="C121" s="64">
        <v>103206672000</v>
      </c>
      <c r="D121" s="64">
        <v>128348399000</v>
      </c>
      <c r="E121" s="64">
        <v>116442546000</v>
      </c>
      <c r="F121" s="64">
        <v>119202729000</v>
      </c>
      <c r="G121" s="64">
        <v>143926078000</v>
      </c>
      <c r="H121" s="64">
        <v>254694694000</v>
      </c>
      <c r="I121" s="64">
        <v>201566235000</v>
      </c>
      <c r="J121" s="65">
        <v>221393031000</v>
      </c>
      <c r="K121" s="196"/>
      <c r="L121" s="64"/>
      <c r="M121" s="64"/>
      <c r="N121" s="64"/>
    </row>
    <row r="122" spans="2:14">
      <c r="B122" s="85" t="s">
        <v>363</v>
      </c>
      <c r="C122" s="66">
        <v>-26346081000</v>
      </c>
      <c r="D122" s="66">
        <v>-34669191000</v>
      </c>
      <c r="E122" s="66">
        <v>-31554368000</v>
      </c>
      <c r="F122" s="66">
        <v>-32100661000</v>
      </c>
      <c r="G122" s="91">
        <v>-38959905000</v>
      </c>
      <c r="H122" s="91">
        <v>-67785473000</v>
      </c>
      <c r="I122" s="91">
        <v>-53910507000</v>
      </c>
      <c r="J122" s="447">
        <v>-59584002000</v>
      </c>
      <c r="K122" s="411"/>
      <c r="L122" s="91"/>
      <c r="M122" s="91"/>
      <c r="N122" s="91"/>
    </row>
    <row r="123" spans="2:14">
      <c r="B123" s="87" t="s">
        <v>435</v>
      </c>
      <c r="C123" s="66"/>
      <c r="D123" s="66"/>
      <c r="E123" s="66"/>
      <c r="F123" s="66"/>
      <c r="G123" s="91">
        <v>0</v>
      </c>
      <c r="H123" s="91">
        <v>0</v>
      </c>
      <c r="I123" s="91">
        <v>0</v>
      </c>
      <c r="J123" s="447">
        <v>0</v>
      </c>
      <c r="K123" s="411"/>
      <c r="L123" s="91"/>
      <c r="M123" s="91"/>
      <c r="N123" s="91"/>
    </row>
    <row r="124" spans="2:14">
      <c r="B124" s="84" t="s">
        <v>365</v>
      </c>
      <c r="C124" s="130">
        <f t="shared" ref="C124:G124" si="87">+C121+C122-C123</f>
        <v>76860591000</v>
      </c>
      <c r="D124" s="130">
        <f t="shared" si="87"/>
        <v>93679208000</v>
      </c>
      <c r="E124" s="130">
        <f t="shared" si="87"/>
        <v>84888178000</v>
      </c>
      <c r="F124" s="130">
        <f t="shared" si="87"/>
        <v>87102068000</v>
      </c>
      <c r="G124" s="130">
        <f t="shared" si="87"/>
        <v>104966173000</v>
      </c>
      <c r="H124" s="130">
        <f>+H121+H122-H123</f>
        <v>186909221000</v>
      </c>
      <c r="I124" s="130">
        <v>147655728000</v>
      </c>
      <c r="J124" s="130">
        <v>161809029000</v>
      </c>
      <c r="K124" s="504"/>
      <c r="L124" s="130"/>
      <c r="M124" s="130"/>
      <c r="N124" s="130"/>
    </row>
    <row r="125" spans="2:14">
      <c r="B125" s="84" t="s">
        <v>366</v>
      </c>
      <c r="C125" s="111">
        <v>125.46</v>
      </c>
      <c r="D125" s="111">
        <v>152.91</v>
      </c>
      <c r="E125" s="111">
        <v>138.56</v>
      </c>
      <c r="F125" s="134">
        <v>142.18</v>
      </c>
      <c r="G125" s="134">
        <v>171.34</v>
      </c>
      <c r="H125" s="134">
        <v>305.10000000000002</v>
      </c>
      <c r="I125" s="134">
        <v>241.02</v>
      </c>
      <c r="J125" s="220">
        <v>264.12</v>
      </c>
      <c r="K125" s="496"/>
      <c r="L125" s="134"/>
      <c r="M125" s="134"/>
      <c r="N125" s="134"/>
    </row>
    <row r="127" spans="2:14" ht="14.65" thickBot="1">
      <c r="B127" s="75" t="s">
        <v>367</v>
      </c>
    </row>
    <row r="128" spans="2:14" ht="14.65" thickBot="1">
      <c r="B128" s="82" t="s">
        <v>308</v>
      </c>
      <c r="C128" s="88">
        <v>2017</v>
      </c>
      <c r="D128" s="88">
        <v>2018</v>
      </c>
      <c r="E128" s="88">
        <v>2019</v>
      </c>
      <c r="F128" s="88">
        <v>2020</v>
      </c>
      <c r="G128" s="88">
        <v>2021</v>
      </c>
      <c r="H128" s="88">
        <v>2022</v>
      </c>
      <c r="I128" s="88">
        <v>2023</v>
      </c>
      <c r="J128" s="89">
        <v>2024</v>
      </c>
      <c r="K128" s="103">
        <v>2025</v>
      </c>
      <c r="L128" s="88">
        <v>2026</v>
      </c>
      <c r="M128" s="88">
        <v>2027</v>
      </c>
      <c r="N128" s="88">
        <v>2028</v>
      </c>
    </row>
    <row r="129" spans="2:14">
      <c r="B129" s="83" t="s">
        <v>368</v>
      </c>
      <c r="C129" s="90">
        <v>82838160000</v>
      </c>
      <c r="D129" s="90">
        <v>117652310000</v>
      </c>
      <c r="E129" s="90">
        <v>84508729000</v>
      </c>
      <c r="F129" s="90">
        <v>97320517000</v>
      </c>
      <c r="G129" s="90">
        <v>97896456000</v>
      </c>
      <c r="H129" s="90">
        <v>198598493000</v>
      </c>
      <c r="I129" s="90">
        <v>131564553000</v>
      </c>
      <c r="J129" s="109">
        <v>158852753000</v>
      </c>
      <c r="K129" s="410"/>
      <c r="L129" s="90"/>
      <c r="M129" s="90"/>
      <c r="N129" s="90"/>
    </row>
    <row r="130" spans="2:14">
      <c r="B130" s="86" t="s">
        <v>369</v>
      </c>
      <c r="C130" s="91">
        <v>-1327619000</v>
      </c>
      <c r="D130" s="93">
        <v>-480740000</v>
      </c>
      <c r="E130" s="93">
        <v>-18297243000</v>
      </c>
      <c r="F130" s="66">
        <v>-13923185000</v>
      </c>
      <c r="G130" s="93">
        <v>-2671465000</v>
      </c>
      <c r="H130" s="93">
        <v>-74087239000</v>
      </c>
      <c r="I130" s="91">
        <v>59381509000</v>
      </c>
      <c r="J130" s="449">
        <v>-4808663000</v>
      </c>
      <c r="K130" s="413"/>
      <c r="L130" s="93"/>
      <c r="M130" s="93"/>
      <c r="N130" s="93"/>
    </row>
    <row r="131" spans="2:14">
      <c r="B131" s="85" t="s">
        <v>370</v>
      </c>
      <c r="C131" s="93">
        <v>-1372619000</v>
      </c>
      <c r="D131" s="93">
        <v>-639914000</v>
      </c>
      <c r="E131" s="93">
        <v>-556122000</v>
      </c>
      <c r="F131" s="93">
        <v>-334634000</v>
      </c>
      <c r="G131" s="93">
        <v>-599075000</v>
      </c>
      <c r="H131" s="93">
        <v>-5093238000</v>
      </c>
      <c r="I131" s="93">
        <v>-704521000</v>
      </c>
      <c r="J131" s="449">
        <v>4136603000</v>
      </c>
      <c r="K131" s="413"/>
      <c r="L131" s="93"/>
      <c r="M131" s="93"/>
      <c r="N131" s="93"/>
    </row>
    <row r="132" spans="2:14">
      <c r="B132" s="86" t="s">
        <v>372</v>
      </c>
      <c r="C132" s="120">
        <v>-81486038000</v>
      </c>
      <c r="D132" s="120">
        <v>-89760830000</v>
      </c>
      <c r="E132" s="64">
        <v>-93645983000</v>
      </c>
      <c r="F132" s="120">
        <v>-83382323000</v>
      </c>
      <c r="G132" s="120">
        <v>-95188727000</v>
      </c>
      <c r="H132" s="120">
        <v>-124779001000</v>
      </c>
      <c r="I132" s="120">
        <v>-191136338000</v>
      </c>
      <c r="J132" s="479">
        <v>-153990097000</v>
      </c>
      <c r="K132" s="475"/>
      <c r="L132" s="120"/>
      <c r="M132" s="120"/>
      <c r="N132" s="120"/>
    </row>
    <row r="133" spans="2:14">
      <c r="B133" s="85" t="s">
        <v>373</v>
      </c>
      <c r="C133" s="93">
        <v>-78143108000</v>
      </c>
      <c r="D133" s="93">
        <v>-81063202000</v>
      </c>
      <c r="E133" s="66">
        <v>-93587314000</v>
      </c>
      <c r="F133" s="93">
        <v>-83378029000</v>
      </c>
      <c r="G133" s="93">
        <v>-95188727000</v>
      </c>
      <c r="H133" s="93">
        <v>-124779001000</v>
      </c>
      <c r="I133" s="93">
        <v>-191136338000</v>
      </c>
      <c r="J133" s="449">
        <v>-153990097000</v>
      </c>
      <c r="K133" s="413"/>
      <c r="L133" s="93"/>
      <c r="M133" s="93"/>
      <c r="N133" s="93"/>
    </row>
    <row r="134" spans="2:14">
      <c r="B134" s="85" t="s">
        <v>437</v>
      </c>
      <c r="C134" s="93">
        <v>0</v>
      </c>
      <c r="D134" s="93">
        <v>-155940000</v>
      </c>
      <c r="E134" s="66">
        <v>-184605000</v>
      </c>
      <c r="F134" s="93">
        <v>-4294000</v>
      </c>
      <c r="G134" s="93">
        <v>0</v>
      </c>
      <c r="H134" s="93">
        <v>0</v>
      </c>
      <c r="I134" s="93">
        <v>0</v>
      </c>
      <c r="J134" s="449">
        <v>0</v>
      </c>
      <c r="K134" s="413"/>
      <c r="L134" s="93"/>
      <c r="M134" s="93"/>
      <c r="N134" s="93"/>
    </row>
    <row r="135" spans="2:14">
      <c r="B135" s="86" t="s">
        <v>375</v>
      </c>
      <c r="C135" s="64">
        <v>24563000</v>
      </c>
      <c r="D135" s="64">
        <v>27435303000</v>
      </c>
      <c r="E135" s="64">
        <v>806000</v>
      </c>
      <c r="F135" s="64">
        <v>15815000</v>
      </c>
      <c r="G135" s="64">
        <v>52079000</v>
      </c>
      <c r="H135" s="64">
        <v>102644000</v>
      </c>
      <c r="I135" s="64">
        <v>144944000</v>
      </c>
      <c r="J135" s="65">
        <v>23410000</v>
      </c>
      <c r="K135" s="196"/>
      <c r="L135" s="64"/>
      <c r="M135" s="64"/>
      <c r="N135" s="64"/>
    </row>
    <row r="136" spans="2:14">
      <c r="B136" s="85"/>
      <c r="C136" s="66"/>
      <c r="D136" s="66"/>
      <c r="E136" s="66"/>
      <c r="F136" s="66"/>
      <c r="G136" s="66"/>
      <c r="H136" s="66"/>
      <c r="I136" s="66"/>
      <c r="J136" s="67"/>
      <c r="K136" s="105"/>
      <c r="L136" s="66"/>
      <c r="M136" s="66"/>
      <c r="N136" s="66"/>
    </row>
    <row r="137" spans="2:14">
      <c r="B137" s="84" t="s">
        <v>376</v>
      </c>
      <c r="C137" s="66">
        <f t="shared" ref="C137:G137" si="88">+C129+C131+C134</f>
        <v>81465541000</v>
      </c>
      <c r="D137" s="66">
        <f>+D129+D131+D134</f>
        <v>116856456000</v>
      </c>
      <c r="E137" s="66">
        <f t="shared" si="88"/>
        <v>83768002000</v>
      </c>
      <c r="F137" s="66">
        <f t="shared" si="88"/>
        <v>96981589000</v>
      </c>
      <c r="G137" s="66">
        <f t="shared" si="88"/>
        <v>97297381000</v>
      </c>
      <c r="H137" s="66">
        <f>+H129+H131+H134</f>
        <v>193505255000</v>
      </c>
      <c r="I137" s="66">
        <f>+I129+I131+I134</f>
        <v>130860032000</v>
      </c>
      <c r="J137" s="66">
        <f>+J129+J131+J134</f>
        <v>162989356000</v>
      </c>
      <c r="K137" s="105"/>
      <c r="L137" s="66"/>
      <c r="M137" s="66"/>
      <c r="N137" s="66"/>
    </row>
  </sheetData>
  <conditionalFormatting sqref="C116:F116">
    <cfRule type="cellIs" dxfId="56" priority="16" operator="lessThan">
      <formula>0</formula>
    </cfRule>
  </conditionalFormatting>
  <conditionalFormatting sqref="C66:I69 D70:I71 C72:I72 C96:I98 C99:D99 F99:I99 C100:I101">
    <cfRule type="cellIs" dxfId="55" priority="17" operator="lessThan">
      <formula>0</formula>
    </cfRule>
  </conditionalFormatting>
  <conditionalFormatting sqref="C105:N115 C117:N125">
    <cfRule type="cellIs" dxfId="54" priority="2" operator="lessThan">
      <formula>0</formula>
    </cfRule>
  </conditionalFormatting>
  <conditionalFormatting sqref="C129:N137">
    <cfRule type="cellIs" dxfId="53" priority="1" operator="lessThan">
      <formula>0</formula>
    </cfRule>
  </conditionalFormatting>
  <conditionalFormatting sqref="J66:M72 C73:M94">
    <cfRule type="cellIs" dxfId="52" priority="6" operator="lessThan">
      <formula>0</formula>
    </cfRule>
  </conditionalFormatting>
  <conditionalFormatting sqref="N66:N94 J96:N101">
    <cfRule type="cellIs" dxfId="51" priority="3" operator="lessThan">
      <formula>0</formula>
    </cfRule>
  </conditionalFormatting>
  <pageMargins left="0.7" right="0.7" top="0.75" bottom="0.75" header="0.3" footer="0.3"/>
  <pageSetup paperSize="9" orientation="portrait" r:id="rId1"/>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AD1E1-B84B-43F5-8846-91B0F30B4117}">
  <dimension ref="B2:P153"/>
  <sheetViews>
    <sheetView zoomScale="55" zoomScaleNormal="55" workbookViewId="0">
      <pane xSplit="2" ySplit="6" topLeftCell="G7" activePane="bottomRight" state="frozen"/>
      <selection pane="bottomRight" activeCell="J55" sqref="J55"/>
      <selection pane="bottomLeft" activeCell="A7" sqref="A7"/>
      <selection pane="topRight" activeCell="C1" sqref="C1"/>
    </sheetView>
  </sheetViews>
  <sheetFormatPr defaultColWidth="10.7109375" defaultRowHeight="12.75"/>
  <cols>
    <col min="1" max="1" width="4.42578125" style="855" customWidth="1"/>
    <col min="2" max="2" width="71.42578125" style="855" bestFit="1" customWidth="1"/>
    <col min="3" max="3" width="19.5703125" style="855" bestFit="1" customWidth="1"/>
    <col min="4" max="4" width="29.85546875" style="855" bestFit="1" customWidth="1"/>
    <col min="5" max="5" width="28.5703125" style="855" bestFit="1" customWidth="1"/>
    <col min="6" max="10" width="19.5703125" style="855" bestFit="1" customWidth="1"/>
    <col min="11" max="11" width="21" style="855" customWidth="1"/>
    <col min="12" max="14" width="9.140625" style="855" bestFit="1" customWidth="1"/>
    <col min="15" max="16384" width="10.7109375" style="855"/>
  </cols>
  <sheetData>
    <row r="2" spans="2:14" ht="13.15">
      <c r="B2" s="852">
        <f ca="1">TODAY()-1</f>
        <v>46105</v>
      </c>
      <c r="C2" s="853"/>
      <c r="D2" s="854" t="s">
        <v>518</v>
      </c>
      <c r="E2" s="854" t="s">
        <v>266</v>
      </c>
    </row>
    <row r="3" spans="2:14">
      <c r="B3" s="856" cm="1">
        <f t="array" aca="1" ref="B3" ca="1">_FV(B6,"Precio")</f>
        <v>3699</v>
      </c>
      <c r="C3" s="857"/>
      <c r="D3" s="858">
        <f>AVERAGE(H45:J45)</f>
        <v>28.333333333333332</v>
      </c>
      <c r="E3" s="858">
        <f>AVERAGE(H44:J44)</f>
        <v>28.333333333333332</v>
      </c>
    </row>
    <row r="4" spans="2:14" ht="13.15">
      <c r="B4" s="859"/>
      <c r="C4" s="860"/>
      <c r="D4" s="861"/>
      <c r="E4" s="861"/>
    </row>
    <row r="6" spans="2:14" ht="13.15">
      <c r="B6" s="862" t="e" vm="49">
        <v>#VALUE!</v>
      </c>
      <c r="C6" s="862">
        <v>2017</v>
      </c>
      <c r="D6" s="862">
        <v>2018</v>
      </c>
      <c r="E6" s="862">
        <v>2019</v>
      </c>
      <c r="F6" s="862">
        <v>2020</v>
      </c>
      <c r="G6" s="862">
        <v>2021</v>
      </c>
      <c r="H6" s="862">
        <v>2022</v>
      </c>
      <c r="I6" s="862">
        <v>2023</v>
      </c>
      <c r="J6" s="862">
        <v>2024</v>
      </c>
      <c r="K6" s="862">
        <v>2025</v>
      </c>
      <c r="L6" s="862">
        <v>2026</v>
      </c>
      <c r="M6" s="862">
        <v>2027</v>
      </c>
      <c r="N6" s="862">
        <v>2028</v>
      </c>
    </row>
    <row r="7" spans="2:14">
      <c r="B7" s="863" t="s">
        <v>267</v>
      </c>
      <c r="C7" s="864">
        <f>+C68</f>
        <v>232706710000</v>
      </c>
      <c r="D7" s="864">
        <f t="shared" ref="D7:N7" si="0">+D68</f>
        <v>364167584000</v>
      </c>
      <c r="E7" s="864">
        <f t="shared" si="0"/>
        <v>409922039000</v>
      </c>
      <c r="F7" s="864">
        <f t="shared" si="0"/>
        <v>426919721000</v>
      </c>
      <c r="G7" s="864">
        <f t="shared" si="0"/>
        <v>368697544000</v>
      </c>
      <c r="H7" s="864">
        <f t="shared" si="0"/>
        <v>316127718000</v>
      </c>
      <c r="I7" s="864">
        <f t="shared" si="0"/>
        <v>420724391000</v>
      </c>
      <c r="J7" s="864">
        <f t="shared" si="0"/>
        <v>528036127000</v>
      </c>
      <c r="K7" s="864">
        <f t="shared" si="0"/>
        <v>274033137000</v>
      </c>
      <c r="L7" s="864">
        <f t="shared" si="0"/>
        <v>0</v>
      </c>
      <c r="M7" s="864">
        <f t="shared" si="0"/>
        <v>0</v>
      </c>
      <c r="N7" s="864">
        <f t="shared" si="0"/>
        <v>0</v>
      </c>
    </row>
    <row r="8" spans="2:14">
      <c r="B8" s="865" t="s">
        <v>377</v>
      </c>
      <c r="C8" s="866">
        <f>+C72</f>
        <v>29055567000</v>
      </c>
      <c r="D8" s="866">
        <f t="shared" ref="D8:N8" si="1">+D72</f>
        <v>30216487000</v>
      </c>
      <c r="E8" s="866">
        <f t="shared" si="1"/>
        <v>35040712000</v>
      </c>
      <c r="F8" s="866">
        <f t="shared" si="1"/>
        <v>27006348000</v>
      </c>
      <c r="G8" s="866">
        <f t="shared" si="1"/>
        <v>30373820000</v>
      </c>
      <c r="H8" s="866">
        <f t="shared" si="1"/>
        <v>28109399000</v>
      </c>
      <c r="I8" s="866">
        <f t="shared" si="1"/>
        <v>31771009000</v>
      </c>
      <c r="J8" s="866">
        <f t="shared" si="1"/>
        <v>29227841000</v>
      </c>
      <c r="K8" s="866">
        <f t="shared" si="1"/>
        <v>29336250000</v>
      </c>
      <c r="L8" s="866">
        <f t="shared" si="1"/>
        <v>0</v>
      </c>
      <c r="M8" s="866">
        <f t="shared" si="1"/>
        <v>0</v>
      </c>
      <c r="N8" s="866">
        <f t="shared" si="1"/>
        <v>0</v>
      </c>
    </row>
    <row r="9" spans="2:14">
      <c r="B9" s="865" t="s">
        <v>378</v>
      </c>
      <c r="C9" s="866">
        <f>+C74</f>
        <v>0</v>
      </c>
      <c r="D9" s="866">
        <f t="shared" ref="D9:N9" si="2">+D74</f>
        <v>0</v>
      </c>
      <c r="E9" s="866">
        <f t="shared" si="2"/>
        <v>0</v>
      </c>
      <c r="F9" s="866">
        <f t="shared" si="2"/>
        <v>0</v>
      </c>
      <c r="G9" s="866">
        <f t="shared" si="2"/>
        <v>0</v>
      </c>
      <c r="H9" s="866">
        <f t="shared" si="2"/>
        <v>0</v>
      </c>
      <c r="I9" s="866">
        <f t="shared" si="2"/>
        <v>0</v>
      </c>
      <c r="J9" s="866">
        <f t="shared" si="2"/>
        <v>0</v>
      </c>
      <c r="K9" s="866">
        <f t="shared" si="2"/>
        <v>0</v>
      </c>
      <c r="L9" s="866">
        <f t="shared" si="2"/>
        <v>0</v>
      </c>
      <c r="M9" s="866">
        <f t="shared" si="2"/>
        <v>0</v>
      </c>
      <c r="N9" s="866">
        <f t="shared" si="2"/>
        <v>0</v>
      </c>
    </row>
    <row r="10" spans="2:14">
      <c r="B10" s="863" t="s">
        <v>519</v>
      </c>
      <c r="C10" s="864">
        <f>+C77</f>
        <v>1848307271000</v>
      </c>
      <c r="D10" s="864">
        <f t="shared" ref="D10:N10" si="3">+D77</f>
        <v>2013932465000</v>
      </c>
      <c r="E10" s="864">
        <f t="shared" si="3"/>
        <v>2273346091000</v>
      </c>
      <c r="F10" s="864">
        <f t="shared" si="3"/>
        <v>2260743528000</v>
      </c>
      <c r="G10" s="864">
        <f t="shared" si="3"/>
        <v>2407200032000</v>
      </c>
      <c r="H10" s="864">
        <f>+H77</f>
        <v>2622082884000</v>
      </c>
      <c r="I10" s="864">
        <f t="shared" si="3"/>
        <v>3062246756000</v>
      </c>
      <c r="J10" s="864">
        <f t="shared" si="3"/>
        <v>3402443399000</v>
      </c>
      <c r="K10" s="864">
        <f t="shared" si="3"/>
        <v>4010649458000</v>
      </c>
      <c r="L10" s="864">
        <f t="shared" si="3"/>
        <v>0</v>
      </c>
      <c r="M10" s="864">
        <f t="shared" si="3"/>
        <v>0</v>
      </c>
      <c r="N10" s="864">
        <f t="shared" si="3"/>
        <v>0</v>
      </c>
    </row>
    <row r="11" spans="2:14" ht="13.15">
      <c r="B11" s="867" t="s">
        <v>272</v>
      </c>
      <c r="C11" s="868">
        <f t="shared" ref="C11:N11" si="4">+C7+C10</f>
        <v>2081013981000</v>
      </c>
      <c r="D11" s="868">
        <f t="shared" si="4"/>
        <v>2378100049000</v>
      </c>
      <c r="E11" s="868">
        <f t="shared" si="4"/>
        <v>2683268130000</v>
      </c>
      <c r="F11" s="868">
        <f t="shared" si="4"/>
        <v>2687663249000</v>
      </c>
      <c r="G11" s="868">
        <f t="shared" si="4"/>
        <v>2775897576000</v>
      </c>
      <c r="H11" s="868">
        <f t="shared" si="4"/>
        <v>2938210602000</v>
      </c>
      <c r="I11" s="868">
        <f t="shared" si="4"/>
        <v>3482971147000</v>
      </c>
      <c r="J11" s="868">
        <f t="shared" si="4"/>
        <v>3930479526000</v>
      </c>
      <c r="K11" s="868">
        <f t="shared" si="4"/>
        <v>4284682595000</v>
      </c>
      <c r="L11" s="868">
        <f t="shared" si="4"/>
        <v>0</v>
      </c>
      <c r="M11" s="868">
        <f t="shared" si="4"/>
        <v>0</v>
      </c>
      <c r="N11" s="868">
        <f t="shared" si="4"/>
        <v>0</v>
      </c>
    </row>
    <row r="12" spans="2:14">
      <c r="B12" s="869" t="s">
        <v>273</v>
      </c>
      <c r="C12" s="870">
        <f>+C91</f>
        <v>96845567000</v>
      </c>
      <c r="D12" s="870">
        <f t="shared" ref="D12:N12" si="5">+D91</f>
        <v>190331991000</v>
      </c>
      <c r="E12" s="870">
        <f t="shared" si="5"/>
        <v>321246234000</v>
      </c>
      <c r="F12" s="870">
        <f t="shared" si="5"/>
        <v>93861631000</v>
      </c>
      <c r="G12" s="870">
        <f t="shared" si="5"/>
        <v>169075333000</v>
      </c>
      <c r="H12" s="870">
        <f t="shared" si="5"/>
        <v>191652165000</v>
      </c>
      <c r="I12" s="870">
        <f t="shared" si="5"/>
        <v>260905891000</v>
      </c>
      <c r="J12" s="870">
        <f t="shared" si="5"/>
        <v>296359983000</v>
      </c>
      <c r="K12" s="870">
        <f t="shared" si="5"/>
        <v>278117654000</v>
      </c>
      <c r="L12" s="870">
        <f t="shared" si="5"/>
        <v>0</v>
      </c>
      <c r="M12" s="870">
        <f t="shared" si="5"/>
        <v>0</v>
      </c>
      <c r="N12" s="870">
        <f t="shared" si="5"/>
        <v>0</v>
      </c>
    </row>
    <row r="13" spans="2:14">
      <c r="B13" s="869" t="s">
        <v>274</v>
      </c>
      <c r="C13" s="870">
        <f>+C101</f>
        <v>1043398995000</v>
      </c>
      <c r="D13" s="870">
        <f t="shared" ref="D13:N13" si="6">+D101</f>
        <v>1109740318000</v>
      </c>
      <c r="E13" s="870">
        <f t="shared" si="6"/>
        <v>1194143310000</v>
      </c>
      <c r="F13" s="870">
        <f t="shared" si="6"/>
        <v>1506177126000</v>
      </c>
      <c r="G13" s="870">
        <f t="shared" si="6"/>
        <v>1316559278000</v>
      </c>
      <c r="H13" s="870">
        <f t="shared" si="6"/>
        <v>1390493359000</v>
      </c>
      <c r="I13" s="870">
        <f t="shared" si="6"/>
        <v>1591104823000</v>
      </c>
      <c r="J13" s="870">
        <f t="shared" si="6"/>
        <v>1846072278000</v>
      </c>
      <c r="K13" s="870">
        <f t="shared" si="6"/>
        <v>2049628232000</v>
      </c>
      <c r="L13" s="870">
        <f t="shared" si="6"/>
        <v>0</v>
      </c>
      <c r="M13" s="870">
        <f t="shared" si="6"/>
        <v>0</v>
      </c>
      <c r="N13" s="870">
        <f t="shared" si="6"/>
        <v>0</v>
      </c>
    </row>
    <row r="14" spans="2:14" ht="13.15">
      <c r="B14" s="871" t="s">
        <v>275</v>
      </c>
      <c r="C14" s="872">
        <f t="shared" ref="C14:N14" si="7">SUM(C12:C13)</f>
        <v>1140244562000</v>
      </c>
      <c r="D14" s="872">
        <f t="shared" si="7"/>
        <v>1300072309000</v>
      </c>
      <c r="E14" s="872">
        <f t="shared" si="7"/>
        <v>1515389544000</v>
      </c>
      <c r="F14" s="872">
        <f t="shared" si="7"/>
        <v>1600038757000</v>
      </c>
      <c r="G14" s="872">
        <f t="shared" si="7"/>
        <v>1485634611000</v>
      </c>
      <c r="H14" s="872">
        <f t="shared" si="7"/>
        <v>1582145524000</v>
      </c>
      <c r="I14" s="872">
        <f t="shared" si="7"/>
        <v>1852010714000</v>
      </c>
      <c r="J14" s="872">
        <f t="shared" si="7"/>
        <v>2142432261000</v>
      </c>
      <c r="K14" s="872">
        <f t="shared" si="7"/>
        <v>2327745886000</v>
      </c>
      <c r="L14" s="872">
        <f t="shared" si="7"/>
        <v>0</v>
      </c>
      <c r="M14" s="872">
        <f t="shared" si="7"/>
        <v>0</v>
      </c>
      <c r="N14" s="872">
        <f t="shared" si="7"/>
        <v>0</v>
      </c>
    </row>
    <row r="15" spans="2:14" ht="13.15">
      <c r="B15" s="873" t="s">
        <v>276</v>
      </c>
      <c r="C15" s="874">
        <f>+C118</f>
        <v>798174870000</v>
      </c>
      <c r="D15" s="874">
        <f t="shared" ref="D15:N15" si="8">+D118</f>
        <v>919826325000</v>
      </c>
      <c r="E15" s="874">
        <f t="shared" si="8"/>
        <v>1057070228000</v>
      </c>
      <c r="F15" s="874">
        <f t="shared" si="8"/>
        <v>978269481000</v>
      </c>
      <c r="G15" s="874">
        <f t="shared" si="8"/>
        <v>1077424538000</v>
      </c>
      <c r="H15" s="874">
        <f t="shared" si="8"/>
        <v>1144928854000</v>
      </c>
      <c r="I15" s="874">
        <f t="shared" si="8"/>
        <v>1298911303000</v>
      </c>
      <c r="J15" s="874">
        <f t="shared" si="8"/>
        <v>1464457742000</v>
      </c>
      <c r="K15" s="874">
        <f t="shared" si="8"/>
        <v>1594521782000</v>
      </c>
      <c r="L15" s="874">
        <f t="shared" si="8"/>
        <v>0</v>
      </c>
      <c r="M15" s="874">
        <f t="shared" si="8"/>
        <v>0</v>
      </c>
      <c r="N15" s="874">
        <f t="shared" si="8"/>
        <v>0</v>
      </c>
    </row>
    <row r="16" spans="2:14">
      <c r="B16" s="875" t="s">
        <v>278</v>
      </c>
      <c r="C16" s="876">
        <v>897746765</v>
      </c>
      <c r="D16" s="876">
        <v>902157216</v>
      </c>
      <c r="E16" s="876">
        <v>905715882</v>
      </c>
      <c r="F16" s="876">
        <v>905715882</v>
      </c>
      <c r="G16" s="876">
        <v>905715882</v>
      </c>
      <c r="H16" s="876">
        <v>905715882</v>
      </c>
      <c r="I16" s="876">
        <v>905715882</v>
      </c>
      <c r="J16" s="876">
        <v>905715882</v>
      </c>
      <c r="K16" s="876">
        <v>905715882</v>
      </c>
      <c r="L16" s="876"/>
      <c r="M16" s="876"/>
      <c r="N16" s="876"/>
    </row>
    <row r="18" spans="2:14" ht="13.15">
      <c r="B18" s="877" t="s">
        <v>279</v>
      </c>
      <c r="C18" s="878">
        <f>(C15/C16)</f>
        <v>889.08687963915975</v>
      </c>
      <c r="D18" s="878">
        <f t="shared" ref="D18:N18" si="9">(D15/D16)</f>
        <v>1019.5853989599968</v>
      </c>
      <c r="E18" s="878">
        <f t="shared" si="9"/>
        <v>1167.1101821310449</v>
      </c>
      <c r="F18" s="878">
        <f t="shared" si="9"/>
        <v>1080.106356134318</v>
      </c>
      <c r="G18" s="878">
        <f t="shared" si="9"/>
        <v>1189.5833554567171</v>
      </c>
      <c r="H18" s="878">
        <f t="shared" si="9"/>
        <v>1264.1148032777899</v>
      </c>
      <c r="I18" s="878">
        <f t="shared" si="9"/>
        <v>1434.1266713041916</v>
      </c>
      <c r="J18" s="878">
        <f t="shared" si="9"/>
        <v>1616.9063291307064</v>
      </c>
      <c r="K18" s="878">
        <f t="shared" si="9"/>
        <v>1760.5099056880622</v>
      </c>
      <c r="L18" s="878" t="e">
        <f t="shared" si="9"/>
        <v>#DIV/0!</v>
      </c>
      <c r="M18" s="878" t="e">
        <f t="shared" si="9"/>
        <v>#DIV/0!</v>
      </c>
      <c r="N18" s="878" t="e">
        <f t="shared" si="9"/>
        <v>#DIV/0!</v>
      </c>
    </row>
    <row r="19" spans="2:14" ht="13.15">
      <c r="B19" s="879" t="s">
        <v>282</v>
      </c>
      <c r="C19" s="880">
        <v>1906.8</v>
      </c>
      <c r="D19" s="880">
        <v>1544.9</v>
      </c>
      <c r="E19" s="880">
        <v>1849.9</v>
      </c>
      <c r="F19" s="880">
        <v>1163</v>
      </c>
      <c r="G19" s="880">
        <v>939.9</v>
      </c>
      <c r="H19" s="881">
        <v>1082</v>
      </c>
      <c r="I19" s="881">
        <v>1420</v>
      </c>
      <c r="J19" s="881">
        <v>1589</v>
      </c>
      <c r="K19" s="881">
        <v>2990</v>
      </c>
      <c r="L19" s="881"/>
      <c r="M19" s="881"/>
      <c r="N19" s="881"/>
    </row>
    <row r="20" spans="2:14" ht="13.15">
      <c r="B20" s="877" t="s">
        <v>283</v>
      </c>
      <c r="C20" s="882">
        <f>+C19/C40</f>
        <v>19.185028674916992</v>
      </c>
      <c r="D20" s="882">
        <f t="shared" ref="D20:J20" si="10">+D19/D40</f>
        <v>11.795831106360236</v>
      </c>
      <c r="E20" s="882">
        <f t="shared" si="10"/>
        <v>17.909768612644012</v>
      </c>
      <c r="F20" s="882">
        <f t="shared" si="10"/>
        <v>570.0980392156863</v>
      </c>
      <c r="G20" s="882">
        <f t="shared" si="10"/>
        <v>36.317619783616692</v>
      </c>
      <c r="H20" s="882">
        <f t="shared" si="10"/>
        <v>9.6996862393545502</v>
      </c>
      <c r="I20" s="882">
        <f t="shared" si="10"/>
        <v>11.44792002579813</v>
      </c>
      <c r="J20" s="882">
        <f t="shared" si="10"/>
        <v>11.936598557692307</v>
      </c>
      <c r="K20" s="882">
        <f t="shared" ref="K20:N20" si="11">+K19/K40</f>
        <v>18.057736441599225</v>
      </c>
      <c r="L20" s="882" t="e">
        <f t="shared" si="11"/>
        <v>#DIV/0!</v>
      </c>
      <c r="M20" s="882" t="e">
        <f t="shared" si="11"/>
        <v>#DIV/0!</v>
      </c>
      <c r="N20" s="882" t="e">
        <f t="shared" si="11"/>
        <v>#DIV/0!</v>
      </c>
    </row>
    <row r="21" spans="2:14" ht="13.15">
      <c r="B21" s="877" t="s">
        <v>284</v>
      </c>
      <c r="C21" s="882">
        <f t="shared" ref="C21:N21" si="12">+C19/C18</f>
        <v>2.1446722965632832</v>
      </c>
      <c r="D21" s="882">
        <f t="shared" si="12"/>
        <v>1.5152237385665168</v>
      </c>
      <c r="E21" s="882">
        <f t="shared" si="12"/>
        <v>1.5850260141011181</v>
      </c>
      <c r="F21" s="882">
        <f t="shared" si="12"/>
        <v>1.0767458161827292</v>
      </c>
      <c r="G21" s="882">
        <f t="shared" si="12"/>
        <v>0.79010856674196139</v>
      </c>
      <c r="H21" s="882">
        <f t="shared" si="12"/>
        <v>0.85593491761541374</v>
      </c>
      <c r="I21" s="882">
        <f t="shared" si="12"/>
        <v>0.9901496349054405</v>
      </c>
      <c r="J21" s="882">
        <f t="shared" si="12"/>
        <v>0.98274091168552136</v>
      </c>
      <c r="K21" s="882">
        <f t="shared" si="12"/>
        <v>1.69837158560685</v>
      </c>
      <c r="L21" s="882" t="e">
        <f t="shared" si="12"/>
        <v>#DIV/0!</v>
      </c>
      <c r="M21" s="882" t="e">
        <f t="shared" si="12"/>
        <v>#DIV/0!</v>
      </c>
      <c r="N21" s="882" t="e">
        <f t="shared" si="12"/>
        <v>#DIV/0!</v>
      </c>
    </row>
    <row r="22" spans="2:14" ht="13.15">
      <c r="B22" s="877" t="s">
        <v>285</v>
      </c>
      <c r="C22" s="882">
        <f>+C20*C21</f>
        <v>41.14559950786667</v>
      </c>
      <c r="D22" s="882">
        <f t="shared" ref="D22:N22" si="13">+D20*D21</f>
        <v>17.873323308478369</v>
      </c>
      <c r="E22" s="882">
        <f t="shared" si="13"/>
        <v>28.387449157572451</v>
      </c>
      <c r="F22" s="882">
        <f t="shared" si="13"/>
        <v>613.85067853946771</v>
      </c>
      <c r="G22" s="882">
        <f t="shared" si="13"/>
        <v>28.694862514712888</v>
      </c>
      <c r="H22" s="882">
        <f t="shared" si="13"/>
        <v>8.3023001421772999</v>
      </c>
      <c r="I22" s="882">
        <f t="shared" si="13"/>
        <v>11.335153833970699</v>
      </c>
      <c r="J22" s="882">
        <f t="shared" si="13"/>
        <v>11.730583749010616</v>
      </c>
      <c r="K22" s="882">
        <f t="shared" si="13"/>
        <v>30.668746472789472</v>
      </c>
      <c r="L22" s="882" t="e">
        <f t="shared" si="13"/>
        <v>#DIV/0!</v>
      </c>
      <c r="M22" s="882" t="e">
        <f t="shared" si="13"/>
        <v>#DIV/0!</v>
      </c>
      <c r="N22" s="882" t="e">
        <f t="shared" si="13"/>
        <v>#DIV/0!</v>
      </c>
    </row>
    <row r="23" spans="2:14" ht="13.15">
      <c r="B23" s="883" t="s">
        <v>286</v>
      </c>
      <c r="C23" s="884">
        <f>IF(C41&lt;10%,0,IF(15%&lt;C41,2,1))</f>
        <v>1</v>
      </c>
      <c r="D23" s="884">
        <f>IF(D41&lt;10%,0,IF(15%&lt;D41,2,1))</f>
        <v>1</v>
      </c>
      <c r="E23" s="884">
        <f t="shared" ref="E23:F23" si="14">IF(E41&lt;10%,0,IF(15%&lt;E41,2,1))</f>
        <v>0</v>
      </c>
      <c r="F23" s="884">
        <f t="shared" si="14"/>
        <v>0</v>
      </c>
      <c r="G23" s="884">
        <v>2</v>
      </c>
      <c r="H23" s="884">
        <v>2</v>
      </c>
      <c r="I23" s="884">
        <v>2</v>
      </c>
      <c r="J23" s="884">
        <v>2</v>
      </c>
      <c r="K23" s="884">
        <v>2</v>
      </c>
      <c r="L23" s="884">
        <v>2</v>
      </c>
      <c r="M23" s="884">
        <v>2</v>
      </c>
      <c r="N23" s="884">
        <v>2</v>
      </c>
    </row>
    <row r="24" spans="2:14" ht="13.15">
      <c r="B24" s="883" t="s">
        <v>287</v>
      </c>
      <c r="C24" s="884">
        <f>IF(C41&lt;10%,1,IF(15%&lt;C41,2.5,2))</f>
        <v>2</v>
      </c>
      <c r="D24" s="884">
        <f t="shared" ref="D24:F24" si="15">IF(D41&lt;10%,1,IF(15%&lt;D41,2.5,2))</f>
        <v>2</v>
      </c>
      <c r="E24" s="884">
        <f t="shared" si="15"/>
        <v>1</v>
      </c>
      <c r="F24" s="884">
        <f t="shared" si="15"/>
        <v>1</v>
      </c>
      <c r="G24" s="884">
        <v>2.5</v>
      </c>
      <c r="H24" s="884">
        <v>2.5</v>
      </c>
      <c r="I24" s="884">
        <v>2.5</v>
      </c>
      <c r="J24" s="884">
        <v>2.5</v>
      </c>
      <c r="K24" s="884">
        <v>2.5</v>
      </c>
      <c r="L24" s="884">
        <v>2.5</v>
      </c>
      <c r="M24" s="884">
        <v>2.5</v>
      </c>
      <c r="N24" s="884">
        <v>2.5</v>
      </c>
    </row>
    <row r="25" spans="2:14" ht="13.15">
      <c r="B25" s="885" t="s">
        <v>288</v>
      </c>
      <c r="C25" s="886">
        <f t="shared" ref="C25:N25" si="16">+C23*C18</f>
        <v>889.08687963915975</v>
      </c>
      <c r="D25" s="886">
        <f t="shared" si="16"/>
        <v>1019.5853989599968</v>
      </c>
      <c r="E25" s="886">
        <f t="shared" si="16"/>
        <v>0</v>
      </c>
      <c r="F25" s="886">
        <f t="shared" si="16"/>
        <v>0</v>
      </c>
      <c r="G25" s="886">
        <f t="shared" si="16"/>
        <v>2379.1667109134341</v>
      </c>
      <c r="H25" s="886">
        <f t="shared" si="16"/>
        <v>2528.2296065555797</v>
      </c>
      <c r="I25" s="886">
        <f t="shared" si="16"/>
        <v>2868.2533426083833</v>
      </c>
      <c r="J25" s="886">
        <f t="shared" si="16"/>
        <v>3233.8126582614127</v>
      </c>
      <c r="K25" s="886">
        <f t="shared" si="16"/>
        <v>3521.0198113761244</v>
      </c>
      <c r="L25" s="886" t="e">
        <f t="shared" si="16"/>
        <v>#DIV/0!</v>
      </c>
      <c r="M25" s="886" t="e">
        <f t="shared" si="16"/>
        <v>#DIV/0!</v>
      </c>
      <c r="N25" s="886" t="e">
        <f t="shared" si="16"/>
        <v>#DIV/0!</v>
      </c>
    </row>
    <row r="26" spans="2:14" ht="13.15">
      <c r="B26" s="885" t="s">
        <v>289</v>
      </c>
      <c r="C26" s="886">
        <f>AVERAGE(C25,C27)</f>
        <v>1333.6303194587397</v>
      </c>
      <c r="D26" s="886">
        <f t="shared" ref="D26:N26" si="17">AVERAGE(D25,D27)</f>
        <v>1529.3780984399953</v>
      </c>
      <c r="E26" s="886">
        <f t="shared" si="17"/>
        <v>583.55509106552245</v>
      </c>
      <c r="F26" s="886">
        <f t="shared" si="17"/>
        <v>540.05317806715902</v>
      </c>
      <c r="G26" s="886">
        <f t="shared" si="17"/>
        <v>2676.5625497776136</v>
      </c>
      <c r="H26" s="886">
        <f t="shared" si="17"/>
        <v>2844.2583073750275</v>
      </c>
      <c r="I26" s="886">
        <f t="shared" si="17"/>
        <v>3226.7850104344311</v>
      </c>
      <c r="J26" s="886">
        <f t="shared" si="17"/>
        <v>3638.0392405440894</v>
      </c>
      <c r="K26" s="886">
        <f t="shared" si="17"/>
        <v>3961.14728779814</v>
      </c>
      <c r="L26" s="886" t="e">
        <f t="shared" si="17"/>
        <v>#DIV/0!</v>
      </c>
      <c r="M26" s="886" t="e">
        <f t="shared" si="17"/>
        <v>#DIV/0!</v>
      </c>
      <c r="N26" s="886" t="e">
        <f t="shared" si="17"/>
        <v>#DIV/0!</v>
      </c>
    </row>
    <row r="27" spans="2:14" ht="13.15">
      <c r="B27" s="885" t="s">
        <v>290</v>
      </c>
      <c r="C27" s="886">
        <f t="shared" ref="C27:N27" si="18">+C18*C24</f>
        <v>1778.1737592783195</v>
      </c>
      <c r="D27" s="886">
        <f t="shared" si="18"/>
        <v>2039.1707979199937</v>
      </c>
      <c r="E27" s="886">
        <f t="shared" si="18"/>
        <v>1167.1101821310449</v>
      </c>
      <c r="F27" s="886">
        <f t="shared" si="18"/>
        <v>1080.106356134318</v>
      </c>
      <c r="G27" s="886">
        <f t="shared" si="18"/>
        <v>2973.9583886417927</v>
      </c>
      <c r="H27" s="886">
        <f t="shared" si="18"/>
        <v>3160.2870081944748</v>
      </c>
      <c r="I27" s="886">
        <f t="shared" si="18"/>
        <v>3585.316678260479</v>
      </c>
      <c r="J27" s="886">
        <f t="shared" si="18"/>
        <v>4042.265822826766</v>
      </c>
      <c r="K27" s="886">
        <f t="shared" si="18"/>
        <v>4401.2747642201557</v>
      </c>
      <c r="L27" s="886" t="e">
        <f t="shared" si="18"/>
        <v>#DIV/0!</v>
      </c>
      <c r="M27" s="886" t="e">
        <f t="shared" si="18"/>
        <v>#DIV/0!</v>
      </c>
      <c r="N27" s="886" t="e">
        <f t="shared" si="18"/>
        <v>#DIV/0!</v>
      </c>
    </row>
    <row r="29" spans="2:14">
      <c r="B29" s="887" t="s">
        <v>291</v>
      </c>
      <c r="C29" s="888">
        <f>C7-C12</f>
        <v>135861143000</v>
      </c>
      <c r="D29" s="888">
        <f t="shared" ref="D29:N29" si="19">D7-D12</f>
        <v>173835593000</v>
      </c>
      <c r="E29" s="888">
        <f t="shared" si="19"/>
        <v>88675805000</v>
      </c>
      <c r="F29" s="888">
        <f t="shared" si="19"/>
        <v>333058090000</v>
      </c>
      <c r="G29" s="888">
        <f t="shared" si="19"/>
        <v>199622211000</v>
      </c>
      <c r="H29" s="888">
        <f t="shared" si="19"/>
        <v>124475553000</v>
      </c>
      <c r="I29" s="888">
        <f t="shared" si="19"/>
        <v>159818500000</v>
      </c>
      <c r="J29" s="888">
        <f t="shared" si="19"/>
        <v>231676144000</v>
      </c>
      <c r="K29" s="888">
        <f t="shared" si="19"/>
        <v>-4084517000</v>
      </c>
      <c r="L29" s="888">
        <f t="shared" si="19"/>
        <v>0</v>
      </c>
      <c r="M29" s="888">
        <f t="shared" si="19"/>
        <v>0</v>
      </c>
      <c r="N29" s="888">
        <f t="shared" si="19"/>
        <v>0</v>
      </c>
    </row>
    <row r="30" spans="2:14">
      <c r="B30" s="889" t="s">
        <v>149</v>
      </c>
      <c r="C30" s="890">
        <f t="shared" ref="C30:N30" si="20">C7/C12</f>
        <v>2.4028638295855091</v>
      </c>
      <c r="D30" s="890">
        <f t="shared" si="20"/>
        <v>1.913328295924777</v>
      </c>
      <c r="E30" s="890">
        <f t="shared" si="20"/>
        <v>1.2760368702096598</v>
      </c>
      <c r="F30" s="890">
        <f>F7/F12</f>
        <v>4.5483944445840709</v>
      </c>
      <c r="G30" s="890">
        <f t="shared" si="20"/>
        <v>2.1806702223085375</v>
      </c>
      <c r="H30" s="891">
        <f t="shared" si="20"/>
        <v>1.6494868085627941</v>
      </c>
      <c r="I30" s="891">
        <f t="shared" si="20"/>
        <v>1.6125522861421324</v>
      </c>
      <c r="J30" s="891">
        <f t="shared" si="20"/>
        <v>1.7817389569765227</v>
      </c>
      <c r="K30" s="891">
        <f t="shared" si="20"/>
        <v>0.98531370827685749</v>
      </c>
      <c r="L30" s="891" t="e">
        <f t="shared" si="20"/>
        <v>#DIV/0!</v>
      </c>
      <c r="M30" s="891" t="e">
        <f t="shared" si="20"/>
        <v>#DIV/0!</v>
      </c>
      <c r="N30" s="891" t="e">
        <f t="shared" si="20"/>
        <v>#DIV/0!</v>
      </c>
    </row>
    <row r="31" spans="2:14">
      <c r="B31" s="889" t="s">
        <v>292</v>
      </c>
      <c r="C31" s="890">
        <f t="shared" ref="C31:N31" si="21">+(C7-C9)/C12</f>
        <v>2.4028638295855091</v>
      </c>
      <c r="D31" s="890">
        <f t="shared" si="21"/>
        <v>1.913328295924777</v>
      </c>
      <c r="E31" s="890">
        <f t="shared" si="21"/>
        <v>1.2760368702096598</v>
      </c>
      <c r="F31" s="890">
        <f t="shared" si="21"/>
        <v>4.5483944445840709</v>
      </c>
      <c r="G31" s="890">
        <f t="shared" si="21"/>
        <v>2.1806702223085375</v>
      </c>
      <c r="H31" s="890">
        <f t="shared" si="21"/>
        <v>1.6494868085627941</v>
      </c>
      <c r="I31" s="890">
        <f t="shared" si="21"/>
        <v>1.6125522861421324</v>
      </c>
      <c r="J31" s="890">
        <f t="shared" si="21"/>
        <v>1.7817389569765227</v>
      </c>
      <c r="K31" s="890">
        <f t="shared" si="21"/>
        <v>0.98531370827685749</v>
      </c>
      <c r="L31" s="890" t="e">
        <f t="shared" si="21"/>
        <v>#DIV/0!</v>
      </c>
      <c r="M31" s="890" t="e">
        <f t="shared" si="21"/>
        <v>#DIV/0!</v>
      </c>
      <c r="N31" s="890" t="e">
        <f t="shared" si="21"/>
        <v>#DIV/0!</v>
      </c>
    </row>
    <row r="32" spans="2:14">
      <c r="B32" s="892" t="s">
        <v>153</v>
      </c>
      <c r="C32" s="893">
        <f t="shared" ref="C32:N32" si="22">C14/C11</f>
        <v>0.54792739136335478</v>
      </c>
      <c r="D32" s="893">
        <f t="shared" si="22"/>
        <v>0.5466852875036462</v>
      </c>
      <c r="E32" s="893">
        <f t="shared" si="22"/>
        <v>0.56475516816875104</v>
      </c>
      <c r="F32" s="893">
        <f t="shared" si="22"/>
        <v>0.59532709598024491</v>
      </c>
      <c r="G32" s="893">
        <f t="shared" si="22"/>
        <v>0.53519071591278333</v>
      </c>
      <c r="H32" s="893">
        <f t="shared" si="22"/>
        <v>0.53847247127998754</v>
      </c>
      <c r="I32" s="893">
        <f t="shared" si="22"/>
        <v>0.53173300490737596</v>
      </c>
      <c r="J32" s="893">
        <f t="shared" si="22"/>
        <v>0.54508164890005839</v>
      </c>
      <c r="K32" s="893">
        <f t="shared" si="22"/>
        <v>0.54327148730138319</v>
      </c>
      <c r="L32" s="893" t="e">
        <f t="shared" si="22"/>
        <v>#DIV/0!</v>
      </c>
      <c r="M32" s="893" t="e">
        <f t="shared" si="22"/>
        <v>#DIV/0!</v>
      </c>
      <c r="N32" s="893" t="e">
        <f t="shared" si="22"/>
        <v>#DIV/0!</v>
      </c>
    </row>
    <row r="35" spans="2:14">
      <c r="B35" s="894" t="s">
        <v>293</v>
      </c>
      <c r="C35" s="895">
        <f>+C122</f>
        <v>182215067000</v>
      </c>
      <c r="D35" s="895">
        <f t="shared" ref="D35:N35" si="23">+D122</f>
        <v>189618287000</v>
      </c>
      <c r="E35" s="895">
        <f t="shared" si="23"/>
        <v>205612761000</v>
      </c>
      <c r="F35" s="895">
        <f t="shared" si="23"/>
        <v>125851928000</v>
      </c>
      <c r="G35" s="895">
        <f t="shared" si="23"/>
        <v>169589243000</v>
      </c>
      <c r="H35" s="895">
        <f t="shared" si="23"/>
        <v>243119543000</v>
      </c>
      <c r="I35" s="895">
        <f t="shared" si="23"/>
        <v>264312607000</v>
      </c>
      <c r="J35" s="895">
        <f t="shared" si="23"/>
        <v>316775711000</v>
      </c>
      <c r="K35" s="895">
        <f t="shared" si="23"/>
        <v>383792582000</v>
      </c>
      <c r="L35" s="895">
        <f t="shared" si="23"/>
        <v>0</v>
      </c>
      <c r="M35" s="895">
        <f t="shared" si="23"/>
        <v>0</v>
      </c>
      <c r="N35" s="895">
        <f t="shared" si="23"/>
        <v>0</v>
      </c>
    </row>
    <row r="36" spans="2:14" ht="13.15">
      <c r="B36" s="896" t="s">
        <v>156</v>
      </c>
      <c r="C36" s="897">
        <f>+C130</f>
        <v>122762095000</v>
      </c>
      <c r="D36" s="897">
        <f t="shared" ref="D36:I36" si="24">+D130</f>
        <v>156997818000</v>
      </c>
      <c r="E36" s="897">
        <f t="shared" si="24"/>
        <v>183941039000</v>
      </c>
      <c r="F36" s="897">
        <f t="shared" si="24"/>
        <v>74802326000</v>
      </c>
      <c r="G36" s="897">
        <f t="shared" si="24"/>
        <v>149138358000</v>
      </c>
      <c r="H36" s="897">
        <f t="shared" si="24"/>
        <v>271632108000</v>
      </c>
      <c r="I36" s="897">
        <f t="shared" si="24"/>
        <v>228661956000</v>
      </c>
      <c r="J36" s="897">
        <f>+J130</f>
        <v>271106287000</v>
      </c>
      <c r="K36" s="897">
        <f t="shared" ref="K36:N36" si="25">+K130</f>
        <v>328348131000</v>
      </c>
      <c r="L36" s="897">
        <f t="shared" si="25"/>
        <v>0</v>
      </c>
      <c r="M36" s="897">
        <f t="shared" si="25"/>
        <v>0</v>
      </c>
      <c r="N36" s="897">
        <f t="shared" si="25"/>
        <v>0</v>
      </c>
    </row>
    <row r="37" spans="2:14">
      <c r="B37" s="894" t="s">
        <v>381</v>
      </c>
      <c r="C37" s="898">
        <f>C36/C35</f>
        <v>0.6737208784167118</v>
      </c>
      <c r="D37" s="898">
        <f t="shared" ref="D37:N37" si="26">D36/D35</f>
        <v>0.82796770545659448</v>
      </c>
      <c r="E37" s="898">
        <f t="shared" si="26"/>
        <v>0.89459933374465994</v>
      </c>
      <c r="F37" s="898">
        <f t="shared" si="26"/>
        <v>0.5943677398410615</v>
      </c>
      <c r="G37" s="898">
        <f t="shared" si="26"/>
        <v>0.879409303100669</v>
      </c>
      <c r="H37" s="898">
        <f t="shared" si="26"/>
        <v>1.1172779639520793</v>
      </c>
      <c r="I37" s="898">
        <f t="shared" si="26"/>
        <v>0.86511936980743409</v>
      </c>
      <c r="J37" s="898">
        <f t="shared" si="26"/>
        <v>0.85583041118957504</v>
      </c>
      <c r="K37" s="898">
        <f t="shared" si="26"/>
        <v>0.85553537613710318</v>
      </c>
      <c r="L37" s="898" t="e">
        <f t="shared" si="26"/>
        <v>#DIV/0!</v>
      </c>
      <c r="M37" s="898" t="e">
        <f t="shared" si="26"/>
        <v>#DIV/0!</v>
      </c>
      <c r="N37" s="898" t="e">
        <f t="shared" si="26"/>
        <v>#DIV/0!</v>
      </c>
    </row>
    <row r="38" spans="2:14" ht="13.15">
      <c r="B38" s="899" t="s">
        <v>295</v>
      </c>
      <c r="C38" s="900">
        <f>+C138</f>
        <v>99467569000</v>
      </c>
      <c r="D38" s="900">
        <f t="shared" ref="D38:N38" si="27">+D138</f>
        <v>123389413000</v>
      </c>
      <c r="E38" s="900">
        <f t="shared" si="27"/>
        <v>104642619000</v>
      </c>
      <c r="F38" s="900">
        <f t="shared" si="27"/>
        <v>4248683000</v>
      </c>
      <c r="G38" s="900">
        <f t="shared" si="27"/>
        <v>47944764000</v>
      </c>
      <c r="H38" s="900">
        <f t="shared" si="27"/>
        <v>137551973000</v>
      </c>
      <c r="I38" s="900">
        <f t="shared" si="27"/>
        <v>129114886000</v>
      </c>
      <c r="J38" s="900">
        <f t="shared" si="27"/>
        <v>149541579000</v>
      </c>
      <c r="K38" s="900">
        <f t="shared" si="27"/>
        <v>213796304000</v>
      </c>
      <c r="L38" s="900">
        <f t="shared" si="27"/>
        <v>0</v>
      </c>
      <c r="M38" s="900">
        <f t="shared" si="27"/>
        <v>0</v>
      </c>
      <c r="N38" s="900">
        <f t="shared" si="27"/>
        <v>0</v>
      </c>
    </row>
    <row r="39" spans="2:14">
      <c r="B39" s="889" t="s">
        <v>296</v>
      </c>
      <c r="C39" s="901">
        <f>C38/C35</f>
        <v>0.54588004514467514</v>
      </c>
      <c r="D39" s="901">
        <f t="shared" ref="D39:N39" si="28">D38/D35</f>
        <v>0.65072528052107126</v>
      </c>
      <c r="E39" s="901">
        <f t="shared" si="28"/>
        <v>0.50893056681438176</v>
      </c>
      <c r="F39" s="901">
        <f>F38/F35</f>
        <v>3.3759379514630879E-2</v>
      </c>
      <c r="G39" s="901">
        <f t="shared" si="28"/>
        <v>0.28271111511477176</v>
      </c>
      <c r="H39" s="901">
        <f t="shared" si="28"/>
        <v>0.56577916897449909</v>
      </c>
      <c r="I39" s="901">
        <f t="shared" si="28"/>
        <v>0.48849310468191176</v>
      </c>
      <c r="J39" s="901">
        <f t="shared" si="28"/>
        <v>0.47207400633061797</v>
      </c>
      <c r="K39" s="901">
        <f t="shared" si="28"/>
        <v>0.5570621060101677</v>
      </c>
      <c r="L39" s="901" t="e">
        <f t="shared" si="28"/>
        <v>#DIV/0!</v>
      </c>
      <c r="M39" s="901" t="e">
        <f t="shared" si="28"/>
        <v>#DIV/0!</v>
      </c>
      <c r="N39" s="901" t="e">
        <f t="shared" si="28"/>
        <v>#DIV/0!</v>
      </c>
    </row>
    <row r="40" spans="2:14">
      <c r="B40" s="902" t="s">
        <v>159</v>
      </c>
      <c r="C40" s="903">
        <f>+C141</f>
        <v>99.39</v>
      </c>
      <c r="D40" s="903">
        <f t="shared" ref="D40:N40" si="29">+D141</f>
        <v>130.97</v>
      </c>
      <c r="E40" s="903">
        <f t="shared" si="29"/>
        <v>103.29</v>
      </c>
      <c r="F40" s="903">
        <f t="shared" si="29"/>
        <v>2.04</v>
      </c>
      <c r="G40" s="903">
        <f t="shared" si="29"/>
        <v>25.88</v>
      </c>
      <c r="H40" s="903">
        <f t="shared" si="29"/>
        <v>111.55</v>
      </c>
      <c r="I40" s="903">
        <f t="shared" si="29"/>
        <v>124.04</v>
      </c>
      <c r="J40" s="903">
        <f t="shared" si="29"/>
        <v>133.12</v>
      </c>
      <c r="K40" s="903">
        <f t="shared" si="29"/>
        <v>165.58</v>
      </c>
      <c r="L40" s="903">
        <f t="shared" si="29"/>
        <v>0</v>
      </c>
      <c r="M40" s="903">
        <f t="shared" si="29"/>
        <v>0</v>
      </c>
      <c r="N40" s="903">
        <f t="shared" si="29"/>
        <v>0</v>
      </c>
    </row>
    <row r="41" spans="2:14" ht="13.15">
      <c r="B41" s="904" t="s">
        <v>160</v>
      </c>
      <c r="C41" s="905">
        <f t="shared" ref="C41:N41" si="30">C38/C15</f>
        <v>0.12461876806519855</v>
      </c>
      <c r="D41" s="905">
        <f t="shared" si="30"/>
        <v>0.13414425054642787</v>
      </c>
      <c r="E41" s="905">
        <f t="shared" si="30"/>
        <v>9.8993062360658968E-2</v>
      </c>
      <c r="F41" s="905">
        <f t="shared" si="30"/>
        <v>4.3430599466896787E-3</v>
      </c>
      <c r="G41" s="905">
        <f t="shared" si="30"/>
        <v>4.4499417183312746E-2</v>
      </c>
      <c r="H41" s="905">
        <f t="shared" si="30"/>
        <v>0.1201401925713019</v>
      </c>
      <c r="I41" s="905">
        <f t="shared" si="30"/>
        <v>9.9402388524753638E-2</v>
      </c>
      <c r="J41" s="905">
        <f t="shared" si="30"/>
        <v>0.10211395980315013</v>
      </c>
      <c r="K41" s="905">
        <f t="shared" si="30"/>
        <v>0.13408177073118216</v>
      </c>
      <c r="L41" s="905" t="e">
        <f t="shared" si="30"/>
        <v>#DIV/0!</v>
      </c>
      <c r="M41" s="905" t="e">
        <f t="shared" si="30"/>
        <v>#DIV/0!</v>
      </c>
      <c r="N41" s="905" t="e">
        <f t="shared" si="30"/>
        <v>#DIV/0!</v>
      </c>
    </row>
    <row r="42" spans="2:14" ht="13.15">
      <c r="B42" s="904" t="s">
        <v>382</v>
      </c>
      <c r="C42" s="905">
        <f>AVERAGE(I41:K41)</f>
        <v>0.11186603968636198</v>
      </c>
      <c r="D42" s="905"/>
      <c r="E42" s="905"/>
      <c r="F42" s="905"/>
      <c r="G42" s="905"/>
      <c r="H42" s="905"/>
      <c r="I42" s="905"/>
      <c r="J42" s="906"/>
      <c r="K42" s="905"/>
      <c r="L42" s="905"/>
      <c r="M42" s="905"/>
      <c r="N42" s="905"/>
    </row>
    <row r="43" spans="2:14" ht="13.15">
      <c r="B43" s="904" t="s">
        <v>298</v>
      </c>
      <c r="C43" s="907">
        <f>+C153</f>
        <v>81353999000</v>
      </c>
      <c r="D43" s="907">
        <f t="shared" ref="D43:N43" si="31">+D153</f>
        <v>102213047000</v>
      </c>
      <c r="E43" s="907">
        <f t="shared" si="31"/>
        <v>109604698000</v>
      </c>
      <c r="F43" s="907">
        <f t="shared" si="31"/>
        <v>19672356000</v>
      </c>
      <c r="G43" s="907">
        <f t="shared" si="31"/>
        <v>71607277000</v>
      </c>
      <c r="H43" s="907">
        <f t="shared" si="31"/>
        <v>125276042000</v>
      </c>
      <c r="I43" s="907">
        <f t="shared" si="31"/>
        <v>133056460000</v>
      </c>
      <c r="J43" s="907">
        <f t="shared" si="31"/>
        <v>144056015000</v>
      </c>
      <c r="K43" s="907">
        <f t="shared" si="31"/>
        <v>209451708000</v>
      </c>
      <c r="L43" s="907">
        <f t="shared" si="31"/>
        <v>0</v>
      </c>
      <c r="M43" s="907">
        <f t="shared" si="31"/>
        <v>0</v>
      </c>
      <c r="N43" s="907">
        <f t="shared" si="31"/>
        <v>0</v>
      </c>
    </row>
    <row r="44" spans="2:14">
      <c r="B44" s="908" t="s">
        <v>111</v>
      </c>
      <c r="C44" s="908">
        <f>SUM(C46:C49)</f>
        <v>32</v>
      </c>
      <c r="D44" s="908">
        <f t="shared" ref="D44:F44" si="32">SUM(D46:D49)</f>
        <v>35</v>
      </c>
      <c r="E44" s="908">
        <f t="shared" si="32"/>
        <v>17.63</v>
      </c>
      <c r="F44" s="908">
        <f t="shared" si="32"/>
        <v>39</v>
      </c>
      <c r="G44" s="908">
        <f>SUM(G46:G49)</f>
        <v>0</v>
      </c>
      <c r="H44" s="908">
        <f>SUM(H46:H49)</f>
        <v>20</v>
      </c>
      <c r="I44" s="908">
        <f t="shared" ref="I44:N44" si="33">SUM(I46:I49)</f>
        <v>35</v>
      </c>
      <c r="J44" s="908">
        <f t="shared" si="33"/>
        <v>30</v>
      </c>
      <c r="K44" s="908">
        <f t="shared" si="33"/>
        <v>50</v>
      </c>
      <c r="L44" s="908">
        <f t="shared" si="33"/>
        <v>0</v>
      </c>
      <c r="M44" s="908">
        <f t="shared" si="33"/>
        <v>0</v>
      </c>
      <c r="N44" s="908">
        <f t="shared" si="33"/>
        <v>0</v>
      </c>
    </row>
    <row r="45" spans="2:14">
      <c r="B45" s="908" t="s">
        <v>112</v>
      </c>
      <c r="C45" s="908">
        <f>+C46+C47+C48</f>
        <v>32</v>
      </c>
      <c r="D45" s="908">
        <f t="shared" ref="D45:N45" si="34">+D46+D47+D48</f>
        <v>35</v>
      </c>
      <c r="E45" s="908">
        <f t="shared" si="34"/>
        <v>17.63</v>
      </c>
      <c r="F45" s="908">
        <f t="shared" si="34"/>
        <v>39</v>
      </c>
      <c r="G45" s="908">
        <f t="shared" si="34"/>
        <v>0</v>
      </c>
      <c r="H45" s="908">
        <f t="shared" si="34"/>
        <v>20</v>
      </c>
      <c r="I45" s="908">
        <f t="shared" si="34"/>
        <v>35</v>
      </c>
      <c r="J45" s="908">
        <f t="shared" si="34"/>
        <v>30</v>
      </c>
      <c r="K45" s="908">
        <f t="shared" si="34"/>
        <v>50</v>
      </c>
      <c r="L45" s="908">
        <f t="shared" si="34"/>
        <v>0</v>
      </c>
      <c r="M45" s="908">
        <f t="shared" si="34"/>
        <v>0</v>
      </c>
      <c r="N45" s="908">
        <f t="shared" si="34"/>
        <v>0</v>
      </c>
    </row>
    <row r="46" spans="2:14">
      <c r="B46" s="909" t="s">
        <v>114</v>
      </c>
      <c r="C46" s="875">
        <v>13.27</v>
      </c>
      <c r="D46" s="875">
        <v>17.63</v>
      </c>
      <c r="E46" s="875">
        <v>17.63</v>
      </c>
      <c r="F46" s="875">
        <v>25.61</v>
      </c>
      <c r="G46" s="875"/>
      <c r="H46" s="875">
        <v>3.0350000000000001</v>
      </c>
      <c r="I46" s="875">
        <v>6.3719999999999999</v>
      </c>
      <c r="J46" s="875">
        <v>14.04</v>
      </c>
      <c r="K46" s="875">
        <v>26.1692</v>
      </c>
      <c r="L46" s="875"/>
      <c r="M46" s="875"/>
      <c r="N46" s="875"/>
    </row>
    <row r="47" spans="2:14">
      <c r="B47" s="909" t="s">
        <v>115</v>
      </c>
      <c r="C47" s="875"/>
      <c r="D47" s="875"/>
      <c r="E47" s="875"/>
      <c r="F47" s="875"/>
      <c r="G47" s="875"/>
      <c r="H47" s="875"/>
      <c r="I47" s="875">
        <v>10</v>
      </c>
      <c r="J47" s="875"/>
      <c r="K47" s="875">
        <v>10</v>
      </c>
      <c r="L47" s="875"/>
      <c r="M47" s="875"/>
      <c r="N47" s="875"/>
    </row>
    <row r="48" spans="2:14">
      <c r="B48" s="909" t="s">
        <v>116</v>
      </c>
      <c r="C48" s="875">
        <v>18.73</v>
      </c>
      <c r="D48" s="875">
        <v>17.37</v>
      </c>
      <c r="E48" s="875"/>
      <c r="F48" s="875">
        <v>13.39</v>
      </c>
      <c r="G48" s="875"/>
      <c r="H48" s="875">
        <v>16.965</v>
      </c>
      <c r="I48" s="875">
        <v>18.628</v>
      </c>
      <c r="J48" s="875">
        <v>15.96</v>
      </c>
      <c r="K48" s="1355">
        <v>13.8308</v>
      </c>
      <c r="L48" s="875"/>
      <c r="M48" s="875"/>
      <c r="N48" s="875"/>
    </row>
    <row r="49" spans="2:16">
      <c r="B49" s="909" t="s">
        <v>117</v>
      </c>
      <c r="C49" s="875"/>
      <c r="D49" s="875"/>
      <c r="E49" s="875"/>
      <c r="F49" s="875"/>
      <c r="G49" s="875"/>
      <c r="H49" s="875"/>
      <c r="I49" s="875"/>
      <c r="J49" s="875"/>
      <c r="K49" s="875"/>
      <c r="L49" s="875"/>
      <c r="M49" s="875"/>
      <c r="N49" s="875"/>
    </row>
    <row r="50" spans="2:16" s="910" customFormat="1">
      <c r="B50" s="908" t="s">
        <v>119</v>
      </c>
      <c r="C50" s="908">
        <f>SUM(C52:C55)</f>
        <v>35</v>
      </c>
      <c r="D50" s="908">
        <f t="shared" ref="D50:N50" si="35">SUM(D52:D55)</f>
        <v>39</v>
      </c>
      <c r="E50" s="908">
        <f t="shared" si="35"/>
        <v>25</v>
      </c>
      <c r="F50" s="908">
        <f t="shared" si="35"/>
        <v>0</v>
      </c>
      <c r="G50" s="908">
        <f t="shared" si="35"/>
        <v>20</v>
      </c>
      <c r="H50" s="908">
        <f t="shared" si="35"/>
        <v>25</v>
      </c>
      <c r="I50" s="908">
        <f t="shared" si="35"/>
        <v>40.000100000000003</v>
      </c>
      <c r="J50" s="908">
        <f t="shared" si="35"/>
        <v>40.169200000000004</v>
      </c>
      <c r="K50" s="908">
        <f t="shared" si="35"/>
        <v>0</v>
      </c>
      <c r="L50" s="908">
        <f t="shared" si="35"/>
        <v>0</v>
      </c>
      <c r="M50" s="908">
        <f t="shared" si="35"/>
        <v>0</v>
      </c>
      <c r="N50" s="908">
        <f t="shared" si="35"/>
        <v>0</v>
      </c>
    </row>
    <row r="51" spans="2:16" s="910" customFormat="1">
      <c r="B51" s="908" t="s">
        <v>120</v>
      </c>
      <c r="C51" s="908">
        <f>+C52+C53+C54</f>
        <v>35</v>
      </c>
      <c r="D51" s="908">
        <f t="shared" ref="D51:N51" si="36">+D52+D53+D54</f>
        <v>39</v>
      </c>
      <c r="E51" s="908">
        <f t="shared" si="36"/>
        <v>25</v>
      </c>
      <c r="F51" s="908">
        <f t="shared" si="36"/>
        <v>0</v>
      </c>
      <c r="G51" s="908">
        <f t="shared" si="36"/>
        <v>20</v>
      </c>
      <c r="H51" s="908">
        <f t="shared" si="36"/>
        <v>25</v>
      </c>
      <c r="I51" s="908">
        <f t="shared" si="36"/>
        <v>40.000100000000003</v>
      </c>
      <c r="J51" s="908">
        <f>+J52+J53+J54</f>
        <v>40.169200000000004</v>
      </c>
      <c r="K51" s="908">
        <f t="shared" si="36"/>
        <v>0</v>
      </c>
      <c r="L51" s="908">
        <f t="shared" si="36"/>
        <v>0</v>
      </c>
      <c r="M51" s="908">
        <f t="shared" si="36"/>
        <v>0</v>
      </c>
      <c r="N51" s="908">
        <f t="shared" si="36"/>
        <v>0</v>
      </c>
    </row>
    <row r="52" spans="2:16">
      <c r="B52" s="909" t="s">
        <v>121</v>
      </c>
      <c r="C52" s="875">
        <v>17.63</v>
      </c>
      <c r="D52" s="875">
        <v>25.61</v>
      </c>
      <c r="E52" s="875">
        <v>14.7</v>
      </c>
      <c r="F52" s="875"/>
      <c r="G52" s="875">
        <v>3.0350000000000001</v>
      </c>
      <c r="H52" s="875">
        <v>6.3719999999999999</v>
      </c>
      <c r="I52" s="875">
        <v>14.040100000000001</v>
      </c>
      <c r="J52" s="875">
        <v>26.1692</v>
      </c>
      <c r="K52" s="875"/>
      <c r="L52" s="875"/>
      <c r="M52" s="875"/>
      <c r="N52" s="875"/>
    </row>
    <row r="53" spans="2:16">
      <c r="B53" s="909" t="s">
        <v>122</v>
      </c>
      <c r="C53" s="875"/>
      <c r="D53" s="875"/>
      <c r="E53" s="875"/>
      <c r="F53" s="875"/>
      <c r="G53" s="875"/>
      <c r="H53" s="875"/>
      <c r="I53" s="875">
        <v>10</v>
      </c>
      <c r="J53" s="875"/>
      <c r="K53" s="875"/>
      <c r="L53" s="875"/>
      <c r="M53" s="875"/>
      <c r="N53" s="875"/>
    </row>
    <row r="54" spans="2:16">
      <c r="B54" s="909" t="s">
        <v>123</v>
      </c>
      <c r="C54" s="875">
        <v>17.37</v>
      </c>
      <c r="D54" s="875">
        <v>13.39</v>
      </c>
      <c r="E54" s="875">
        <v>10.3</v>
      </c>
      <c r="F54" s="875"/>
      <c r="G54" s="875">
        <v>16.965</v>
      </c>
      <c r="H54" s="875">
        <v>18.628</v>
      </c>
      <c r="I54" s="875">
        <v>15.96</v>
      </c>
      <c r="J54" s="875">
        <v>14</v>
      </c>
      <c r="K54" s="875"/>
      <c r="L54" s="875"/>
      <c r="M54" s="875"/>
      <c r="N54" s="875"/>
    </row>
    <row r="55" spans="2:16">
      <c r="B55" s="909" t="s">
        <v>124</v>
      </c>
      <c r="C55" s="875"/>
      <c r="D55" s="875"/>
      <c r="E55" s="875"/>
      <c r="F55" s="875"/>
      <c r="G55" s="875"/>
      <c r="H55" s="875"/>
      <c r="I55" s="875"/>
      <c r="J55" s="875"/>
      <c r="K55" s="875"/>
      <c r="L55" s="875"/>
      <c r="M55" s="875"/>
      <c r="N55" s="875"/>
    </row>
    <row r="56" spans="2:16">
      <c r="B56" s="911" t="s">
        <v>167</v>
      </c>
      <c r="C56" s="912">
        <f>(C52+C53+C54)/C40</f>
        <v>0.35214810343092867</v>
      </c>
      <c r="D56" s="912">
        <f t="shared" ref="D56:N56" si="37">(D52+D53+D54)/D40</f>
        <v>0.29777811712605939</v>
      </c>
      <c r="E56" s="912">
        <f t="shared" si="37"/>
        <v>0.24203698325104075</v>
      </c>
      <c r="F56" s="912">
        <f t="shared" si="37"/>
        <v>0</v>
      </c>
      <c r="G56" s="912">
        <f t="shared" si="37"/>
        <v>0.77279752704791349</v>
      </c>
      <c r="H56" s="912">
        <f t="shared" si="37"/>
        <v>0.22411474675033619</v>
      </c>
      <c r="I56" s="912">
        <f t="shared" si="37"/>
        <v>0.32247742663656886</v>
      </c>
      <c r="J56" s="912">
        <f t="shared" si="37"/>
        <v>0.30175180288461539</v>
      </c>
      <c r="K56" s="912">
        <f t="shared" si="37"/>
        <v>0</v>
      </c>
      <c r="L56" s="912" t="e">
        <f t="shared" si="37"/>
        <v>#DIV/0!</v>
      </c>
      <c r="M56" s="912" t="e">
        <f t="shared" si="37"/>
        <v>#DIV/0!</v>
      </c>
      <c r="N56" s="912" t="e">
        <f t="shared" si="37"/>
        <v>#DIV/0!</v>
      </c>
    </row>
    <row r="57" spans="2:16">
      <c r="B57" s="913" t="s">
        <v>303</v>
      </c>
      <c r="C57" s="914">
        <f>AVERAGE(G56:I56)</f>
        <v>0.43979656681160617</v>
      </c>
      <c r="D57" s="914"/>
      <c r="E57" s="914"/>
      <c r="F57" s="914"/>
      <c r="G57" s="914"/>
      <c r="H57" s="914"/>
      <c r="I57" s="914"/>
      <c r="J57" s="914"/>
      <c r="K57" s="914"/>
      <c r="L57" s="914"/>
      <c r="M57" s="914"/>
      <c r="N57" s="914"/>
    </row>
    <row r="58" spans="2:16">
      <c r="B58" s="911" t="s">
        <v>299</v>
      </c>
      <c r="C58" s="912">
        <f>+D45/C19</f>
        <v>1.8355359765051395E-2</v>
      </c>
      <c r="D58" s="912">
        <f t="shared" ref="D58:N58" si="38">+E45/D19</f>
        <v>1.1411741860314583E-2</v>
      </c>
      <c r="E58" s="912">
        <f t="shared" si="38"/>
        <v>2.1082220660576245E-2</v>
      </c>
      <c r="F58" s="912">
        <f>+G45/F19</f>
        <v>0</v>
      </c>
      <c r="G58" s="912">
        <f t="shared" si="38"/>
        <v>2.1278859453133313E-2</v>
      </c>
      <c r="H58" s="912">
        <f>+I45/H19</f>
        <v>3.2347504621072089E-2</v>
      </c>
      <c r="I58" s="912">
        <f>+J45/I19</f>
        <v>2.1126760563380281E-2</v>
      </c>
      <c r="J58" s="912">
        <f t="shared" si="38"/>
        <v>3.1466331025802388E-2</v>
      </c>
      <c r="K58" s="912">
        <f t="shared" si="38"/>
        <v>0</v>
      </c>
      <c r="L58" s="912" t="e">
        <f t="shared" si="38"/>
        <v>#DIV/0!</v>
      </c>
      <c r="M58" s="912" t="e">
        <f t="shared" si="38"/>
        <v>#DIV/0!</v>
      </c>
      <c r="N58" s="912" t="e">
        <f t="shared" si="38"/>
        <v>#DIV/0!</v>
      </c>
    </row>
    <row r="59" spans="2:16">
      <c r="B59" s="915" t="s">
        <v>384</v>
      </c>
      <c r="C59" s="916">
        <f>AVERAGE(G58:I58)</f>
        <v>2.4917708212528561E-2</v>
      </c>
      <c r="D59" s="916"/>
      <c r="E59" s="916"/>
      <c r="F59" s="916"/>
      <c r="G59" s="916"/>
      <c r="H59" s="916"/>
      <c r="I59" s="916"/>
      <c r="J59" s="916"/>
      <c r="K59" s="916"/>
      <c r="L59" s="916"/>
      <c r="M59" s="916"/>
      <c r="N59" s="916"/>
      <c r="O59" s="916"/>
      <c r="P59" s="916"/>
    </row>
    <row r="60" spans="2:16">
      <c r="B60" s="917" t="s">
        <v>176</v>
      </c>
      <c r="C60" s="918">
        <f>+C41*(100%-C56)</f>
        <v>8.0734505239140109E-2</v>
      </c>
      <c r="D60" s="918">
        <f t="shared" ref="D60:N60" si="39">+D41*(100%-D56)</f>
        <v>9.4199028195426207E-2</v>
      </c>
      <c r="E60" s="918">
        <f t="shared" si="39"/>
        <v>7.5033080184102929E-2</v>
      </c>
      <c r="F60" s="919">
        <f>+F41*(100%-F56)</f>
        <v>4.3430599466896787E-3</v>
      </c>
      <c r="G60" s="918">
        <f t="shared" si="39"/>
        <v>1.0110377628975228E-2</v>
      </c>
      <c r="H60" s="918">
        <f>+H41*(100%-H56)</f>
        <v>9.3215003738647953E-2</v>
      </c>
      <c r="I60" s="918">
        <f t="shared" si="39"/>
        <v>6.7347362071762687E-2</v>
      </c>
      <c r="J60" s="918">
        <f t="shared" si="39"/>
        <v>7.1300888332862439E-2</v>
      </c>
      <c r="K60" s="918">
        <f t="shared" si="39"/>
        <v>0.13408177073118216</v>
      </c>
      <c r="L60" s="918" t="e">
        <f t="shared" si="39"/>
        <v>#DIV/0!</v>
      </c>
      <c r="M60" s="918" t="e">
        <f t="shared" si="39"/>
        <v>#DIV/0!</v>
      </c>
      <c r="N60" s="918" t="e">
        <f t="shared" si="39"/>
        <v>#DIV/0!</v>
      </c>
    </row>
    <row r="61" spans="2:16">
      <c r="B61" s="915" t="s">
        <v>306</v>
      </c>
      <c r="C61" s="916">
        <f>AVERAGE(H60:J60)</f>
        <v>7.7287751381091022E-2</v>
      </c>
      <c r="D61" s="916"/>
      <c r="E61" s="916"/>
      <c r="F61" s="916"/>
      <c r="G61" s="916"/>
      <c r="H61" s="916"/>
      <c r="I61" s="916"/>
      <c r="J61" s="916"/>
      <c r="K61" s="916"/>
      <c r="L61" s="916"/>
      <c r="M61" s="916"/>
      <c r="N61" s="916"/>
      <c r="O61" s="916"/>
    </row>
    <row r="62" spans="2:16">
      <c r="B62" s="917" t="s">
        <v>300</v>
      </c>
      <c r="C62" s="920">
        <f ca="1">B3</f>
        <v>3699</v>
      </c>
      <c r="D62" s="916"/>
      <c r="E62" s="916"/>
      <c r="F62" s="916"/>
      <c r="G62" s="916"/>
      <c r="H62" s="916"/>
      <c r="I62" s="916"/>
      <c r="J62" s="916"/>
      <c r="K62" s="916"/>
      <c r="L62" s="916"/>
      <c r="M62" s="916"/>
      <c r="N62" s="916"/>
      <c r="O62" s="916"/>
    </row>
    <row r="64" spans="2:16" ht="13.15">
      <c r="B64" s="921" t="s">
        <v>307</v>
      </c>
    </row>
    <row r="66" spans="2:14" ht="13.15">
      <c r="B66" s="922" t="s">
        <v>385</v>
      </c>
      <c r="C66" s="923">
        <v>2017</v>
      </c>
      <c r="D66" s="923">
        <v>2018</v>
      </c>
      <c r="E66" s="923">
        <v>2019</v>
      </c>
      <c r="F66" s="923">
        <v>2020</v>
      </c>
      <c r="G66" s="923">
        <v>2021</v>
      </c>
      <c r="H66" s="923">
        <v>2022</v>
      </c>
      <c r="I66" s="923">
        <v>2023</v>
      </c>
      <c r="J66" s="923">
        <v>2024</v>
      </c>
      <c r="K66" s="923">
        <v>2025</v>
      </c>
      <c r="L66" s="923">
        <v>2026</v>
      </c>
      <c r="M66" s="923">
        <v>2027</v>
      </c>
      <c r="N66" s="923">
        <v>2028</v>
      </c>
    </row>
    <row r="67" spans="2:14" ht="13.15">
      <c r="B67" s="924" t="s">
        <v>309</v>
      </c>
      <c r="C67" s="925"/>
      <c r="D67" s="925"/>
      <c r="E67" s="925"/>
      <c r="F67" s="925"/>
      <c r="G67" s="925"/>
      <c r="H67" s="925"/>
      <c r="I67" s="925"/>
      <c r="J67" s="925"/>
      <c r="K67" s="925"/>
      <c r="L67" s="925"/>
      <c r="M67" s="925"/>
      <c r="N67" s="925"/>
    </row>
    <row r="68" spans="2:14" ht="13.15">
      <c r="B68" s="926" t="s">
        <v>310</v>
      </c>
      <c r="C68" s="927">
        <v>232706710000</v>
      </c>
      <c r="D68" s="927">
        <v>364167584000</v>
      </c>
      <c r="E68" s="927">
        <v>409922039000</v>
      </c>
      <c r="F68" s="928">
        <v>426919721000</v>
      </c>
      <c r="G68" s="927">
        <v>368697544000</v>
      </c>
      <c r="H68" s="929">
        <v>316127718000</v>
      </c>
      <c r="I68" s="927">
        <v>420724391000</v>
      </c>
      <c r="J68" s="927">
        <v>528036127000</v>
      </c>
      <c r="K68" s="927">
        <v>274033137000</v>
      </c>
      <c r="L68" s="927"/>
      <c r="M68" s="927"/>
      <c r="N68" s="927"/>
    </row>
    <row r="69" spans="2:14">
      <c r="B69" s="930" t="s">
        <v>386</v>
      </c>
      <c r="C69" s="925"/>
      <c r="D69" s="925"/>
      <c r="E69" s="925"/>
      <c r="F69" s="925"/>
      <c r="G69" s="925"/>
      <c r="H69" s="931"/>
      <c r="I69" s="925"/>
      <c r="J69" s="925"/>
      <c r="K69" s="925"/>
      <c r="L69" s="925"/>
      <c r="M69" s="925"/>
      <c r="N69" s="925"/>
    </row>
    <row r="70" spans="2:14">
      <c r="B70" s="930" t="s">
        <v>387</v>
      </c>
      <c r="C70" s="925"/>
      <c r="D70" s="925"/>
      <c r="E70" s="925"/>
      <c r="F70" s="925"/>
      <c r="G70" s="925"/>
      <c r="H70" s="931"/>
      <c r="I70" s="925"/>
      <c r="J70" s="925"/>
      <c r="K70" s="925"/>
      <c r="L70" s="925"/>
      <c r="M70" s="925"/>
      <c r="N70" s="925"/>
    </row>
    <row r="71" spans="2:14">
      <c r="B71" s="930" t="s">
        <v>388</v>
      </c>
      <c r="C71" s="925"/>
      <c r="D71" s="925"/>
      <c r="E71" s="925"/>
      <c r="F71" s="925"/>
      <c r="G71" s="925"/>
      <c r="H71" s="931"/>
      <c r="I71" s="925"/>
      <c r="J71" s="925"/>
      <c r="K71" s="925"/>
      <c r="L71" s="925"/>
      <c r="M71" s="925"/>
      <c r="N71" s="925"/>
    </row>
    <row r="72" spans="2:14">
      <c r="B72" s="930" t="s">
        <v>389</v>
      </c>
      <c r="C72" s="925">
        <v>29055567000</v>
      </c>
      <c r="D72" s="925">
        <v>30216487000</v>
      </c>
      <c r="E72" s="925">
        <v>35040712000</v>
      </c>
      <c r="F72" s="925">
        <v>27006348000</v>
      </c>
      <c r="G72" s="925">
        <v>30373820000</v>
      </c>
      <c r="H72" s="931">
        <v>28109399000</v>
      </c>
      <c r="I72" s="925">
        <v>31771009000</v>
      </c>
      <c r="J72" s="925">
        <v>29227841000</v>
      </c>
      <c r="K72" s="925">
        <v>29336250000</v>
      </c>
      <c r="L72" s="925"/>
      <c r="M72" s="925"/>
      <c r="N72" s="925"/>
    </row>
    <row r="73" spans="2:14">
      <c r="B73" s="930" t="s">
        <v>390</v>
      </c>
      <c r="C73" s="925"/>
      <c r="D73" s="925"/>
      <c r="E73" s="925"/>
      <c r="F73" s="925"/>
      <c r="G73" s="925"/>
      <c r="H73" s="931"/>
      <c r="I73" s="925"/>
      <c r="J73" s="925"/>
      <c r="K73" s="925"/>
      <c r="L73" s="925"/>
      <c r="M73" s="925"/>
      <c r="N73" s="925"/>
    </row>
    <row r="74" spans="2:14">
      <c r="B74" s="930" t="s">
        <v>391</v>
      </c>
      <c r="C74" s="932"/>
      <c r="D74" s="925"/>
      <c r="E74" s="925"/>
      <c r="F74" s="925"/>
      <c r="G74" s="925"/>
      <c r="H74" s="931"/>
      <c r="I74" s="925"/>
      <c r="J74" s="925"/>
      <c r="K74" s="925"/>
      <c r="L74" s="925"/>
      <c r="M74" s="925"/>
      <c r="N74" s="925"/>
    </row>
    <row r="75" spans="2:14">
      <c r="B75" s="930" t="s">
        <v>392</v>
      </c>
      <c r="C75" s="925"/>
      <c r="D75" s="925"/>
      <c r="E75" s="925"/>
      <c r="F75" s="925"/>
      <c r="G75" s="925"/>
      <c r="H75" s="931"/>
      <c r="I75" s="925"/>
      <c r="J75" s="925"/>
      <c r="K75" s="925"/>
      <c r="L75" s="925"/>
      <c r="M75" s="925"/>
      <c r="N75" s="925"/>
    </row>
    <row r="76" spans="2:14">
      <c r="B76" s="930" t="s">
        <v>318</v>
      </c>
      <c r="C76" s="925">
        <f t="shared" ref="C76:N76" si="40">+C68-C69-C74-C75-C73-C72-C71-C70</f>
        <v>203651143000</v>
      </c>
      <c r="D76" s="925">
        <f t="shared" si="40"/>
        <v>333951097000</v>
      </c>
      <c r="E76" s="925">
        <f t="shared" si="40"/>
        <v>374881327000</v>
      </c>
      <c r="F76" s="925">
        <f t="shared" si="40"/>
        <v>399913373000</v>
      </c>
      <c r="G76" s="925">
        <f t="shared" si="40"/>
        <v>338323724000</v>
      </c>
      <c r="H76" s="925">
        <f t="shared" si="40"/>
        <v>288018319000</v>
      </c>
      <c r="I76" s="925">
        <f>+I68-I69-I74-I75-I73-I72-I71-I70</f>
        <v>388953382000</v>
      </c>
      <c r="J76" s="925">
        <f t="shared" si="40"/>
        <v>498808286000</v>
      </c>
      <c r="K76" s="925">
        <f t="shared" si="40"/>
        <v>244696887000</v>
      </c>
      <c r="L76" s="925">
        <f t="shared" si="40"/>
        <v>0</v>
      </c>
      <c r="M76" s="925">
        <f t="shared" si="40"/>
        <v>0</v>
      </c>
      <c r="N76" s="925">
        <f t="shared" si="40"/>
        <v>0</v>
      </c>
    </row>
    <row r="77" spans="2:14" ht="13.15">
      <c r="B77" s="926" t="s">
        <v>319</v>
      </c>
      <c r="C77" s="927">
        <v>1848307271000</v>
      </c>
      <c r="D77" s="927">
        <v>2013932465000</v>
      </c>
      <c r="E77" s="927">
        <v>2273346091000</v>
      </c>
      <c r="F77" s="928">
        <v>2260743528000</v>
      </c>
      <c r="G77" s="927">
        <v>2407200032000</v>
      </c>
      <c r="H77" s="929">
        <v>2622082884000</v>
      </c>
      <c r="I77" s="927">
        <v>3062246756000</v>
      </c>
      <c r="J77" s="927">
        <v>3402443399000</v>
      </c>
      <c r="K77" s="927">
        <v>4010649458000</v>
      </c>
      <c r="L77" s="927"/>
      <c r="M77" s="927"/>
      <c r="N77" s="927"/>
    </row>
    <row r="78" spans="2:14">
      <c r="B78" s="930" t="s">
        <v>393</v>
      </c>
      <c r="C78" s="925"/>
      <c r="D78" s="925"/>
      <c r="E78" s="925"/>
      <c r="F78" s="925"/>
      <c r="G78" s="925"/>
      <c r="H78" s="931"/>
      <c r="I78" s="925"/>
      <c r="J78" s="925"/>
      <c r="K78" s="925"/>
      <c r="L78" s="925"/>
      <c r="M78" s="925"/>
      <c r="N78" s="925"/>
    </row>
    <row r="79" spans="2:14">
      <c r="B79" s="930" t="s">
        <v>394</v>
      </c>
      <c r="C79" s="925"/>
      <c r="D79" s="925"/>
      <c r="E79" s="925"/>
      <c r="F79" s="925"/>
      <c r="G79" s="925"/>
      <c r="H79" s="931"/>
      <c r="I79" s="925"/>
      <c r="J79" s="925"/>
      <c r="K79" s="925"/>
      <c r="L79" s="925"/>
      <c r="M79" s="925"/>
      <c r="N79" s="925"/>
    </row>
    <row r="80" spans="2:14">
      <c r="B80" s="930" t="s">
        <v>377</v>
      </c>
      <c r="C80" s="925"/>
      <c r="D80" s="925"/>
      <c r="E80" s="925"/>
      <c r="F80" s="925"/>
      <c r="G80" s="925"/>
      <c r="H80" s="931"/>
      <c r="I80" s="925"/>
      <c r="J80" s="925"/>
      <c r="K80" s="925"/>
      <c r="L80" s="925"/>
      <c r="M80" s="925"/>
      <c r="N80" s="925"/>
    </row>
    <row r="81" spans="2:14">
      <c r="B81" s="930" t="s">
        <v>484</v>
      </c>
      <c r="C81" s="925"/>
      <c r="D81" s="925"/>
      <c r="E81" s="925"/>
      <c r="F81" s="925"/>
      <c r="G81" s="925"/>
      <c r="H81" s="931"/>
      <c r="I81" s="925"/>
      <c r="J81" s="925"/>
      <c r="K81" s="925"/>
      <c r="L81" s="925"/>
      <c r="M81" s="925"/>
      <c r="N81" s="925"/>
    </row>
    <row r="82" spans="2:14">
      <c r="B82" s="930" t="s">
        <v>487</v>
      </c>
      <c r="C82" s="925"/>
      <c r="D82" s="925"/>
      <c r="E82" s="925"/>
      <c r="F82" s="925"/>
      <c r="G82" s="925"/>
      <c r="H82" s="931"/>
      <c r="I82" s="925"/>
      <c r="J82" s="925"/>
      <c r="K82" s="925"/>
      <c r="L82" s="925"/>
      <c r="M82" s="925"/>
      <c r="N82" s="925"/>
    </row>
    <row r="83" spans="2:14">
      <c r="B83" s="930" t="s">
        <v>522</v>
      </c>
      <c r="C83" s="925"/>
      <c r="D83" s="925"/>
      <c r="E83" s="925"/>
      <c r="F83" s="925"/>
      <c r="G83" s="925"/>
      <c r="H83" s="931"/>
      <c r="I83" s="925"/>
      <c r="J83" s="925"/>
      <c r="K83" s="925"/>
      <c r="L83" s="925"/>
      <c r="M83" s="925"/>
      <c r="N83" s="925"/>
    </row>
    <row r="84" spans="2:14">
      <c r="B84" s="930" t="s">
        <v>396</v>
      </c>
      <c r="C84" s="925"/>
      <c r="D84" s="925"/>
      <c r="E84" s="925"/>
      <c r="F84" s="925"/>
      <c r="G84" s="925"/>
      <c r="H84" s="931"/>
      <c r="I84" s="925"/>
      <c r="J84" s="925"/>
      <c r="K84" s="925"/>
      <c r="L84" s="925"/>
      <c r="M84" s="925"/>
      <c r="N84" s="925"/>
    </row>
    <row r="85" spans="2:14">
      <c r="B85" s="930" t="s">
        <v>398</v>
      </c>
      <c r="C85" s="925"/>
      <c r="D85" s="925"/>
      <c r="E85" s="925"/>
      <c r="F85" s="932"/>
      <c r="G85" s="925"/>
      <c r="H85" s="931"/>
      <c r="I85" s="925"/>
      <c r="J85" s="925"/>
      <c r="K85" s="925"/>
      <c r="L85" s="925"/>
      <c r="M85" s="925"/>
      <c r="N85" s="925"/>
    </row>
    <row r="86" spans="2:14">
      <c r="B86" s="930" t="s">
        <v>523</v>
      </c>
      <c r="C86" s="925"/>
      <c r="D86" s="925"/>
      <c r="E86" s="925"/>
      <c r="F86" s="925"/>
      <c r="G86" s="925"/>
      <c r="H86" s="931"/>
      <c r="I86" s="925"/>
      <c r="J86" s="925"/>
      <c r="K86" s="925"/>
      <c r="L86" s="925"/>
      <c r="M86" s="925"/>
      <c r="N86" s="925"/>
    </row>
    <row r="87" spans="2:14">
      <c r="B87" s="930" t="s">
        <v>328</v>
      </c>
      <c r="C87" s="925">
        <f t="shared" ref="C87:N87" si="41">+C77-C84-C85-C83-C78-C86-C82-C81-C80-C79</f>
        <v>1848307271000</v>
      </c>
      <c r="D87" s="925">
        <f t="shared" si="41"/>
        <v>2013932465000</v>
      </c>
      <c r="E87" s="925">
        <f t="shared" si="41"/>
        <v>2273346091000</v>
      </c>
      <c r="F87" s="925">
        <f t="shared" si="41"/>
        <v>2260743528000</v>
      </c>
      <c r="G87" s="925">
        <f t="shared" si="41"/>
        <v>2407200032000</v>
      </c>
      <c r="H87" s="925">
        <f t="shared" si="41"/>
        <v>2622082884000</v>
      </c>
      <c r="I87" s="925">
        <f t="shared" si="41"/>
        <v>3062246756000</v>
      </c>
      <c r="J87" s="925">
        <f t="shared" si="41"/>
        <v>3402443399000</v>
      </c>
      <c r="K87" s="925">
        <f t="shared" si="41"/>
        <v>4010649458000</v>
      </c>
      <c r="L87" s="925">
        <f t="shared" si="41"/>
        <v>0</v>
      </c>
      <c r="M87" s="925">
        <f t="shared" si="41"/>
        <v>0</v>
      </c>
      <c r="N87" s="925">
        <f t="shared" si="41"/>
        <v>0</v>
      </c>
    </row>
    <row r="88" spans="2:14" ht="13.15">
      <c r="B88" s="933" t="s">
        <v>329</v>
      </c>
      <c r="C88" s="934">
        <f t="shared" ref="C88:N88" si="42">+C77+C68</f>
        <v>2081013981000</v>
      </c>
      <c r="D88" s="934">
        <f t="shared" si="42"/>
        <v>2378100049000</v>
      </c>
      <c r="E88" s="934">
        <f t="shared" si="42"/>
        <v>2683268130000</v>
      </c>
      <c r="F88" s="934">
        <f t="shared" si="42"/>
        <v>2687663249000</v>
      </c>
      <c r="G88" s="934">
        <f t="shared" si="42"/>
        <v>2775897576000</v>
      </c>
      <c r="H88" s="935">
        <f t="shared" si="42"/>
        <v>2938210602000</v>
      </c>
      <c r="I88" s="935">
        <f t="shared" si="42"/>
        <v>3482971147000</v>
      </c>
      <c r="J88" s="935">
        <f t="shared" si="42"/>
        <v>3930479526000</v>
      </c>
      <c r="K88" s="935">
        <f t="shared" si="42"/>
        <v>4284682595000</v>
      </c>
      <c r="L88" s="935">
        <f t="shared" si="42"/>
        <v>0</v>
      </c>
      <c r="M88" s="935">
        <f t="shared" si="42"/>
        <v>0</v>
      </c>
      <c r="N88" s="935">
        <f t="shared" si="42"/>
        <v>0</v>
      </c>
    </row>
    <row r="89" spans="2:14">
      <c r="B89" s="936"/>
      <c r="C89" s="937"/>
      <c r="D89" s="937"/>
      <c r="E89" s="937"/>
      <c r="F89" s="937"/>
      <c r="G89" s="937"/>
      <c r="H89" s="938"/>
      <c r="I89" s="937"/>
      <c r="J89" s="937"/>
      <c r="K89" s="937"/>
      <c r="L89" s="937"/>
      <c r="M89" s="937"/>
      <c r="N89" s="937"/>
    </row>
    <row r="90" spans="2:14" ht="13.15">
      <c r="B90" s="922" t="s">
        <v>330</v>
      </c>
      <c r="C90" s="939"/>
      <c r="D90" s="939"/>
      <c r="E90" s="940"/>
      <c r="F90" s="940"/>
      <c r="G90" s="939"/>
      <c r="H90" s="941"/>
      <c r="I90" s="939"/>
      <c r="J90" s="939"/>
      <c r="K90" s="939"/>
      <c r="L90" s="939"/>
      <c r="M90" s="939"/>
      <c r="N90" s="939"/>
    </row>
    <row r="91" spans="2:14" ht="13.15">
      <c r="B91" s="926" t="s">
        <v>310</v>
      </c>
      <c r="C91" s="927">
        <v>96845567000</v>
      </c>
      <c r="D91" s="927">
        <v>190331991000</v>
      </c>
      <c r="E91" s="940">
        <v>321246234000</v>
      </c>
      <c r="F91" s="940">
        <v>93861631000</v>
      </c>
      <c r="G91" s="927">
        <v>169075333000</v>
      </c>
      <c r="H91" s="929">
        <v>191652165000</v>
      </c>
      <c r="I91" s="927">
        <v>260905891000</v>
      </c>
      <c r="J91" s="927">
        <v>296359983000</v>
      </c>
      <c r="K91" s="927">
        <v>278117654000</v>
      </c>
      <c r="L91" s="927"/>
      <c r="M91" s="927"/>
      <c r="N91" s="927"/>
    </row>
    <row r="92" spans="2:14">
      <c r="B92" s="930" t="s">
        <v>525</v>
      </c>
      <c r="C92" s="925"/>
      <c r="D92" s="925"/>
      <c r="E92" s="925"/>
      <c r="F92" s="925"/>
      <c r="G92" s="925"/>
      <c r="H92" s="931"/>
      <c r="I92" s="925"/>
      <c r="J92" s="925"/>
      <c r="K92" s="925"/>
      <c r="L92" s="925"/>
      <c r="M92" s="925"/>
      <c r="N92" s="925"/>
    </row>
    <row r="93" spans="2:14">
      <c r="B93" s="930" t="s">
        <v>405</v>
      </c>
      <c r="C93" s="925"/>
      <c r="D93" s="925"/>
      <c r="E93" s="925"/>
      <c r="F93" s="925"/>
      <c r="G93" s="925"/>
      <c r="H93" s="931"/>
      <c r="I93" s="925"/>
      <c r="J93" s="925"/>
      <c r="K93" s="925"/>
      <c r="L93" s="925"/>
      <c r="M93" s="925"/>
      <c r="N93" s="925"/>
    </row>
    <row r="94" spans="2:14">
      <c r="B94" s="930" t="s">
        <v>526</v>
      </c>
      <c r="C94" s="925"/>
      <c r="D94" s="925"/>
      <c r="E94" s="925"/>
      <c r="F94" s="925"/>
      <c r="G94" s="925"/>
      <c r="H94" s="931"/>
      <c r="I94" s="925"/>
      <c r="J94" s="925"/>
      <c r="K94" s="925"/>
      <c r="L94" s="925"/>
      <c r="M94" s="925"/>
      <c r="N94" s="925"/>
    </row>
    <row r="95" spans="2:14">
      <c r="B95" s="930" t="s">
        <v>407</v>
      </c>
      <c r="C95" s="925"/>
      <c r="D95" s="925"/>
      <c r="E95" s="925"/>
      <c r="F95" s="925"/>
      <c r="G95" s="925"/>
      <c r="H95" s="931"/>
      <c r="I95" s="925"/>
      <c r="J95" s="925"/>
      <c r="K95" s="925"/>
      <c r="L95" s="925"/>
      <c r="M95" s="925"/>
      <c r="N95" s="925"/>
    </row>
    <row r="96" spans="2:14">
      <c r="B96" s="930" t="s">
        <v>527</v>
      </c>
      <c r="C96" s="925"/>
      <c r="D96" s="925"/>
      <c r="E96" s="925"/>
      <c r="F96" s="925"/>
      <c r="G96" s="925"/>
      <c r="H96" s="931"/>
      <c r="I96" s="925"/>
      <c r="J96" s="925"/>
      <c r="K96" s="925"/>
      <c r="L96" s="925"/>
      <c r="M96" s="925"/>
      <c r="N96" s="925"/>
    </row>
    <row r="97" spans="2:14">
      <c r="B97" s="930" t="s">
        <v>495</v>
      </c>
      <c r="C97" s="925"/>
      <c r="D97" s="925"/>
      <c r="E97" s="925"/>
      <c r="F97" s="925"/>
      <c r="G97" s="925"/>
      <c r="H97" s="931"/>
      <c r="I97" s="925"/>
      <c r="J97" s="925"/>
      <c r="K97" s="925"/>
      <c r="L97" s="925"/>
      <c r="M97" s="925"/>
      <c r="N97" s="925"/>
    </row>
    <row r="98" spans="2:14">
      <c r="B98" s="930" t="s">
        <v>404</v>
      </c>
      <c r="C98" s="925"/>
      <c r="D98" s="925"/>
      <c r="E98" s="925"/>
      <c r="F98" s="925"/>
      <c r="G98" s="925"/>
      <c r="H98" s="931"/>
      <c r="I98" s="925"/>
      <c r="J98" s="925"/>
      <c r="K98" s="925"/>
      <c r="L98" s="925"/>
      <c r="M98" s="925"/>
      <c r="N98" s="925"/>
    </row>
    <row r="99" spans="2:14">
      <c r="B99" s="930"/>
      <c r="C99" s="925"/>
      <c r="D99" s="925"/>
      <c r="E99" s="925"/>
      <c r="F99" s="925"/>
      <c r="G99" s="925"/>
      <c r="H99" s="931"/>
      <c r="I99" s="925"/>
      <c r="J99" s="925"/>
      <c r="K99" s="925"/>
      <c r="L99" s="925"/>
      <c r="M99" s="925"/>
      <c r="N99" s="925"/>
    </row>
    <row r="100" spans="2:14">
      <c r="B100" s="930" t="s">
        <v>410</v>
      </c>
      <c r="C100" s="925">
        <f t="shared" ref="C100:N100" si="43">+C91-C92-C98-C99-C97-C96-C95-C94-C93</f>
        <v>96845567000</v>
      </c>
      <c r="D100" s="925">
        <f t="shared" si="43"/>
        <v>190331991000</v>
      </c>
      <c r="E100" s="925">
        <f t="shared" si="43"/>
        <v>321246234000</v>
      </c>
      <c r="F100" s="925">
        <f t="shared" si="43"/>
        <v>93861631000</v>
      </c>
      <c r="G100" s="925">
        <f t="shared" si="43"/>
        <v>169075333000</v>
      </c>
      <c r="H100" s="925">
        <f t="shared" si="43"/>
        <v>191652165000</v>
      </c>
      <c r="I100" s="925">
        <f t="shared" si="43"/>
        <v>260905891000</v>
      </c>
      <c r="J100" s="925">
        <f t="shared" si="43"/>
        <v>296359983000</v>
      </c>
      <c r="K100" s="925">
        <f t="shared" si="43"/>
        <v>278117654000</v>
      </c>
      <c r="L100" s="925">
        <f t="shared" si="43"/>
        <v>0</v>
      </c>
      <c r="M100" s="925">
        <f t="shared" si="43"/>
        <v>0</v>
      </c>
      <c r="N100" s="925">
        <f t="shared" si="43"/>
        <v>0</v>
      </c>
    </row>
    <row r="101" spans="2:14" ht="13.15">
      <c r="B101" s="926" t="s">
        <v>319</v>
      </c>
      <c r="C101" s="927">
        <v>1043398995000</v>
      </c>
      <c r="D101" s="927">
        <v>1109740318000</v>
      </c>
      <c r="E101" s="927">
        <v>1194143310000</v>
      </c>
      <c r="F101" s="927">
        <v>1506177126000</v>
      </c>
      <c r="G101" s="927">
        <v>1316559278000</v>
      </c>
      <c r="H101" s="927">
        <v>1390493359000</v>
      </c>
      <c r="I101" s="927">
        <v>1591104823000</v>
      </c>
      <c r="J101" s="927">
        <v>1846072278000</v>
      </c>
      <c r="K101" s="927">
        <v>2049628232000</v>
      </c>
      <c r="L101" s="927"/>
      <c r="M101" s="927"/>
      <c r="N101" s="927"/>
    </row>
    <row r="102" spans="2:14">
      <c r="B102" s="930" t="s">
        <v>525</v>
      </c>
      <c r="C102" s="925"/>
      <c r="D102" s="925"/>
      <c r="E102" s="925"/>
      <c r="F102" s="925"/>
      <c r="G102" s="925"/>
      <c r="H102" s="925"/>
      <c r="I102" s="925"/>
      <c r="J102" s="925"/>
      <c r="K102" s="925"/>
      <c r="L102" s="925"/>
      <c r="M102" s="925"/>
      <c r="N102" s="925"/>
    </row>
    <row r="103" spans="2:14">
      <c r="B103" s="930" t="s">
        <v>405</v>
      </c>
      <c r="C103" s="925"/>
      <c r="D103" s="925"/>
      <c r="E103" s="925"/>
      <c r="F103" s="925"/>
      <c r="G103" s="925"/>
      <c r="H103" s="931"/>
      <c r="I103" s="925"/>
      <c r="J103" s="925"/>
      <c r="K103" s="925"/>
      <c r="L103" s="925"/>
      <c r="M103" s="925"/>
      <c r="N103" s="925"/>
    </row>
    <row r="104" spans="2:14">
      <c r="B104" s="930" t="s">
        <v>528</v>
      </c>
      <c r="C104" s="925"/>
      <c r="D104" s="925"/>
      <c r="E104" s="925"/>
      <c r="F104" s="925"/>
      <c r="G104" s="925"/>
      <c r="H104" s="931"/>
      <c r="I104" s="925"/>
      <c r="J104" s="925"/>
      <c r="K104" s="925"/>
      <c r="L104" s="925"/>
      <c r="M104" s="925"/>
      <c r="N104" s="925"/>
    </row>
    <row r="105" spans="2:14">
      <c r="B105" s="930" t="s">
        <v>407</v>
      </c>
      <c r="C105" s="925"/>
      <c r="D105" s="925"/>
      <c r="E105" s="925"/>
      <c r="F105" s="925"/>
      <c r="G105" s="925"/>
      <c r="H105" s="931"/>
      <c r="I105" s="925"/>
      <c r="J105" s="925"/>
      <c r="K105" s="925"/>
      <c r="L105" s="925"/>
      <c r="M105" s="925"/>
      <c r="N105" s="925"/>
    </row>
    <row r="106" spans="2:14">
      <c r="B106" s="930" t="s">
        <v>339</v>
      </c>
      <c r="C106" s="925"/>
      <c r="D106" s="925"/>
      <c r="E106" s="925"/>
      <c r="F106" s="925"/>
      <c r="G106" s="925"/>
      <c r="H106" s="931"/>
      <c r="I106" s="925"/>
      <c r="J106" s="925"/>
      <c r="K106" s="925"/>
      <c r="L106" s="925"/>
      <c r="M106" s="925"/>
      <c r="N106" s="925"/>
    </row>
    <row r="107" spans="2:14">
      <c r="B107" s="930" t="s">
        <v>529</v>
      </c>
      <c r="C107" s="925"/>
      <c r="D107" s="925"/>
      <c r="E107" s="925"/>
      <c r="F107" s="925"/>
      <c r="G107" s="925"/>
      <c r="H107" s="931"/>
      <c r="I107" s="925"/>
      <c r="J107" s="925"/>
      <c r="K107" s="925"/>
      <c r="L107" s="925"/>
      <c r="M107" s="925"/>
      <c r="N107" s="925"/>
    </row>
    <row r="108" spans="2:14">
      <c r="B108" s="930" t="s">
        <v>530</v>
      </c>
      <c r="C108" s="925"/>
      <c r="D108" s="925"/>
      <c r="E108" s="925"/>
      <c r="F108" s="925"/>
      <c r="G108" s="925"/>
      <c r="H108" s="931"/>
      <c r="I108" s="925"/>
      <c r="J108" s="925"/>
      <c r="K108" s="925"/>
      <c r="L108" s="925"/>
      <c r="M108" s="925"/>
      <c r="N108" s="925"/>
    </row>
    <row r="109" spans="2:14">
      <c r="B109" s="930" t="s">
        <v>531</v>
      </c>
      <c r="C109" s="925">
        <f t="shared" ref="C109:F109" si="44">+C101-C102-C103-C104-C105-C106-C107-C108</f>
        <v>1043398995000</v>
      </c>
      <c r="D109" s="925">
        <f t="shared" si="44"/>
        <v>1109740318000</v>
      </c>
      <c r="E109" s="925">
        <f t="shared" si="44"/>
        <v>1194143310000</v>
      </c>
      <c r="F109" s="925">
        <f t="shared" si="44"/>
        <v>1506177126000</v>
      </c>
      <c r="G109" s="925">
        <f>+G101-G102-G103-G104-G105-G106-G107-G108</f>
        <v>1316559278000</v>
      </c>
      <c r="H109" s="925">
        <f>+H101-H102-H103-H104-H105-H106-H107-H108</f>
        <v>1390493359000</v>
      </c>
      <c r="I109" s="925">
        <f t="shared" ref="I109:N109" si="45">+I101-I102-I103-I104-I105-I106-I107-I108</f>
        <v>1591104823000</v>
      </c>
      <c r="J109" s="925">
        <f t="shared" si="45"/>
        <v>1846072278000</v>
      </c>
      <c r="K109" s="925">
        <f t="shared" si="45"/>
        <v>2049628232000</v>
      </c>
      <c r="L109" s="925">
        <f t="shared" si="45"/>
        <v>0</v>
      </c>
      <c r="M109" s="925">
        <f t="shared" si="45"/>
        <v>0</v>
      </c>
      <c r="N109" s="925">
        <f t="shared" si="45"/>
        <v>0</v>
      </c>
    </row>
    <row r="110" spans="2:14" ht="13.15">
      <c r="B110" s="933" t="s">
        <v>342</v>
      </c>
      <c r="C110" s="934">
        <f>+C101+C91</f>
        <v>1140244562000</v>
      </c>
      <c r="D110" s="934">
        <f t="shared" ref="D110:N110" si="46">+D101+D91</f>
        <v>1300072309000</v>
      </c>
      <c r="E110" s="934">
        <f t="shared" si="46"/>
        <v>1515389544000</v>
      </c>
      <c r="F110" s="934">
        <f t="shared" si="46"/>
        <v>1600038757000</v>
      </c>
      <c r="G110" s="934">
        <f t="shared" si="46"/>
        <v>1485634611000</v>
      </c>
      <c r="H110" s="935">
        <f t="shared" si="46"/>
        <v>1582145524000</v>
      </c>
      <c r="I110" s="935">
        <f t="shared" si="46"/>
        <v>1852010714000</v>
      </c>
      <c r="J110" s="935">
        <f t="shared" si="46"/>
        <v>2142432261000</v>
      </c>
      <c r="K110" s="935">
        <f t="shared" si="46"/>
        <v>2327745886000</v>
      </c>
      <c r="L110" s="935">
        <f t="shared" si="46"/>
        <v>0</v>
      </c>
      <c r="M110" s="935">
        <f t="shared" si="46"/>
        <v>0</v>
      </c>
      <c r="N110" s="935">
        <f t="shared" si="46"/>
        <v>0</v>
      </c>
    </row>
    <row r="111" spans="2:14">
      <c r="B111" s="936"/>
      <c r="C111" s="936"/>
      <c r="D111" s="936"/>
      <c r="E111" s="936"/>
      <c r="F111" s="936"/>
      <c r="G111" s="936"/>
      <c r="H111" s="936"/>
      <c r="I111" s="936"/>
      <c r="J111" s="936"/>
      <c r="K111" s="936"/>
      <c r="L111" s="936"/>
      <c r="M111" s="936"/>
      <c r="N111" s="936"/>
    </row>
    <row r="112" spans="2:14" ht="13.15">
      <c r="B112" s="922" t="s">
        <v>343</v>
      </c>
      <c r="C112" s="939"/>
      <c r="D112" s="939"/>
      <c r="E112" s="939"/>
      <c r="F112" s="939"/>
      <c r="G112" s="939"/>
      <c r="H112" s="941"/>
      <c r="I112" s="939"/>
      <c r="J112" s="939"/>
      <c r="K112" s="939"/>
      <c r="L112" s="939"/>
      <c r="M112" s="939"/>
      <c r="N112" s="939"/>
    </row>
    <row r="113" spans="2:14">
      <c r="B113" s="930" t="s">
        <v>532</v>
      </c>
      <c r="C113" s="931">
        <v>416047240000</v>
      </c>
      <c r="D113" s="931">
        <v>420016646000</v>
      </c>
      <c r="E113" s="931">
        <v>423575312000</v>
      </c>
      <c r="F113" s="931">
        <v>423575312000</v>
      </c>
      <c r="G113" s="931">
        <v>423575312000</v>
      </c>
      <c r="H113" s="931">
        <v>423575312000</v>
      </c>
      <c r="I113" s="931">
        <v>423575312000</v>
      </c>
      <c r="J113" s="931">
        <v>423575312000</v>
      </c>
      <c r="K113" s="931">
        <v>423575312000</v>
      </c>
      <c r="L113" s="931"/>
      <c r="M113" s="931"/>
      <c r="N113" s="931"/>
    </row>
    <row r="114" spans="2:14">
      <c r="B114" s="930" t="s">
        <v>533</v>
      </c>
      <c r="C114" s="925">
        <v>416884616000</v>
      </c>
      <c r="D114" s="925">
        <v>497557779000</v>
      </c>
      <c r="E114" s="925">
        <v>582625901000</v>
      </c>
      <c r="F114" s="925">
        <v>569613458000</v>
      </c>
      <c r="G114" s="925">
        <v>603242745000</v>
      </c>
      <c r="H114" s="931">
        <v>690020894000</v>
      </c>
      <c r="I114" s="925">
        <v>758815941000</v>
      </c>
      <c r="J114" s="925">
        <v>853993801000</v>
      </c>
      <c r="K114" s="925">
        <v>952348346000</v>
      </c>
      <c r="L114" s="925"/>
      <c r="M114" s="925"/>
      <c r="N114" s="925"/>
    </row>
    <row r="115" spans="2:14">
      <c r="B115" s="930" t="s">
        <v>753</v>
      </c>
      <c r="C115" s="925">
        <v>289355000</v>
      </c>
      <c r="D115" s="925">
        <v>289355000</v>
      </c>
      <c r="E115" s="925">
        <v>289355000</v>
      </c>
      <c r="F115" s="925">
        <v>289355000</v>
      </c>
      <c r="G115" s="925">
        <v>289355000</v>
      </c>
      <c r="H115" s="931">
        <v>289355000</v>
      </c>
      <c r="I115" s="925">
        <v>289355000</v>
      </c>
      <c r="J115" s="925">
        <v>289355000</v>
      </c>
      <c r="K115" s="925">
        <v>289355000</v>
      </c>
      <c r="L115" s="925"/>
      <c r="M115" s="925"/>
      <c r="N115" s="925"/>
    </row>
    <row r="116" spans="2:14">
      <c r="B116" s="930" t="s">
        <v>345</v>
      </c>
      <c r="C116" s="925">
        <v>-35046341000</v>
      </c>
      <c r="D116" s="925">
        <v>1962545000</v>
      </c>
      <c r="E116" s="925">
        <v>50579660000</v>
      </c>
      <c r="F116" s="925">
        <v>-15208644000</v>
      </c>
      <c r="G116" s="925">
        <v>50317126000</v>
      </c>
      <c r="H116" s="931">
        <v>31043293000</v>
      </c>
      <c r="I116" s="925">
        <v>116230695000</v>
      </c>
      <c r="J116" s="925">
        <v>186599274000</v>
      </c>
      <c r="K116" s="925">
        <v>218308769000</v>
      </c>
      <c r="L116" s="925"/>
      <c r="M116" s="925"/>
      <c r="N116" s="925"/>
    </row>
    <row r="117" spans="2:14">
      <c r="B117" s="930" t="s">
        <v>419</v>
      </c>
      <c r="C117" s="925">
        <v>142594549000</v>
      </c>
      <c r="D117" s="925">
        <v>158201415000</v>
      </c>
      <c r="E117" s="925">
        <v>110808359000</v>
      </c>
      <c r="F117" s="925">
        <v>109355009000</v>
      </c>
      <c r="G117" s="925">
        <v>212838427000</v>
      </c>
      <c r="H117" s="931">
        <v>211136224000</v>
      </c>
      <c r="I117" s="925">
        <v>332049130000</v>
      </c>
      <c r="J117" s="925">
        <v>32358952300</v>
      </c>
      <c r="K117" s="925">
        <v>362360837000</v>
      </c>
      <c r="L117" s="925"/>
      <c r="M117" s="925"/>
      <c r="N117" s="925"/>
    </row>
    <row r="118" spans="2:14" ht="13.15">
      <c r="B118" s="933" t="s">
        <v>420</v>
      </c>
      <c r="C118" s="934">
        <f>+C113+C116+C114+C115</f>
        <v>798174870000</v>
      </c>
      <c r="D118" s="934">
        <f t="shared" ref="D118:K118" si="47">+D113+D116+D114+D115</f>
        <v>919826325000</v>
      </c>
      <c r="E118" s="934">
        <f t="shared" si="47"/>
        <v>1057070228000</v>
      </c>
      <c r="F118" s="934">
        <f t="shared" si="47"/>
        <v>978269481000</v>
      </c>
      <c r="G118" s="934">
        <f t="shared" si="47"/>
        <v>1077424538000</v>
      </c>
      <c r="H118" s="934">
        <f t="shared" si="47"/>
        <v>1144928854000</v>
      </c>
      <c r="I118" s="934">
        <f t="shared" si="47"/>
        <v>1298911303000</v>
      </c>
      <c r="J118" s="934">
        <f t="shared" si="47"/>
        <v>1464457742000</v>
      </c>
      <c r="K118" s="934">
        <f t="shared" si="47"/>
        <v>1594521782000</v>
      </c>
      <c r="L118" s="934"/>
      <c r="M118" s="934"/>
      <c r="N118" s="934"/>
    </row>
    <row r="120" spans="2:14" ht="13.15">
      <c r="B120" s="921" t="s">
        <v>348</v>
      </c>
    </row>
    <row r="121" spans="2:14" ht="13.15">
      <c r="B121" s="942" t="s">
        <v>308</v>
      </c>
      <c r="C121" s="943">
        <v>2017</v>
      </c>
      <c r="D121" s="943">
        <v>2018</v>
      </c>
      <c r="E121" s="943">
        <v>2019</v>
      </c>
      <c r="F121" s="943">
        <v>2020</v>
      </c>
      <c r="G121" s="943">
        <v>2021</v>
      </c>
      <c r="H121" s="943">
        <v>2022</v>
      </c>
      <c r="I121" s="943">
        <v>2023</v>
      </c>
      <c r="J121" s="943">
        <v>2024</v>
      </c>
      <c r="K121" s="943">
        <v>2025</v>
      </c>
      <c r="L121" s="943">
        <v>2026</v>
      </c>
      <c r="M121" s="943">
        <v>2027</v>
      </c>
      <c r="N121" s="943">
        <v>2028</v>
      </c>
    </row>
    <row r="122" spans="2:14" ht="13.15">
      <c r="B122" s="944" t="s">
        <v>349</v>
      </c>
      <c r="C122" s="945">
        <v>182215067000</v>
      </c>
      <c r="D122" s="945">
        <v>189618287000</v>
      </c>
      <c r="E122" s="945">
        <v>205612761000</v>
      </c>
      <c r="F122" s="945">
        <v>125851928000</v>
      </c>
      <c r="G122" s="945">
        <v>169589243000</v>
      </c>
      <c r="H122" s="945">
        <v>243119543000</v>
      </c>
      <c r="I122" s="945">
        <v>264312607000</v>
      </c>
      <c r="J122" s="945">
        <v>316775711000</v>
      </c>
      <c r="K122" s="945">
        <v>383792582000</v>
      </c>
      <c r="L122" s="945"/>
      <c r="M122" s="945"/>
      <c r="N122" s="945"/>
    </row>
    <row r="123" spans="2:14">
      <c r="B123" s="946" t="s">
        <v>534</v>
      </c>
      <c r="C123" s="925">
        <v>-39346715000</v>
      </c>
      <c r="D123" s="925">
        <v>-39437276000</v>
      </c>
      <c r="E123" s="925">
        <v>-39962704000</v>
      </c>
      <c r="F123" s="925">
        <v>-31697506000</v>
      </c>
      <c r="G123" s="925">
        <v>-36962652000</v>
      </c>
      <c r="H123" s="925">
        <v>-55126662000</v>
      </c>
      <c r="I123" s="925">
        <v>-53309521000</v>
      </c>
      <c r="J123" s="925">
        <v>-61771615000</v>
      </c>
      <c r="K123" s="925">
        <v>-78984734000</v>
      </c>
      <c r="L123" s="925"/>
      <c r="M123" s="925"/>
      <c r="N123" s="925"/>
    </row>
    <row r="124" spans="2:14" ht="13.15">
      <c r="B124" s="947" t="s">
        <v>422</v>
      </c>
      <c r="C124" s="927">
        <f t="shared" ref="C124:F124" si="48">+C122+C123</f>
        <v>142868352000</v>
      </c>
      <c r="D124" s="927">
        <f>+D122+D123</f>
        <v>150181011000</v>
      </c>
      <c r="E124" s="927">
        <f t="shared" si="48"/>
        <v>165650057000</v>
      </c>
      <c r="F124" s="927">
        <f t="shared" si="48"/>
        <v>94154422000</v>
      </c>
      <c r="G124" s="927">
        <f>+G122+G123</f>
        <v>132626591000</v>
      </c>
      <c r="H124" s="927">
        <f t="shared" ref="H124:I124" si="49">+H122+H123</f>
        <v>187992881000</v>
      </c>
      <c r="I124" s="927">
        <f t="shared" si="49"/>
        <v>211003086000</v>
      </c>
      <c r="J124" s="927">
        <v>255004097000</v>
      </c>
      <c r="K124" s="927">
        <v>304807848000</v>
      </c>
      <c r="L124" s="927"/>
      <c r="M124" s="927"/>
      <c r="N124" s="927"/>
    </row>
    <row r="125" spans="2:14">
      <c r="B125" s="946" t="s">
        <v>535</v>
      </c>
      <c r="C125" s="925"/>
      <c r="D125" s="925"/>
      <c r="E125" s="925"/>
      <c r="F125" s="925"/>
      <c r="G125" s="925"/>
      <c r="H125" s="925"/>
      <c r="I125" s="925"/>
      <c r="J125" s="925"/>
      <c r="K125" s="925"/>
      <c r="L125" s="925"/>
      <c r="M125" s="925"/>
      <c r="N125" s="925"/>
    </row>
    <row r="126" spans="2:14">
      <c r="B126" s="946" t="s">
        <v>536</v>
      </c>
      <c r="C126" s="925"/>
      <c r="D126" s="925"/>
      <c r="E126" s="925"/>
      <c r="F126" s="925"/>
      <c r="G126" s="925"/>
      <c r="H126" s="925"/>
      <c r="I126" s="925"/>
      <c r="J126" s="925"/>
      <c r="K126" s="925"/>
      <c r="L126" s="925"/>
      <c r="M126" s="925"/>
      <c r="N126" s="925"/>
    </row>
    <row r="127" spans="2:14">
      <c r="B127" s="946" t="s">
        <v>537</v>
      </c>
      <c r="C127" s="925"/>
      <c r="D127" s="925"/>
      <c r="E127" s="925"/>
      <c r="F127" s="925"/>
      <c r="G127" s="925"/>
      <c r="H127" s="925"/>
      <c r="I127" s="925"/>
      <c r="J127" s="925"/>
      <c r="K127" s="925"/>
      <c r="L127" s="925"/>
      <c r="M127" s="925"/>
      <c r="N127" s="925"/>
    </row>
    <row r="128" spans="2:14">
      <c r="B128" s="946" t="s">
        <v>510</v>
      </c>
      <c r="C128" s="925"/>
      <c r="D128" s="925"/>
      <c r="E128" s="925"/>
      <c r="F128" s="925"/>
      <c r="G128" s="925"/>
      <c r="H128" s="925"/>
      <c r="I128" s="925"/>
      <c r="J128" s="925"/>
      <c r="K128" s="925"/>
      <c r="L128" s="925"/>
      <c r="M128" s="925"/>
      <c r="N128" s="925"/>
    </row>
    <row r="129" spans="2:14">
      <c r="B129" s="946" t="s">
        <v>427</v>
      </c>
      <c r="C129" s="925"/>
      <c r="D129" s="925"/>
      <c r="E129" s="925"/>
      <c r="F129" s="925"/>
      <c r="G129" s="925"/>
      <c r="H129" s="925"/>
      <c r="I129" s="925"/>
      <c r="J129" s="925"/>
      <c r="K129" s="925"/>
      <c r="L129" s="925"/>
      <c r="M129" s="925"/>
      <c r="N129" s="925"/>
    </row>
    <row r="130" spans="2:14" ht="13.15">
      <c r="B130" s="947" t="s">
        <v>428</v>
      </c>
      <c r="C130" s="927">
        <v>122762095000</v>
      </c>
      <c r="D130" s="927">
        <v>156997818000</v>
      </c>
      <c r="E130" s="927">
        <v>183941039000</v>
      </c>
      <c r="F130" s="927">
        <v>74802326000</v>
      </c>
      <c r="G130" s="927">
        <v>149138358000</v>
      </c>
      <c r="H130" s="927">
        <v>271632108000</v>
      </c>
      <c r="I130" s="927">
        <v>228661956000</v>
      </c>
      <c r="J130" s="927">
        <v>271106287000</v>
      </c>
      <c r="K130" s="927">
        <v>328348131000</v>
      </c>
      <c r="L130" s="927"/>
      <c r="M130" s="927"/>
      <c r="N130" s="927"/>
    </row>
    <row r="131" spans="2:14">
      <c r="B131" s="946" t="s">
        <v>429</v>
      </c>
      <c r="C131" s="925"/>
      <c r="D131" s="925"/>
      <c r="E131" s="925"/>
      <c r="F131" s="925"/>
      <c r="G131" s="948"/>
      <c r="H131" s="948"/>
      <c r="I131" s="948"/>
      <c r="J131" s="948"/>
      <c r="K131" s="948"/>
      <c r="L131" s="948"/>
      <c r="M131" s="948"/>
      <c r="N131" s="948"/>
    </row>
    <row r="132" spans="2:14">
      <c r="B132" s="946" t="s">
        <v>430</v>
      </c>
      <c r="C132" s="925"/>
      <c r="D132" s="925"/>
      <c r="E132" s="925"/>
      <c r="F132" s="925"/>
      <c r="G132" s="948"/>
      <c r="H132" s="948"/>
      <c r="I132" s="948"/>
      <c r="J132" s="948"/>
      <c r="K132" s="948"/>
      <c r="L132" s="948"/>
      <c r="M132" s="948"/>
      <c r="N132" s="948"/>
    </row>
    <row r="133" spans="2:14">
      <c r="B133" s="946" t="s">
        <v>431</v>
      </c>
      <c r="C133" s="925"/>
      <c r="D133" s="925"/>
      <c r="E133" s="925"/>
      <c r="F133" s="925"/>
      <c r="G133" s="948"/>
      <c r="H133" s="948"/>
      <c r="I133" s="948"/>
      <c r="J133" s="948"/>
      <c r="K133" s="948"/>
      <c r="L133" s="948"/>
      <c r="M133" s="948"/>
      <c r="N133" s="948"/>
    </row>
    <row r="134" spans="2:14">
      <c r="B134" s="946" t="s">
        <v>432</v>
      </c>
      <c r="C134" s="925"/>
      <c r="D134" s="925"/>
      <c r="E134" s="925"/>
      <c r="F134" s="925"/>
      <c r="G134" s="948"/>
      <c r="H134" s="948"/>
      <c r="I134" s="948"/>
      <c r="J134" s="948"/>
      <c r="K134" s="948"/>
      <c r="L134" s="948"/>
      <c r="M134" s="948"/>
      <c r="N134" s="948"/>
    </row>
    <row r="135" spans="2:14">
      <c r="B135" s="946" t="s">
        <v>433</v>
      </c>
      <c r="C135" s="925"/>
      <c r="D135" s="925"/>
      <c r="E135" s="925"/>
      <c r="F135" s="925"/>
      <c r="G135" s="948"/>
      <c r="H135" s="948"/>
      <c r="I135" s="948"/>
      <c r="J135" s="948"/>
      <c r="K135" s="948"/>
      <c r="L135" s="948"/>
      <c r="M135" s="948"/>
      <c r="N135" s="948"/>
    </row>
    <row r="136" spans="2:14" ht="13.15">
      <c r="B136" s="947" t="s">
        <v>362</v>
      </c>
      <c r="C136" s="927">
        <v>142844424000</v>
      </c>
      <c r="D136" s="927">
        <v>170848592000</v>
      </c>
      <c r="E136" s="927">
        <v>141462272000</v>
      </c>
      <c r="F136" s="927">
        <v>14993617000</v>
      </c>
      <c r="G136" s="927">
        <v>68471589000</v>
      </c>
      <c r="H136" s="927">
        <v>182884070000</v>
      </c>
      <c r="I136" s="927">
        <v>180500145000</v>
      </c>
      <c r="J136" s="927">
        <v>208580311000</v>
      </c>
      <c r="K136" s="927">
        <v>272450287000</v>
      </c>
      <c r="L136" s="927"/>
      <c r="M136" s="927"/>
      <c r="N136" s="927"/>
    </row>
    <row r="137" spans="2:14">
      <c r="B137" s="946" t="s">
        <v>363</v>
      </c>
      <c r="C137" s="925">
        <v>-43376855000</v>
      </c>
      <c r="D137" s="925">
        <v>-47459179000</v>
      </c>
      <c r="E137" s="925">
        <v>-36819653000</v>
      </c>
      <c r="F137" s="925">
        <v>-10744934000</v>
      </c>
      <c r="G137" s="949">
        <v>-20526825000</v>
      </c>
      <c r="H137" s="949">
        <v>-45332097000</v>
      </c>
      <c r="I137" s="949">
        <v>-51385259000</v>
      </c>
      <c r="J137" s="949">
        <v>-59038732000</v>
      </c>
      <c r="K137" s="949">
        <v>-58653983000</v>
      </c>
      <c r="L137" s="949"/>
      <c r="M137" s="949"/>
      <c r="N137" s="949"/>
    </row>
    <row r="138" spans="2:14" ht="13.15">
      <c r="B138" s="950" t="s">
        <v>365</v>
      </c>
      <c r="C138" s="951">
        <f>+C136+C137</f>
        <v>99467569000</v>
      </c>
      <c r="D138" s="951">
        <f t="shared" ref="D138:J138" si="50">+D136+D137</f>
        <v>123389413000</v>
      </c>
      <c r="E138" s="951">
        <f t="shared" si="50"/>
        <v>104642619000</v>
      </c>
      <c r="F138" s="951">
        <f t="shared" si="50"/>
        <v>4248683000</v>
      </c>
      <c r="G138" s="951">
        <f t="shared" si="50"/>
        <v>47944764000</v>
      </c>
      <c r="H138" s="951">
        <f t="shared" si="50"/>
        <v>137551973000</v>
      </c>
      <c r="I138" s="951">
        <f t="shared" si="50"/>
        <v>129114886000</v>
      </c>
      <c r="J138" s="951">
        <f t="shared" si="50"/>
        <v>149541579000</v>
      </c>
      <c r="K138" s="951">
        <v>213796304000</v>
      </c>
      <c r="L138" s="951"/>
      <c r="M138" s="951"/>
      <c r="N138" s="951"/>
    </row>
    <row r="139" spans="2:14">
      <c r="B139" s="952" t="s">
        <v>435</v>
      </c>
      <c r="C139" s="925">
        <v>10478040000</v>
      </c>
      <c r="D139" s="925">
        <v>5525925000</v>
      </c>
      <c r="E139" s="925">
        <v>11248901000</v>
      </c>
      <c r="F139" s="925">
        <v>2402461000</v>
      </c>
      <c r="G139" s="949">
        <v>24506411000</v>
      </c>
      <c r="H139" s="949">
        <v>36520338000</v>
      </c>
      <c r="I139" s="949">
        <v>16769552000</v>
      </c>
      <c r="J139" s="949">
        <v>28970271000</v>
      </c>
      <c r="K139" s="949">
        <v>63823601000</v>
      </c>
      <c r="L139" s="949"/>
      <c r="M139" s="949"/>
      <c r="N139" s="949"/>
    </row>
    <row r="140" spans="2:14" ht="14.25">
      <c r="B140" s="1266" t="s">
        <v>436</v>
      </c>
      <c r="C140" s="927">
        <f>+C138-C139</f>
        <v>88989529000</v>
      </c>
      <c r="D140" s="927">
        <f t="shared" ref="D140:J140" si="51">+D138-D139</f>
        <v>117863488000</v>
      </c>
      <c r="E140" s="927">
        <f t="shared" si="51"/>
        <v>93393718000</v>
      </c>
      <c r="F140" s="927">
        <f t="shared" si="51"/>
        <v>1846222000</v>
      </c>
      <c r="G140" s="927">
        <f t="shared" si="51"/>
        <v>23438353000</v>
      </c>
      <c r="H140" s="927">
        <f t="shared" si="51"/>
        <v>101031635000</v>
      </c>
      <c r="I140" s="927">
        <f t="shared" si="51"/>
        <v>112345334000</v>
      </c>
      <c r="J140" s="927">
        <f t="shared" si="51"/>
        <v>120571308000</v>
      </c>
      <c r="K140" s="954">
        <v>149972703000</v>
      </c>
      <c r="L140" s="954"/>
      <c r="M140" s="954"/>
      <c r="N140" s="954"/>
    </row>
    <row r="141" spans="2:14" ht="14.25">
      <c r="B141" s="1267" t="s">
        <v>366</v>
      </c>
      <c r="C141" s="1268">
        <v>99.39</v>
      </c>
      <c r="D141" s="1268">
        <v>130.97</v>
      </c>
      <c r="E141" s="1268">
        <v>103.29</v>
      </c>
      <c r="F141" s="1269">
        <v>2.04</v>
      </c>
      <c r="G141" s="1269">
        <v>25.88</v>
      </c>
      <c r="H141" s="1269">
        <v>111.55</v>
      </c>
      <c r="I141" s="1269">
        <v>124.04</v>
      </c>
      <c r="J141" s="1269">
        <v>133.12</v>
      </c>
      <c r="K141" s="1269">
        <v>165.58</v>
      </c>
      <c r="L141" s="1269"/>
      <c r="M141" s="1269"/>
      <c r="N141" s="1269"/>
    </row>
    <row r="143" spans="2:14" ht="13.15">
      <c r="B143" s="921" t="s">
        <v>367</v>
      </c>
    </row>
    <row r="144" spans="2:14" ht="13.15">
      <c r="B144" s="942" t="s">
        <v>308</v>
      </c>
      <c r="C144" s="943">
        <v>2017</v>
      </c>
      <c r="D144" s="943">
        <v>2018</v>
      </c>
      <c r="E144" s="943">
        <v>2019</v>
      </c>
      <c r="F144" s="943">
        <v>2020</v>
      </c>
      <c r="G144" s="943">
        <v>2021</v>
      </c>
      <c r="H144" s="943">
        <v>2022</v>
      </c>
      <c r="I144" s="943">
        <v>2023</v>
      </c>
      <c r="J144" s="943">
        <v>2024</v>
      </c>
      <c r="K144" s="943">
        <v>2025</v>
      </c>
      <c r="L144" s="943">
        <v>2026</v>
      </c>
      <c r="M144" s="943">
        <v>2027</v>
      </c>
      <c r="N144" s="943">
        <v>2028</v>
      </c>
    </row>
    <row r="145" spans="2:14" ht="13.15">
      <c r="B145" s="944" t="s">
        <v>368</v>
      </c>
      <c r="C145" s="945">
        <v>116387865000</v>
      </c>
      <c r="D145" s="945">
        <v>135747964000</v>
      </c>
      <c r="E145" s="945">
        <v>147582722000</v>
      </c>
      <c r="F145" s="945">
        <v>64053681000</v>
      </c>
      <c r="G145" s="945">
        <v>124978789000</v>
      </c>
      <c r="H145" s="945">
        <v>169184125000</v>
      </c>
      <c r="I145" s="945">
        <v>184720129000</v>
      </c>
      <c r="J145" s="945">
        <v>219208213000</v>
      </c>
      <c r="K145" s="945">
        <v>279388102000</v>
      </c>
      <c r="L145" s="945"/>
      <c r="M145" s="945"/>
      <c r="N145" s="945"/>
    </row>
    <row r="146" spans="2:14" ht="13.15">
      <c r="B146" s="947" t="s">
        <v>369</v>
      </c>
      <c r="C146" s="949">
        <v>-98736362000</v>
      </c>
      <c r="D146" s="955">
        <v>-23177778000</v>
      </c>
      <c r="E146" s="955">
        <v>-92268825000</v>
      </c>
      <c r="F146" s="925">
        <v>-63326469000</v>
      </c>
      <c r="G146" s="955">
        <v>-77807160000</v>
      </c>
      <c r="H146" s="925">
        <v>-78846170000</v>
      </c>
      <c r="I146" s="925">
        <v>-170355186000</v>
      </c>
      <c r="J146" s="925">
        <v>-190997618000</v>
      </c>
      <c r="K146" s="925">
        <v>-407703045000</v>
      </c>
      <c r="L146" s="925"/>
      <c r="M146" s="925"/>
      <c r="N146" s="925"/>
    </row>
    <row r="147" spans="2:14">
      <c r="B147" s="946" t="s">
        <v>370</v>
      </c>
      <c r="C147" s="955">
        <v>-1101957000</v>
      </c>
      <c r="D147" s="955">
        <v>-2809385000</v>
      </c>
      <c r="E147" s="955">
        <v>-1056599000</v>
      </c>
      <c r="F147" s="955">
        <v>-6105755000</v>
      </c>
      <c r="G147" s="955">
        <v>-4069023000</v>
      </c>
      <c r="H147" s="955">
        <v>-158637000</v>
      </c>
      <c r="I147" s="955">
        <v>-1166451000</v>
      </c>
      <c r="J147" s="955">
        <v>-5107316000</v>
      </c>
      <c r="K147" s="955">
        <v>-4207519000</v>
      </c>
      <c r="L147" s="955"/>
      <c r="M147" s="955"/>
      <c r="N147" s="955"/>
    </row>
    <row r="148" spans="2:14" ht="13.15">
      <c r="B148" s="947" t="s">
        <v>372</v>
      </c>
      <c r="C148" s="956">
        <v>-27497475000</v>
      </c>
      <c r="D148" s="956">
        <v>19184389000</v>
      </c>
      <c r="E148" s="927">
        <v>-31557339000</v>
      </c>
      <c r="F148" s="956">
        <v>55539066000</v>
      </c>
      <c r="G148" s="956">
        <v>-105358910000</v>
      </c>
      <c r="H148" s="956">
        <v>-143019487000</v>
      </c>
      <c r="I148" s="956">
        <v>52297013000</v>
      </c>
      <c r="J148" s="956">
        <v>36412322000</v>
      </c>
      <c r="K148" s="956">
        <v>-109005645000</v>
      </c>
      <c r="L148" s="956"/>
      <c r="M148" s="956"/>
      <c r="N148" s="956"/>
    </row>
    <row r="149" spans="2:14">
      <c r="B149" s="946" t="s">
        <v>373</v>
      </c>
      <c r="C149" s="955">
        <v>-31779351000</v>
      </c>
      <c r="D149" s="955">
        <v>-34749046000</v>
      </c>
      <c r="E149" s="925">
        <v>-40135314000</v>
      </c>
      <c r="F149" s="955">
        <v>-23741825000</v>
      </c>
      <c r="G149" s="955">
        <v>-6230026000</v>
      </c>
      <c r="H149" s="955">
        <v>-33888647000</v>
      </c>
      <c r="I149" s="955">
        <v>-52078008000</v>
      </c>
      <c r="J149" s="955">
        <v>-62661106000</v>
      </c>
      <c r="K149" s="955">
        <v>-81908050000</v>
      </c>
      <c r="L149" s="955"/>
      <c r="M149" s="955"/>
      <c r="N149" s="955"/>
    </row>
    <row r="150" spans="2:14">
      <c r="B150" s="946" t="s">
        <v>437</v>
      </c>
      <c r="C150" s="955">
        <v>-33931909000</v>
      </c>
      <c r="D150" s="955">
        <v>-30725532000</v>
      </c>
      <c r="E150" s="925">
        <v>-36921425000</v>
      </c>
      <c r="F150" s="955">
        <v>-38275570000</v>
      </c>
      <c r="G150" s="955">
        <v>-49302489000</v>
      </c>
      <c r="H150" s="955">
        <v>-43749446000</v>
      </c>
      <c r="I150" s="955">
        <v>-50497218000</v>
      </c>
      <c r="J150" s="955">
        <v>-70044882000</v>
      </c>
      <c r="K150" s="955">
        <v>-65728875000</v>
      </c>
      <c r="L150" s="955"/>
      <c r="M150" s="955"/>
      <c r="N150" s="955"/>
    </row>
    <row r="151" spans="2:14" ht="13.15">
      <c r="B151" s="947" t="s">
        <v>375</v>
      </c>
      <c r="C151" s="927">
        <v>-12209680000</v>
      </c>
      <c r="D151" s="927">
        <v>134624516000</v>
      </c>
      <c r="E151" s="927">
        <v>34211348000</v>
      </c>
      <c r="F151" s="927">
        <v>41597510000</v>
      </c>
      <c r="G151" s="927">
        <v>-60246626000</v>
      </c>
      <c r="H151" s="927">
        <v>-55619433000</v>
      </c>
      <c r="I151" s="927">
        <v>76144053000</v>
      </c>
      <c r="J151" s="927">
        <v>67904461000</v>
      </c>
      <c r="K151" s="927">
        <v>-233991750000</v>
      </c>
      <c r="L151" s="927"/>
      <c r="M151" s="927"/>
      <c r="N151" s="927"/>
    </row>
    <row r="152" spans="2:14">
      <c r="B152" s="946"/>
      <c r="C152" s="925"/>
      <c r="D152" s="925"/>
      <c r="E152" s="925"/>
      <c r="F152" s="925"/>
      <c r="G152" s="925"/>
      <c r="H152" s="925"/>
      <c r="I152" s="925"/>
      <c r="J152" s="925"/>
      <c r="K152" s="925"/>
      <c r="L152" s="925"/>
      <c r="M152" s="925"/>
      <c r="N152" s="925"/>
    </row>
    <row r="153" spans="2:14" ht="13.15">
      <c r="B153" s="950" t="s">
        <v>376</v>
      </c>
      <c r="C153" s="948">
        <f>+C145+C147+C150</f>
        <v>81353999000</v>
      </c>
      <c r="D153" s="948">
        <f t="shared" ref="D153:K153" si="52">+D145+D147+D150</f>
        <v>102213047000</v>
      </c>
      <c r="E153" s="948">
        <f t="shared" si="52"/>
        <v>109604698000</v>
      </c>
      <c r="F153" s="948">
        <f t="shared" si="52"/>
        <v>19672356000</v>
      </c>
      <c r="G153" s="948">
        <f t="shared" si="52"/>
        <v>71607277000</v>
      </c>
      <c r="H153" s="948">
        <f t="shared" si="52"/>
        <v>125276042000</v>
      </c>
      <c r="I153" s="948">
        <f t="shared" si="52"/>
        <v>133056460000</v>
      </c>
      <c r="J153" s="948">
        <f t="shared" si="52"/>
        <v>144056015000</v>
      </c>
      <c r="K153" s="948">
        <f t="shared" si="52"/>
        <v>209451708000</v>
      </c>
      <c r="L153" s="948"/>
      <c r="M153" s="948"/>
      <c r="N153" s="948"/>
    </row>
  </sheetData>
  <conditionalFormatting sqref="C67:H73 D74:H74 C75:H110">
    <cfRule type="cellIs" dxfId="50" priority="4" operator="lessThan">
      <formula>0</formula>
    </cfRule>
  </conditionalFormatting>
  <conditionalFormatting sqref="C122:N141">
    <cfRule type="cellIs" dxfId="49" priority="2" operator="lessThan">
      <formula>0</formula>
    </cfRule>
  </conditionalFormatting>
  <conditionalFormatting sqref="C145:N153">
    <cfRule type="cellIs" dxfId="48" priority="1" operator="lessThan">
      <formula>0</formula>
    </cfRule>
  </conditionalFormatting>
  <conditionalFormatting sqref="I67:N110 C112:N118">
    <cfRule type="cellIs" dxfId="47" priority="3" operator="lessThan">
      <formula>0</formula>
    </cfRule>
  </conditionalFormatting>
  <pageMargins left="0.7" right="0.7" top="0.75" bottom="0.75" header="0.3" footer="0.3"/>
  <pageSetup paperSize="9" orientation="portrait"/>
  <legacy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A9305-451C-4F81-A6FD-449FF4D9AEDB}">
  <sheetPr codeName="Hoja4"/>
  <dimension ref="B2:N144"/>
  <sheetViews>
    <sheetView zoomScale="70" zoomScaleNormal="70" workbookViewId="0">
      <pane xSplit="2" topLeftCell="H1" activePane="topRight" state="frozen"/>
      <selection pane="topRight" activeCell="J9" sqref="J9"/>
    </sheetView>
  </sheetViews>
  <sheetFormatPr defaultColWidth="10.7109375" defaultRowHeight="14.25"/>
  <cols>
    <col min="1" max="1" width="4" customWidth="1"/>
    <col min="2" max="2" width="66.5703125" customWidth="1"/>
    <col min="3" max="3" width="34.7109375" customWidth="1"/>
    <col min="4" max="4" width="36.7109375" customWidth="1"/>
    <col min="5" max="5" width="34.42578125" customWidth="1"/>
    <col min="6" max="7" width="34.7109375" customWidth="1"/>
    <col min="8" max="8" width="34.7109375" bestFit="1" customWidth="1"/>
    <col min="9" max="9" width="32.7109375" bestFit="1" customWidth="1"/>
    <col min="10" max="10" width="40.7109375" style="414" bestFit="1" customWidth="1"/>
    <col min="11" max="14" width="28.7109375" bestFit="1" customWidth="1"/>
  </cols>
  <sheetData>
    <row r="2" spans="2:14" ht="21">
      <c r="B2" s="313">
        <f ca="1">TODAY()-1</f>
        <v>46105</v>
      </c>
      <c r="C2" s="314"/>
      <c r="D2" s="344" t="s">
        <v>265</v>
      </c>
      <c r="E2" s="345" t="s">
        <v>266</v>
      </c>
    </row>
    <row r="3" spans="2:14" ht="25.5">
      <c r="B3" s="376" cm="1">
        <f t="array" aca="1" ref="B3" ca="1">_FV(B6,"Precio")</f>
        <v>282</v>
      </c>
      <c r="C3" s="316"/>
      <c r="D3" s="346">
        <f>AVERAGE(G49:I49)</f>
        <v>9.5956666666666663</v>
      </c>
      <c r="E3" s="346">
        <f>AVERAGE(G48:I48)</f>
        <v>13.055666666666667</v>
      </c>
    </row>
    <row r="4" spans="2:14" ht="28.5">
      <c r="B4" s="319"/>
      <c r="C4" s="320"/>
      <c r="D4" s="328"/>
      <c r="E4" s="328"/>
    </row>
    <row r="6" spans="2:14" ht="33.4">
      <c r="B6" s="3" t="e" vm="50">
        <v>#VALUE!</v>
      </c>
      <c r="C6" s="3">
        <v>2017</v>
      </c>
      <c r="D6" s="3">
        <v>2018</v>
      </c>
      <c r="E6" s="3">
        <v>2019</v>
      </c>
      <c r="F6" s="3">
        <v>2020</v>
      </c>
      <c r="G6" s="3">
        <v>2021</v>
      </c>
      <c r="H6" s="3">
        <v>2022</v>
      </c>
      <c r="I6" s="3">
        <v>2023</v>
      </c>
      <c r="J6" s="459">
        <v>2024</v>
      </c>
      <c r="K6" s="3">
        <v>2025</v>
      </c>
      <c r="L6" s="3">
        <v>2026</v>
      </c>
      <c r="M6" s="3">
        <v>2027</v>
      </c>
      <c r="N6" s="3">
        <v>2028</v>
      </c>
    </row>
    <row r="7" spans="2:14" ht="25.5">
      <c r="B7" s="4" t="s">
        <v>267</v>
      </c>
      <c r="C7" s="5">
        <f>+C73</f>
        <v>9226092000</v>
      </c>
      <c r="D7" s="5">
        <f t="shared" ref="D7:I7" si="0">+D73</f>
        <v>23199921000</v>
      </c>
      <c r="E7" s="5">
        <f t="shared" si="0"/>
        <v>32536074000</v>
      </c>
      <c r="F7" s="5">
        <f t="shared" si="0"/>
        <v>148148029000</v>
      </c>
      <c r="G7" s="5">
        <f t="shared" si="0"/>
        <v>35569200000</v>
      </c>
      <c r="H7" s="5">
        <f t="shared" si="0"/>
        <v>24243791000</v>
      </c>
      <c r="I7" s="5">
        <f t="shared" si="0"/>
        <v>47977127000</v>
      </c>
      <c r="J7" s="416">
        <f t="shared" ref="J7:N7" si="1">+J73</f>
        <v>47740601000</v>
      </c>
      <c r="K7" s="387">
        <f t="shared" si="1"/>
        <v>0</v>
      </c>
      <c r="L7" s="5">
        <f t="shared" si="1"/>
        <v>0</v>
      </c>
      <c r="M7" s="5">
        <f t="shared" si="1"/>
        <v>0</v>
      </c>
      <c r="N7" s="5">
        <f t="shared" si="1"/>
        <v>0</v>
      </c>
    </row>
    <row r="8" spans="2:14" ht="25.5">
      <c r="B8" s="6" t="s">
        <v>268</v>
      </c>
      <c r="C8" s="7">
        <v>0</v>
      </c>
      <c r="D8" s="7">
        <v>0</v>
      </c>
      <c r="E8" s="7">
        <v>0</v>
      </c>
      <c r="F8" s="7">
        <v>0</v>
      </c>
      <c r="G8" s="7">
        <v>0</v>
      </c>
      <c r="H8" s="7">
        <v>0</v>
      </c>
      <c r="I8" s="7">
        <v>0</v>
      </c>
      <c r="J8" s="417">
        <v>0</v>
      </c>
      <c r="K8" s="388">
        <v>0</v>
      </c>
      <c r="L8" s="7">
        <v>0</v>
      </c>
      <c r="M8" s="7">
        <v>0</v>
      </c>
      <c r="N8" s="7">
        <v>0</v>
      </c>
    </row>
    <row r="9" spans="2:14" ht="25.5">
      <c r="B9" s="4" t="s">
        <v>269</v>
      </c>
      <c r="C9" s="5">
        <f>+C78</f>
        <v>58522988000</v>
      </c>
      <c r="D9" s="5">
        <f t="shared" ref="D9:I9" si="2">+D78</f>
        <v>58848302000</v>
      </c>
      <c r="E9" s="5">
        <f t="shared" si="2"/>
        <v>74751457000</v>
      </c>
      <c r="F9" s="5">
        <f t="shared" si="2"/>
        <v>74795712000</v>
      </c>
      <c r="G9" s="5">
        <f t="shared" si="2"/>
        <v>68266668000</v>
      </c>
      <c r="H9" s="5">
        <f t="shared" si="2"/>
        <v>81175094000</v>
      </c>
      <c r="I9" s="5">
        <f t="shared" si="2"/>
        <v>99052823000</v>
      </c>
      <c r="J9" s="416">
        <f t="shared" ref="J9:N9" si="3">+J78</f>
        <v>122184498000</v>
      </c>
      <c r="K9" s="387">
        <f t="shared" si="3"/>
        <v>0</v>
      </c>
      <c r="L9" s="5">
        <f t="shared" si="3"/>
        <v>0</v>
      </c>
      <c r="M9" s="5">
        <f t="shared" si="3"/>
        <v>0</v>
      </c>
      <c r="N9" s="5">
        <f t="shared" si="3"/>
        <v>0</v>
      </c>
    </row>
    <row r="10" spans="2:14" ht="25.5">
      <c r="B10" s="6" t="s">
        <v>270</v>
      </c>
      <c r="C10" s="115">
        <f>+C79</f>
        <v>43900683000</v>
      </c>
      <c r="D10" s="115">
        <f t="shared" ref="D10:I10" si="4">+D79</f>
        <v>44799521000</v>
      </c>
      <c r="E10" s="115">
        <f t="shared" si="4"/>
        <v>59055962000</v>
      </c>
      <c r="F10" s="115">
        <f t="shared" si="4"/>
        <v>57199608000</v>
      </c>
      <c r="G10" s="115">
        <f t="shared" si="4"/>
        <v>50430125000</v>
      </c>
      <c r="H10" s="115">
        <f t="shared" si="4"/>
        <v>62376748000</v>
      </c>
      <c r="I10" s="115">
        <f t="shared" si="4"/>
        <v>81387595000</v>
      </c>
      <c r="J10" s="476">
        <f t="shared" ref="J10:N10" si="5">+J79</f>
        <v>104935961000</v>
      </c>
      <c r="K10" s="471">
        <f t="shared" si="5"/>
        <v>0</v>
      </c>
      <c r="L10" s="115">
        <f t="shared" si="5"/>
        <v>0</v>
      </c>
      <c r="M10" s="115">
        <f t="shared" si="5"/>
        <v>0</v>
      </c>
      <c r="N10" s="115">
        <f t="shared" si="5"/>
        <v>0</v>
      </c>
    </row>
    <row r="11" spans="2:14" ht="25.5">
      <c r="B11" s="6" t="s">
        <v>271</v>
      </c>
      <c r="C11" s="115">
        <f>+C82</f>
        <v>8565448000</v>
      </c>
      <c r="D11" s="115">
        <f t="shared" ref="D11:I11" si="6">+D82</f>
        <v>8993022000</v>
      </c>
      <c r="E11" s="115">
        <f t="shared" si="6"/>
        <v>8899129000</v>
      </c>
      <c r="F11" s="115">
        <f t="shared" si="6"/>
        <v>8776406000</v>
      </c>
      <c r="G11" s="115">
        <f t="shared" si="6"/>
        <v>8675209000</v>
      </c>
      <c r="H11" s="115">
        <f t="shared" si="6"/>
        <v>8896700000</v>
      </c>
      <c r="I11" s="115">
        <f t="shared" si="6"/>
        <v>9293664000</v>
      </c>
      <c r="J11" s="476">
        <f t="shared" ref="J11:N11" si="7">+J82</f>
        <v>8880593000</v>
      </c>
      <c r="K11" s="471">
        <f t="shared" si="7"/>
        <v>0</v>
      </c>
      <c r="L11" s="115">
        <f t="shared" si="7"/>
        <v>0</v>
      </c>
      <c r="M11" s="115">
        <f t="shared" si="7"/>
        <v>0</v>
      </c>
      <c r="N11" s="115">
        <f t="shared" si="7"/>
        <v>0</v>
      </c>
    </row>
    <row r="12" spans="2:14" ht="25.5">
      <c r="B12" s="8" t="s">
        <v>272</v>
      </c>
      <c r="C12" s="9">
        <f>+C7+C9</f>
        <v>67749080000</v>
      </c>
      <c r="D12" s="9">
        <f t="shared" ref="D12:I12" si="8">+D7+D9</f>
        <v>82048223000</v>
      </c>
      <c r="E12" s="9">
        <f t="shared" si="8"/>
        <v>107287531000</v>
      </c>
      <c r="F12" s="9">
        <f t="shared" si="8"/>
        <v>222943741000</v>
      </c>
      <c r="G12" s="9">
        <f t="shared" si="8"/>
        <v>103835868000</v>
      </c>
      <c r="H12" s="9">
        <f t="shared" si="8"/>
        <v>105418885000</v>
      </c>
      <c r="I12" s="9">
        <f t="shared" si="8"/>
        <v>147029950000</v>
      </c>
      <c r="J12" s="418">
        <f t="shared" ref="J12:N12" si="9">+J7+J9</f>
        <v>169925099000</v>
      </c>
      <c r="K12" s="389">
        <f t="shared" si="9"/>
        <v>0</v>
      </c>
      <c r="L12" s="9">
        <f t="shared" si="9"/>
        <v>0</v>
      </c>
      <c r="M12" s="9">
        <f t="shared" si="9"/>
        <v>0</v>
      </c>
      <c r="N12" s="9">
        <f t="shared" si="9"/>
        <v>0</v>
      </c>
    </row>
    <row r="13" spans="2:14" ht="25.5">
      <c r="B13" s="10" t="s">
        <v>273</v>
      </c>
      <c r="C13" s="11">
        <f>+C88</f>
        <v>8810435000</v>
      </c>
      <c r="D13" s="11">
        <f t="shared" ref="D13:I13" si="10">+D88</f>
        <v>22472435000</v>
      </c>
      <c r="E13" s="11">
        <f t="shared" si="10"/>
        <v>30418725000</v>
      </c>
      <c r="F13" s="11">
        <f t="shared" si="10"/>
        <v>136963943000</v>
      </c>
      <c r="G13" s="11">
        <f t="shared" si="10"/>
        <v>17581619000</v>
      </c>
      <c r="H13" s="11">
        <f t="shared" si="10"/>
        <v>21329757000</v>
      </c>
      <c r="I13" s="11">
        <f t="shared" si="10"/>
        <v>35950057000</v>
      </c>
      <c r="J13" s="419">
        <f t="shared" ref="J13:N13" si="11">+J88</f>
        <v>37850899000</v>
      </c>
      <c r="K13" s="390">
        <f t="shared" si="11"/>
        <v>0</v>
      </c>
      <c r="L13" s="11">
        <f t="shared" si="11"/>
        <v>0</v>
      </c>
      <c r="M13" s="11">
        <f t="shared" si="11"/>
        <v>0</v>
      </c>
      <c r="N13" s="11">
        <f t="shared" si="11"/>
        <v>0</v>
      </c>
    </row>
    <row r="14" spans="2:14" ht="25.5">
      <c r="B14" s="10" t="s">
        <v>274</v>
      </c>
      <c r="C14" s="11">
        <f>+C96</f>
        <v>19071497000</v>
      </c>
      <c r="D14" s="11">
        <f t="shared" ref="D14:I14" si="12">+D96</f>
        <v>12516088000</v>
      </c>
      <c r="E14" s="11">
        <f t="shared" si="12"/>
        <v>9969502000</v>
      </c>
      <c r="F14" s="11">
        <f t="shared" si="12"/>
        <v>10809253000</v>
      </c>
      <c r="G14" s="11">
        <f t="shared" si="12"/>
        <v>9533308000</v>
      </c>
      <c r="H14" s="11">
        <f t="shared" si="12"/>
        <v>9479078000</v>
      </c>
      <c r="I14" s="11">
        <f t="shared" si="12"/>
        <v>7630295000</v>
      </c>
      <c r="J14" s="419">
        <f t="shared" ref="J14:N14" si="13">+J96</f>
        <v>10133899000</v>
      </c>
      <c r="K14" s="390">
        <f t="shared" si="13"/>
        <v>0</v>
      </c>
      <c r="L14" s="11">
        <f t="shared" si="13"/>
        <v>0</v>
      </c>
      <c r="M14" s="11">
        <f t="shared" si="13"/>
        <v>0</v>
      </c>
      <c r="N14" s="11">
        <f t="shared" si="13"/>
        <v>0</v>
      </c>
    </row>
    <row r="15" spans="2:14" ht="25.5">
      <c r="B15" s="12" t="s">
        <v>275</v>
      </c>
      <c r="C15" s="13">
        <f>+C103</f>
        <v>27881932000</v>
      </c>
      <c r="D15" s="13">
        <f t="shared" ref="D15:I15" si="14">+D103</f>
        <v>34988523000</v>
      </c>
      <c r="E15" s="13">
        <f t="shared" si="14"/>
        <v>40388227000</v>
      </c>
      <c r="F15" s="13">
        <f t="shared" si="14"/>
        <v>147773196000</v>
      </c>
      <c r="G15" s="13">
        <f t="shared" si="14"/>
        <v>27114927000</v>
      </c>
      <c r="H15" s="13">
        <f t="shared" si="14"/>
        <v>30808835000</v>
      </c>
      <c r="I15" s="13">
        <f t="shared" si="14"/>
        <v>43580352000</v>
      </c>
      <c r="J15" s="420">
        <f t="shared" ref="J15:N15" si="15">+J103</f>
        <v>47984798000</v>
      </c>
      <c r="K15" s="391">
        <f t="shared" si="15"/>
        <v>0</v>
      </c>
      <c r="L15" s="13">
        <f t="shared" si="15"/>
        <v>0</v>
      </c>
      <c r="M15" s="13">
        <f t="shared" si="15"/>
        <v>0</v>
      </c>
      <c r="N15" s="13">
        <f t="shared" si="15"/>
        <v>0</v>
      </c>
    </row>
    <row r="16" spans="2:14" ht="25.5">
      <c r="B16" s="14" t="s">
        <v>276</v>
      </c>
      <c r="C16" s="15">
        <f>+C109</f>
        <v>39867148000</v>
      </c>
      <c r="D16" s="15">
        <f t="shared" ref="D16:I16" si="16">+D109</f>
        <v>47359700000</v>
      </c>
      <c r="E16" s="15">
        <f t="shared" si="16"/>
        <v>66899304000</v>
      </c>
      <c r="F16" s="15">
        <f t="shared" si="16"/>
        <v>75170545000</v>
      </c>
      <c r="G16" s="15">
        <f t="shared" si="16"/>
        <v>76720941000</v>
      </c>
      <c r="H16" s="15">
        <f t="shared" si="16"/>
        <v>74610050000</v>
      </c>
      <c r="I16" s="15">
        <f t="shared" si="16"/>
        <v>103449598000</v>
      </c>
      <c r="J16" s="421">
        <f t="shared" ref="J16:N16" si="17">+J109</f>
        <v>121940301000</v>
      </c>
      <c r="K16" s="392">
        <f t="shared" si="17"/>
        <v>0</v>
      </c>
      <c r="L16" s="15">
        <f t="shared" si="17"/>
        <v>0</v>
      </c>
      <c r="M16" s="15">
        <f t="shared" si="17"/>
        <v>0</v>
      </c>
      <c r="N16" s="15">
        <f t="shared" si="17"/>
        <v>0</v>
      </c>
    </row>
    <row r="17" spans="2:14" ht="25.5">
      <c r="B17" s="16" t="s">
        <v>277</v>
      </c>
      <c r="C17" s="17">
        <f>+C16-C11</f>
        <v>31301700000</v>
      </c>
      <c r="D17" s="17">
        <f t="shared" ref="D17:H17" si="18">+D16-D11</f>
        <v>38366678000</v>
      </c>
      <c r="E17" s="17">
        <f t="shared" si="18"/>
        <v>58000175000</v>
      </c>
      <c r="F17" s="17">
        <f t="shared" si="18"/>
        <v>66394139000</v>
      </c>
      <c r="G17" s="17">
        <f t="shared" si="18"/>
        <v>68045732000</v>
      </c>
      <c r="H17" s="17">
        <f t="shared" si="18"/>
        <v>65713350000</v>
      </c>
      <c r="I17" s="17">
        <f t="shared" ref="I17:J17" si="19">+I16-I11</f>
        <v>94155934000</v>
      </c>
      <c r="J17" s="422">
        <f t="shared" si="19"/>
        <v>113059708000</v>
      </c>
      <c r="K17" s="393">
        <f t="shared" ref="K17:N17" si="20">+K16-K11</f>
        <v>0</v>
      </c>
      <c r="L17" s="17">
        <f t="shared" si="20"/>
        <v>0</v>
      </c>
      <c r="M17" s="17">
        <f t="shared" si="20"/>
        <v>0</v>
      </c>
      <c r="N17" s="17">
        <f t="shared" si="20"/>
        <v>0</v>
      </c>
    </row>
    <row r="18" spans="2:14" ht="25.5">
      <c r="B18" s="79" t="s">
        <v>278</v>
      </c>
      <c r="C18" s="80">
        <v>2036690512</v>
      </c>
      <c r="D18" s="80">
        <v>2036690512</v>
      </c>
      <c r="E18" s="80">
        <v>2036690512</v>
      </c>
      <c r="F18" s="80">
        <v>2036690512</v>
      </c>
      <c r="G18" s="80">
        <v>2036690512</v>
      </c>
      <c r="H18" s="80">
        <v>2036690512</v>
      </c>
      <c r="I18" s="80">
        <v>2036690512</v>
      </c>
      <c r="J18" s="423">
        <v>2036690512</v>
      </c>
      <c r="K18" s="394"/>
      <c r="L18" s="80"/>
      <c r="M18" s="80"/>
      <c r="N18" s="80"/>
    </row>
    <row r="20" spans="2:14" ht="25.5">
      <c r="B20" s="18" t="s">
        <v>279</v>
      </c>
      <c r="C20" s="19">
        <f t="shared" ref="C20:I20" si="21">(C16/C18)</f>
        <v>19.574475240644713</v>
      </c>
      <c r="D20" s="19">
        <f t="shared" si="21"/>
        <v>23.253262938556862</v>
      </c>
      <c r="E20" s="19">
        <f t="shared" si="21"/>
        <v>32.84706419843134</v>
      </c>
      <c r="F20" s="19">
        <f t="shared" si="21"/>
        <v>36.908182444559841</v>
      </c>
      <c r="G20" s="19">
        <f t="shared" si="21"/>
        <v>37.6694154305561</v>
      </c>
      <c r="H20" s="19">
        <f t="shared" si="21"/>
        <v>36.632983538934461</v>
      </c>
      <c r="I20" s="19">
        <f t="shared" si="21"/>
        <v>50.792988620747302</v>
      </c>
      <c r="J20" s="424">
        <f t="shared" ref="J20:N20" si="22">(J16/J18)</f>
        <v>59.871787235978445</v>
      </c>
      <c r="K20" s="19" t="e">
        <f t="shared" si="22"/>
        <v>#DIV/0!</v>
      </c>
      <c r="L20" s="19" t="e">
        <f t="shared" si="22"/>
        <v>#DIV/0!</v>
      </c>
      <c r="M20" s="19" t="e">
        <f t="shared" si="22"/>
        <v>#DIV/0!</v>
      </c>
      <c r="N20" s="19" t="e">
        <f t="shared" si="22"/>
        <v>#DIV/0!</v>
      </c>
    </row>
    <row r="21" spans="2:14" ht="25.5">
      <c r="B21" s="20" t="s">
        <v>280</v>
      </c>
      <c r="C21" s="21">
        <f t="shared" ref="C21:I21" si="23">+C17/C18</f>
        <v>15.368903530297391</v>
      </c>
      <c r="D21" s="21">
        <f t="shared" si="23"/>
        <v>18.837755551934343</v>
      </c>
      <c r="E21" s="21">
        <f t="shared" si="23"/>
        <v>28.477657581389078</v>
      </c>
      <c r="F21" s="21">
        <f t="shared" si="23"/>
        <v>32.599031914182156</v>
      </c>
      <c r="G21" s="21">
        <f t="shared" si="23"/>
        <v>33.409951879817072</v>
      </c>
      <c r="H21" s="21">
        <f t="shared" si="23"/>
        <v>32.264769542953516</v>
      </c>
      <c r="I21" s="21">
        <f t="shared" si="23"/>
        <v>46.229868232429808</v>
      </c>
      <c r="J21" s="425">
        <f t="shared" ref="J21:N21" si="24">+J17/J18</f>
        <v>55.511481658043877</v>
      </c>
      <c r="K21" s="21" t="e">
        <f t="shared" si="24"/>
        <v>#DIV/0!</v>
      </c>
      <c r="L21" s="21" t="e">
        <f t="shared" si="24"/>
        <v>#DIV/0!</v>
      </c>
      <c r="M21" s="21" t="e">
        <f t="shared" si="24"/>
        <v>#DIV/0!</v>
      </c>
      <c r="N21" s="21" t="e">
        <f t="shared" si="24"/>
        <v>#DIV/0!</v>
      </c>
    </row>
    <row r="22" spans="2:14" ht="25.5">
      <c r="B22" s="20" t="s">
        <v>281</v>
      </c>
      <c r="C22" s="21">
        <f t="shared" ref="C22:I22" si="25">+C10/C18</f>
        <v>21.554911137132063</v>
      </c>
      <c r="D22" s="21">
        <f t="shared" si="25"/>
        <v>21.996233957022529</v>
      </c>
      <c r="E22" s="21">
        <f t="shared" si="25"/>
        <v>28.996041201177846</v>
      </c>
      <c r="F22" s="21">
        <f t="shared" si="25"/>
        <v>28.084585096746402</v>
      </c>
      <c r="G22" s="21">
        <f t="shared" si="25"/>
        <v>24.760818937816115</v>
      </c>
      <c r="H22" s="21">
        <f t="shared" si="25"/>
        <v>30.62652260246794</v>
      </c>
      <c r="I22" s="21">
        <f t="shared" si="25"/>
        <v>39.960708080325169</v>
      </c>
      <c r="J22" s="425">
        <f t="shared" ref="J22:N22" si="26">+J10/J18</f>
        <v>51.522781876640863</v>
      </c>
      <c r="K22" s="21" t="e">
        <f t="shared" si="26"/>
        <v>#DIV/0!</v>
      </c>
      <c r="L22" s="21" t="e">
        <f t="shared" si="26"/>
        <v>#DIV/0!</v>
      </c>
      <c r="M22" s="21" t="e">
        <f t="shared" si="26"/>
        <v>#DIV/0!</v>
      </c>
      <c r="N22" s="21" t="e">
        <f t="shared" si="26"/>
        <v>#DIV/0!</v>
      </c>
    </row>
    <row r="23" spans="2:14" ht="25.5">
      <c r="B23" s="76" t="s">
        <v>282</v>
      </c>
      <c r="C23" s="77">
        <v>9</v>
      </c>
      <c r="D23" s="77">
        <v>20.38</v>
      </c>
      <c r="E23" s="77">
        <v>71.099999999999994</v>
      </c>
      <c r="F23" s="77">
        <v>58.1</v>
      </c>
      <c r="G23" s="77">
        <v>50</v>
      </c>
      <c r="H23" s="77">
        <v>32.54</v>
      </c>
      <c r="I23" s="77">
        <v>91</v>
      </c>
      <c r="J23" s="426">
        <v>164.18</v>
      </c>
      <c r="K23" s="77"/>
      <c r="L23" s="77"/>
      <c r="M23" s="77"/>
      <c r="N23" s="77"/>
    </row>
    <row r="24" spans="2:14" ht="25.5">
      <c r="B24" s="18" t="s">
        <v>283</v>
      </c>
      <c r="C24" s="22">
        <f>+C23/C44</f>
        <v>7.5</v>
      </c>
      <c r="D24" s="22">
        <f t="shared" ref="D24:I24" si="27">+D23/D44</f>
        <v>3.8452830188679243</v>
      </c>
      <c r="E24" s="22">
        <f t="shared" si="27"/>
        <v>5.2279411764705879</v>
      </c>
      <c r="F24" s="22">
        <f t="shared" si="27"/>
        <v>5.4299065420560755</v>
      </c>
      <c r="G24" s="22">
        <f t="shared" si="27"/>
        <v>3.9682539682539684</v>
      </c>
      <c r="H24" s="22">
        <f t="shared" si="27"/>
        <v>1.7977900552486186</v>
      </c>
      <c r="I24" s="22">
        <f t="shared" si="27"/>
        <v>3.8396624472573841</v>
      </c>
      <c r="J24" s="427">
        <f>+J23/J44</f>
        <v>6.2904214559386968</v>
      </c>
      <c r="K24" s="22" t="e">
        <f t="shared" ref="K24:N24" si="28">+K23/K44</f>
        <v>#DIV/0!</v>
      </c>
      <c r="L24" s="22" t="e">
        <f t="shared" si="28"/>
        <v>#DIV/0!</v>
      </c>
      <c r="M24" s="22" t="e">
        <f t="shared" si="28"/>
        <v>#DIV/0!</v>
      </c>
      <c r="N24" s="22" t="e">
        <f t="shared" si="28"/>
        <v>#DIV/0!</v>
      </c>
    </row>
    <row r="25" spans="2:14" ht="25.5">
      <c r="B25" s="18" t="s">
        <v>301</v>
      </c>
      <c r="C25" s="22">
        <f t="shared" ref="C25:I25" si="29">+C23/C20</f>
        <v>0.45978244062003126</v>
      </c>
      <c r="D25" s="22">
        <f t="shared" si="29"/>
        <v>0.87643613947216725</v>
      </c>
      <c r="E25" s="22">
        <f t="shared" si="29"/>
        <v>2.1645770096980379</v>
      </c>
      <c r="F25" s="22">
        <f t="shared" si="29"/>
        <v>1.5741766771439534</v>
      </c>
      <c r="G25" s="22">
        <f>+G23/G20</f>
        <v>1.3273367645477654</v>
      </c>
      <c r="H25" s="22">
        <f t="shared" si="29"/>
        <v>0.88827053809077994</v>
      </c>
      <c r="I25" s="22">
        <f t="shared" si="29"/>
        <v>1.7915858560610356</v>
      </c>
      <c r="J25" s="427">
        <f t="shared" ref="J25:N25" si="30">+J23/J20</f>
        <v>2.7421930692147463</v>
      </c>
      <c r="K25" s="22" t="e">
        <f t="shared" si="30"/>
        <v>#DIV/0!</v>
      </c>
      <c r="L25" s="22" t="e">
        <f t="shared" si="30"/>
        <v>#DIV/0!</v>
      </c>
      <c r="M25" s="22" t="e">
        <f t="shared" si="30"/>
        <v>#DIV/0!</v>
      </c>
      <c r="N25" s="22" t="e">
        <f t="shared" si="30"/>
        <v>#DIV/0!</v>
      </c>
    </row>
    <row r="26" spans="2:14" ht="25.5">
      <c r="B26" s="18" t="s">
        <v>285</v>
      </c>
      <c r="C26" s="22">
        <f>+C24*C25</f>
        <v>3.4483683046502343</v>
      </c>
      <c r="D26" s="22">
        <f t="shared" ref="D26:I26" si="31">+D24*D25</f>
        <v>3.3701450042344843</v>
      </c>
      <c r="E26" s="22">
        <f t="shared" si="31"/>
        <v>11.316281278641947</v>
      </c>
      <c r="F26" s="22">
        <f t="shared" si="31"/>
        <v>8.5476322375760478</v>
      </c>
      <c r="G26" s="22">
        <f t="shared" si="31"/>
        <v>5.2672093831260529</v>
      </c>
      <c r="H26" s="22">
        <f t="shared" si="31"/>
        <v>1.5969239397499435</v>
      </c>
      <c r="I26" s="22">
        <f t="shared" si="31"/>
        <v>6.8790849325550312</v>
      </c>
      <c r="J26" s="427">
        <f t="shared" ref="J26:N26" si="32">+J24*J25</f>
        <v>17.249550118914829</v>
      </c>
      <c r="K26" s="22" t="e">
        <f t="shared" si="32"/>
        <v>#DIV/0!</v>
      </c>
      <c r="L26" s="22" t="e">
        <f t="shared" si="32"/>
        <v>#DIV/0!</v>
      </c>
      <c r="M26" s="22" t="e">
        <f t="shared" si="32"/>
        <v>#DIV/0!</v>
      </c>
      <c r="N26" s="22" t="e">
        <f t="shared" si="32"/>
        <v>#DIV/0!</v>
      </c>
    </row>
    <row r="27" spans="2:14" ht="25.5">
      <c r="B27" s="23" t="s">
        <v>286</v>
      </c>
      <c r="C27" s="24">
        <v>2</v>
      </c>
      <c r="D27" s="24">
        <v>2</v>
      </c>
      <c r="E27" s="24">
        <v>2</v>
      </c>
      <c r="F27" s="24">
        <v>2</v>
      </c>
      <c r="G27" s="24">
        <v>2</v>
      </c>
      <c r="H27" s="24">
        <v>2</v>
      </c>
      <c r="I27" s="24">
        <v>2</v>
      </c>
      <c r="J27" s="428">
        <v>2</v>
      </c>
      <c r="K27" s="24"/>
      <c r="L27" s="24"/>
      <c r="M27" s="24"/>
      <c r="N27" s="24"/>
    </row>
    <row r="28" spans="2:14" ht="25.5">
      <c r="B28" s="23" t="s">
        <v>287</v>
      </c>
      <c r="C28" s="24">
        <v>2.5</v>
      </c>
      <c r="D28" s="24">
        <v>2.5</v>
      </c>
      <c r="E28" s="24">
        <v>2.5</v>
      </c>
      <c r="F28" s="24">
        <v>2.5</v>
      </c>
      <c r="G28" s="24">
        <v>2.5</v>
      </c>
      <c r="H28" s="24">
        <v>2.5</v>
      </c>
      <c r="I28" s="24">
        <v>2.5</v>
      </c>
      <c r="J28" s="428">
        <v>2.5</v>
      </c>
      <c r="K28" s="24"/>
      <c r="L28" s="24"/>
      <c r="M28" s="24"/>
      <c r="N28" s="24"/>
    </row>
    <row r="29" spans="2:14" ht="25.5">
      <c r="B29" s="25" t="s">
        <v>288</v>
      </c>
      <c r="C29" s="26">
        <f>+C27*C20</f>
        <v>39.148950481289425</v>
      </c>
      <c r="D29" s="26">
        <f t="shared" ref="D29:H29" si="33">+D27*D20</f>
        <v>46.506525877113724</v>
      </c>
      <c r="E29" s="26">
        <f>+E27*E20</f>
        <v>65.694128396862681</v>
      </c>
      <c r="F29" s="26">
        <f t="shared" si="33"/>
        <v>73.816364889119683</v>
      </c>
      <c r="G29" s="26">
        <f t="shared" si="33"/>
        <v>75.3388308611122</v>
      </c>
      <c r="H29" s="26">
        <f t="shared" si="33"/>
        <v>73.265967077868922</v>
      </c>
      <c r="I29" s="26">
        <f t="shared" ref="I29:J29" si="34">+I27*I20</f>
        <v>101.5859772414946</v>
      </c>
      <c r="J29" s="429">
        <f t="shared" si="34"/>
        <v>119.74357447195689</v>
      </c>
      <c r="K29" s="26" t="e">
        <f t="shared" ref="K29:N29" si="35">+K27*K20</f>
        <v>#DIV/0!</v>
      </c>
      <c r="L29" s="26" t="e">
        <f t="shared" si="35"/>
        <v>#DIV/0!</v>
      </c>
      <c r="M29" s="26" t="e">
        <f t="shared" si="35"/>
        <v>#DIV/0!</v>
      </c>
      <c r="N29" s="26" t="e">
        <f t="shared" si="35"/>
        <v>#DIV/0!</v>
      </c>
    </row>
    <row r="30" spans="2:14" ht="25.5">
      <c r="B30" s="25" t="s">
        <v>289</v>
      </c>
      <c r="C30" s="26">
        <f>AVERAGE(C29,C31)</f>
        <v>44.042569291450604</v>
      </c>
      <c r="D30" s="26">
        <f t="shared" ref="D30:H30" si="36">AVERAGE(D29,D31)</f>
        <v>52.319841611752935</v>
      </c>
      <c r="E30" s="26">
        <f t="shared" si="36"/>
        <v>73.905894446470512</v>
      </c>
      <c r="F30" s="26">
        <f t="shared" si="36"/>
        <v>83.04341050025964</v>
      </c>
      <c r="G30" s="26">
        <f t="shared" si="36"/>
        <v>84.756184718751229</v>
      </c>
      <c r="H30" s="26">
        <f t="shared" si="36"/>
        <v>82.424212962602539</v>
      </c>
      <c r="I30" s="26">
        <f t="shared" ref="I30:J30" si="37">AVERAGE(I29,I31)</f>
        <v>114.28422439668142</v>
      </c>
      <c r="J30" s="429">
        <f t="shared" si="37"/>
        <v>134.7115212809515</v>
      </c>
      <c r="K30" s="26" t="e">
        <f t="shared" ref="K30:N30" si="38">AVERAGE(K29,K31)</f>
        <v>#DIV/0!</v>
      </c>
      <c r="L30" s="26" t="e">
        <f t="shared" si="38"/>
        <v>#DIV/0!</v>
      </c>
      <c r="M30" s="26" t="e">
        <f t="shared" si="38"/>
        <v>#DIV/0!</v>
      </c>
      <c r="N30" s="26" t="e">
        <f t="shared" si="38"/>
        <v>#DIV/0!</v>
      </c>
    </row>
    <row r="31" spans="2:14" ht="25.5">
      <c r="B31" s="25" t="s">
        <v>290</v>
      </c>
      <c r="C31" s="26">
        <f>+C20*C28</f>
        <v>48.936188101611783</v>
      </c>
      <c r="D31" s="26">
        <f t="shared" ref="D31:H31" si="39">+D20*D28</f>
        <v>58.133157346392153</v>
      </c>
      <c r="E31" s="26">
        <f t="shared" si="39"/>
        <v>82.117660496078344</v>
      </c>
      <c r="F31" s="26">
        <f t="shared" si="39"/>
        <v>92.270456111399596</v>
      </c>
      <c r="G31" s="26">
        <f t="shared" si="39"/>
        <v>94.173538576390257</v>
      </c>
      <c r="H31" s="26">
        <f t="shared" si="39"/>
        <v>91.582458847336156</v>
      </c>
      <c r="I31" s="26">
        <f t="shared" ref="I31:J31" si="40">+I20*I28</f>
        <v>126.98247155186826</v>
      </c>
      <c r="J31" s="429">
        <f t="shared" si="40"/>
        <v>149.67946808994611</v>
      </c>
      <c r="K31" s="26" t="e">
        <f t="shared" ref="K31:N31" si="41">+K20*K28</f>
        <v>#DIV/0!</v>
      </c>
      <c r="L31" s="26" t="e">
        <f t="shared" si="41"/>
        <v>#DIV/0!</v>
      </c>
      <c r="M31" s="26" t="e">
        <f t="shared" si="41"/>
        <v>#DIV/0!</v>
      </c>
      <c r="N31" s="26" t="e">
        <f t="shared" si="41"/>
        <v>#DIV/0!</v>
      </c>
    </row>
    <row r="33" spans="2:14" ht="25.5">
      <c r="B33" s="27" t="s">
        <v>291</v>
      </c>
      <c r="C33" s="28">
        <f t="shared" ref="C33:I33" si="42">C7-C13</f>
        <v>415657000</v>
      </c>
      <c r="D33" s="28">
        <f t="shared" si="42"/>
        <v>727486000</v>
      </c>
      <c r="E33" s="28">
        <f t="shared" si="42"/>
        <v>2117349000</v>
      </c>
      <c r="F33" s="28">
        <f t="shared" si="42"/>
        <v>11184086000</v>
      </c>
      <c r="G33" s="28">
        <f t="shared" si="42"/>
        <v>17987581000</v>
      </c>
      <c r="H33" s="28">
        <f t="shared" si="42"/>
        <v>2914034000</v>
      </c>
      <c r="I33" s="28">
        <f t="shared" si="42"/>
        <v>12027070000</v>
      </c>
      <c r="J33" s="461">
        <f t="shared" ref="J33:N33" si="43">J7-J13</f>
        <v>9889702000</v>
      </c>
      <c r="K33" s="453">
        <f t="shared" si="43"/>
        <v>0</v>
      </c>
      <c r="L33" s="28">
        <f t="shared" si="43"/>
        <v>0</v>
      </c>
      <c r="M33" s="28">
        <f t="shared" si="43"/>
        <v>0</v>
      </c>
      <c r="N33" s="28">
        <f t="shared" si="43"/>
        <v>0</v>
      </c>
    </row>
    <row r="34" spans="2:14" ht="25.5">
      <c r="B34" s="30" t="s">
        <v>149</v>
      </c>
      <c r="C34" s="31">
        <f t="shared" ref="C34:I34" si="44">C7/C13</f>
        <v>1.0471778067711752</v>
      </c>
      <c r="D34" s="31">
        <f t="shared" si="44"/>
        <v>1.0323723708623476</v>
      </c>
      <c r="E34" s="31">
        <f t="shared" si="44"/>
        <v>1.0696067635970936</v>
      </c>
      <c r="F34" s="31">
        <f t="shared" si="44"/>
        <v>1.0816571555624681</v>
      </c>
      <c r="G34" s="31">
        <f t="shared" si="44"/>
        <v>2.0230901374896133</v>
      </c>
      <c r="H34" s="98">
        <f t="shared" si="44"/>
        <v>1.1366182465182326</v>
      </c>
      <c r="I34" s="98">
        <f t="shared" si="44"/>
        <v>1.3345494000190319</v>
      </c>
      <c r="J34" s="462">
        <f t="shared" ref="J34:N34" si="45">J7/J13</f>
        <v>1.2612805048567011</v>
      </c>
      <c r="K34" s="454" t="e">
        <f t="shared" si="45"/>
        <v>#DIV/0!</v>
      </c>
      <c r="L34" s="98" t="e">
        <f t="shared" si="45"/>
        <v>#DIV/0!</v>
      </c>
      <c r="M34" s="98" t="e">
        <f t="shared" si="45"/>
        <v>#DIV/0!</v>
      </c>
      <c r="N34" s="98" t="e">
        <f t="shared" si="45"/>
        <v>#DIV/0!</v>
      </c>
    </row>
    <row r="35" spans="2:14" ht="25.5">
      <c r="B35" s="30" t="s">
        <v>292</v>
      </c>
      <c r="C35" s="31">
        <f>+(C7-C8)/C13</f>
        <v>1.0471778067711752</v>
      </c>
      <c r="D35" s="31">
        <f t="shared" ref="D35:H35" si="46">+(D7-D8)/D13</f>
        <v>1.0323723708623476</v>
      </c>
      <c r="E35" s="31">
        <f t="shared" si="46"/>
        <v>1.0696067635970936</v>
      </c>
      <c r="F35" s="31">
        <f t="shared" si="46"/>
        <v>1.0816571555624681</v>
      </c>
      <c r="G35" s="31">
        <f t="shared" si="46"/>
        <v>2.0230901374896133</v>
      </c>
      <c r="H35" s="31">
        <f t="shared" si="46"/>
        <v>1.1366182465182326</v>
      </c>
      <c r="I35" s="31">
        <f t="shared" ref="I35:J35" si="47">+(I7-I8)/I13</f>
        <v>1.3345494000190319</v>
      </c>
      <c r="J35" s="431">
        <f t="shared" si="47"/>
        <v>1.2612805048567011</v>
      </c>
      <c r="K35" s="396" t="e">
        <f t="shared" ref="K35:N35" si="48">+(K7-K8)/K13</f>
        <v>#DIV/0!</v>
      </c>
      <c r="L35" s="31" t="e">
        <f t="shared" si="48"/>
        <v>#DIV/0!</v>
      </c>
      <c r="M35" s="31" t="e">
        <f t="shared" si="48"/>
        <v>#DIV/0!</v>
      </c>
      <c r="N35" s="31" t="e">
        <f t="shared" si="48"/>
        <v>#DIV/0!</v>
      </c>
    </row>
    <row r="36" spans="2:14" ht="25.5">
      <c r="B36" s="32" t="s">
        <v>153</v>
      </c>
      <c r="C36" s="33">
        <f t="shared" ref="C36:I36" si="49">C15/C12</f>
        <v>0.41154702026950035</v>
      </c>
      <c r="D36" s="33">
        <f t="shared" si="49"/>
        <v>0.42643852262345766</v>
      </c>
      <c r="E36" s="33">
        <f t="shared" si="49"/>
        <v>0.37644847097842155</v>
      </c>
      <c r="F36" s="33">
        <f t="shared" si="49"/>
        <v>0.6628272914824731</v>
      </c>
      <c r="G36" s="33">
        <f t="shared" si="49"/>
        <v>0.26113256933528983</v>
      </c>
      <c r="H36" s="33">
        <f t="shared" si="49"/>
        <v>0.29225157333052804</v>
      </c>
      <c r="I36" s="33">
        <f t="shared" si="49"/>
        <v>0.29640458967713723</v>
      </c>
      <c r="J36" s="432">
        <f t="shared" ref="J36:N36" si="50">J15/J12</f>
        <v>0.28238793611060364</v>
      </c>
      <c r="K36" s="397" t="e">
        <f t="shared" si="50"/>
        <v>#DIV/0!</v>
      </c>
      <c r="L36" s="33" t="e">
        <f t="shared" si="50"/>
        <v>#DIV/0!</v>
      </c>
      <c r="M36" s="33" t="e">
        <f t="shared" si="50"/>
        <v>#DIV/0!</v>
      </c>
      <c r="N36" s="33" t="e">
        <f t="shared" si="50"/>
        <v>#DIV/0!</v>
      </c>
    </row>
    <row r="39" spans="2:14" ht="25.5">
      <c r="B39" s="35" t="s">
        <v>293</v>
      </c>
      <c r="C39" s="36">
        <f>+C113+C114</f>
        <v>22134156000</v>
      </c>
      <c r="D39" s="36">
        <f t="shared" ref="D39:I39" si="51">+D113+D114</f>
        <v>38709158000</v>
      </c>
      <c r="E39" s="36">
        <f t="shared" si="51"/>
        <v>74156180000</v>
      </c>
      <c r="F39" s="36">
        <f t="shared" si="51"/>
        <v>68940291000</v>
      </c>
      <c r="G39" s="36">
        <f t="shared" si="51"/>
        <v>79151610000</v>
      </c>
      <c r="H39" s="36">
        <f t="shared" si="51"/>
        <v>95757868000</v>
      </c>
      <c r="I39" s="36">
        <f t="shared" si="51"/>
        <v>113712601000</v>
      </c>
      <c r="J39" s="434">
        <f t="shared" ref="J39:N39" si="52">+J113+J114</f>
        <v>127893191000</v>
      </c>
      <c r="K39" s="398">
        <f t="shared" si="52"/>
        <v>0</v>
      </c>
      <c r="L39" s="36">
        <f t="shared" si="52"/>
        <v>0</v>
      </c>
      <c r="M39" s="36">
        <f t="shared" si="52"/>
        <v>0</v>
      </c>
      <c r="N39" s="36">
        <f t="shared" si="52"/>
        <v>0</v>
      </c>
    </row>
    <row r="40" spans="2:14" ht="25.5">
      <c r="B40" s="39" t="s">
        <v>181</v>
      </c>
      <c r="C40" s="40">
        <f>+C113+C114+C115+C116+C119</f>
        <v>3678532000</v>
      </c>
      <c r="D40" s="40">
        <f t="shared" ref="D40:I40" si="53">+D113+D114+D115+D116+D119</f>
        <v>14498260000</v>
      </c>
      <c r="E40" s="40">
        <f t="shared" si="53"/>
        <v>37636544000</v>
      </c>
      <c r="F40" s="40">
        <f t="shared" si="53"/>
        <v>30156516000</v>
      </c>
      <c r="G40" s="40">
        <f t="shared" si="53"/>
        <v>34591501000</v>
      </c>
      <c r="H40" s="40">
        <f t="shared" si="53"/>
        <v>47414842000</v>
      </c>
      <c r="I40" s="40">
        <f t="shared" si="53"/>
        <v>59405510000</v>
      </c>
      <c r="J40" s="435">
        <f t="shared" ref="J40:N40" si="54">+J113+J114+J115+J116+J119</f>
        <v>119988440000</v>
      </c>
      <c r="K40" s="399">
        <f t="shared" si="54"/>
        <v>0</v>
      </c>
      <c r="L40" s="40">
        <f t="shared" si="54"/>
        <v>0</v>
      </c>
      <c r="M40" s="40">
        <f t="shared" si="54"/>
        <v>0</v>
      </c>
      <c r="N40" s="40">
        <f t="shared" si="54"/>
        <v>0</v>
      </c>
    </row>
    <row r="41" spans="2:14" ht="25.5">
      <c r="B41" s="35" t="s">
        <v>294</v>
      </c>
      <c r="C41" s="41">
        <f>C40/C39</f>
        <v>0.16619255778264144</v>
      </c>
      <c r="D41" s="41">
        <f t="shared" ref="D41:I41" si="55">D40/D39</f>
        <v>0.37454340908164419</v>
      </c>
      <c r="E41" s="41">
        <f t="shared" si="55"/>
        <v>0.50753078165568943</v>
      </c>
      <c r="F41" s="41">
        <f t="shared" si="55"/>
        <v>0.43742948517580232</v>
      </c>
      <c r="G41" s="41">
        <f t="shared" si="55"/>
        <v>0.43702839398971166</v>
      </c>
      <c r="H41" s="41">
        <f t="shared" si="55"/>
        <v>0.49515348441132795</v>
      </c>
      <c r="I41" s="41">
        <f t="shared" si="55"/>
        <v>0.52241800361245805</v>
      </c>
      <c r="J41" s="436">
        <f t="shared" ref="J41:N41" si="56">J40/J39</f>
        <v>0.93819255788214717</v>
      </c>
      <c r="K41" s="400" t="e">
        <f t="shared" si="56"/>
        <v>#DIV/0!</v>
      </c>
      <c r="L41" s="41" t="e">
        <f t="shared" si="56"/>
        <v>#DIV/0!</v>
      </c>
      <c r="M41" s="41" t="e">
        <f t="shared" si="56"/>
        <v>#DIV/0!</v>
      </c>
      <c r="N41" s="41" t="e">
        <f t="shared" si="56"/>
        <v>#DIV/0!</v>
      </c>
    </row>
    <row r="42" spans="2:14" ht="25.5">
      <c r="B42" s="43" t="s">
        <v>295</v>
      </c>
      <c r="C42" s="44">
        <f>+C131</f>
        <v>2403287000</v>
      </c>
      <c r="D42" s="44">
        <f t="shared" ref="D42:I42" si="57">+D131</f>
        <v>10703646000</v>
      </c>
      <c r="E42" s="44">
        <f t="shared" si="57"/>
        <v>27746874000</v>
      </c>
      <c r="F42" s="44">
        <f t="shared" si="57"/>
        <v>21888191000</v>
      </c>
      <c r="G42" s="44">
        <f t="shared" si="57"/>
        <v>25685781000</v>
      </c>
      <c r="H42" s="44">
        <f t="shared" si="57"/>
        <v>36923989000</v>
      </c>
      <c r="I42" s="44">
        <f t="shared" si="57"/>
        <v>48226925000</v>
      </c>
      <c r="J42" s="437">
        <f t="shared" ref="J42:N42" si="58">+J131</f>
        <v>53179503000</v>
      </c>
      <c r="K42" s="401">
        <f t="shared" si="58"/>
        <v>0</v>
      </c>
      <c r="L42" s="44">
        <f t="shared" si="58"/>
        <v>0</v>
      </c>
      <c r="M42" s="44">
        <f t="shared" si="58"/>
        <v>0</v>
      </c>
      <c r="N42" s="44">
        <f t="shared" si="58"/>
        <v>0</v>
      </c>
    </row>
    <row r="43" spans="2:14" ht="25.5">
      <c r="B43" s="30" t="s">
        <v>296</v>
      </c>
      <c r="C43" s="45">
        <f>C42/C39</f>
        <v>0.10857820826780112</v>
      </c>
      <c r="D43" s="45">
        <f t="shared" ref="D43:I43" si="59">D42/D39</f>
        <v>0.27651456536460961</v>
      </c>
      <c r="E43" s="45">
        <f t="shared" si="59"/>
        <v>0.37416805989736796</v>
      </c>
      <c r="F43" s="45">
        <f t="shared" si="59"/>
        <v>0.31749490294434646</v>
      </c>
      <c r="G43" s="45">
        <f t="shared" si="59"/>
        <v>0.32451368961414684</v>
      </c>
      <c r="H43" s="45">
        <f t="shared" si="59"/>
        <v>0.38559744249945083</v>
      </c>
      <c r="I43" s="45">
        <f t="shared" si="59"/>
        <v>0.42411240773570907</v>
      </c>
      <c r="J43" s="438">
        <f t="shared" ref="J43:N43" si="60">J42/J39</f>
        <v>0.41581183942779254</v>
      </c>
      <c r="K43" s="402" t="e">
        <f t="shared" si="60"/>
        <v>#DIV/0!</v>
      </c>
      <c r="L43" s="45" t="e">
        <f t="shared" si="60"/>
        <v>#DIV/0!</v>
      </c>
      <c r="M43" s="45" t="e">
        <f t="shared" si="60"/>
        <v>#DIV/0!</v>
      </c>
      <c r="N43" s="45" t="e">
        <f t="shared" si="60"/>
        <v>#DIV/0!</v>
      </c>
    </row>
    <row r="44" spans="2:14" ht="25.5">
      <c r="B44" s="46" t="s">
        <v>159</v>
      </c>
      <c r="C44" s="116">
        <f>+C132</f>
        <v>1.2</v>
      </c>
      <c r="D44" s="116">
        <f t="shared" ref="D44:I44" si="61">+D132</f>
        <v>5.3</v>
      </c>
      <c r="E44" s="116">
        <f t="shared" si="61"/>
        <v>13.6</v>
      </c>
      <c r="F44" s="116">
        <f t="shared" si="61"/>
        <v>10.7</v>
      </c>
      <c r="G44" s="116">
        <f t="shared" si="61"/>
        <v>12.6</v>
      </c>
      <c r="H44" s="116">
        <f>+H132</f>
        <v>18.100000000000001</v>
      </c>
      <c r="I44" s="116">
        <f t="shared" si="61"/>
        <v>23.7</v>
      </c>
      <c r="J44" s="477">
        <f t="shared" ref="J44:N44" si="62">+J132</f>
        <v>26.1</v>
      </c>
      <c r="K44" s="472">
        <f t="shared" si="62"/>
        <v>0</v>
      </c>
      <c r="L44" s="116">
        <f t="shared" si="62"/>
        <v>0</v>
      </c>
      <c r="M44" s="116">
        <f t="shared" si="62"/>
        <v>0</v>
      </c>
      <c r="N44" s="116">
        <f t="shared" si="62"/>
        <v>0</v>
      </c>
    </row>
    <row r="45" spans="2:14" ht="25.5">
      <c r="B45" s="48" t="s">
        <v>160</v>
      </c>
      <c r="C45" s="49">
        <f t="shared" ref="C45:I45" si="63">C42/C16</f>
        <v>6.0282390904912483E-2</v>
      </c>
      <c r="D45" s="49">
        <f t="shared" si="63"/>
        <v>0.22600747048651068</v>
      </c>
      <c r="E45" s="49">
        <f t="shared" si="63"/>
        <v>0.41475579476880658</v>
      </c>
      <c r="F45" s="49">
        <f t="shared" si="63"/>
        <v>0.29118042179952269</v>
      </c>
      <c r="G45" s="49">
        <f t="shared" si="63"/>
        <v>0.33479491603211697</v>
      </c>
      <c r="H45" s="49">
        <f t="shared" si="63"/>
        <v>0.49489296683221629</v>
      </c>
      <c r="I45" s="49">
        <f t="shared" si="63"/>
        <v>0.46618765014437274</v>
      </c>
      <c r="J45" s="440">
        <f t="shared" ref="J45:N45" si="64">J42/J16</f>
        <v>0.43611097040017965</v>
      </c>
      <c r="K45" s="404" t="e">
        <f t="shared" si="64"/>
        <v>#DIV/0!</v>
      </c>
      <c r="L45" s="49" t="e">
        <f t="shared" si="64"/>
        <v>#DIV/0!</v>
      </c>
      <c r="M45" s="49" t="e">
        <f t="shared" si="64"/>
        <v>#DIV/0!</v>
      </c>
      <c r="N45" s="49" t="e">
        <f t="shared" si="64"/>
        <v>#DIV/0!</v>
      </c>
    </row>
    <row r="46" spans="2:14" ht="25.5">
      <c r="B46" s="48" t="s">
        <v>302</v>
      </c>
      <c r="C46" s="49">
        <f>AVERAGE(G45:I45)</f>
        <v>0.431958511002902</v>
      </c>
      <c r="D46" s="49"/>
      <c r="E46" s="49"/>
      <c r="F46" s="49"/>
      <c r="G46" s="49"/>
      <c r="H46" s="49"/>
      <c r="I46" s="49"/>
      <c r="J46" s="440"/>
      <c r="K46" s="404"/>
      <c r="L46" s="49"/>
      <c r="M46" s="49"/>
      <c r="N46" s="49"/>
    </row>
    <row r="47" spans="2:14" ht="25.5">
      <c r="B47" s="48" t="s">
        <v>298</v>
      </c>
      <c r="C47" s="50">
        <f>+C144</f>
        <v>176890000</v>
      </c>
      <c r="D47" s="50">
        <f t="shared" ref="D47:I47" si="65">+D144</f>
        <v>12687928000</v>
      </c>
      <c r="E47" s="50">
        <f t="shared" si="65"/>
        <v>28602102000</v>
      </c>
      <c r="F47" s="50">
        <f t="shared" si="65"/>
        <v>135212513000</v>
      </c>
      <c r="G47" s="50">
        <f t="shared" si="65"/>
        <v>-98212281000</v>
      </c>
      <c r="H47" s="50">
        <f t="shared" si="65"/>
        <v>32055641000</v>
      </c>
      <c r="I47" s="50">
        <f t="shared" si="65"/>
        <v>48756718000</v>
      </c>
      <c r="J47" s="441">
        <f t="shared" ref="J47:N47" si="66">+J144</f>
        <v>44008676000</v>
      </c>
      <c r="K47" s="405">
        <f t="shared" si="66"/>
        <v>0</v>
      </c>
      <c r="L47" s="50">
        <f t="shared" si="66"/>
        <v>0</v>
      </c>
      <c r="M47" s="50">
        <f t="shared" si="66"/>
        <v>0</v>
      </c>
      <c r="N47" s="50">
        <f t="shared" si="66"/>
        <v>0</v>
      </c>
    </row>
    <row r="48" spans="2:14" ht="25.5">
      <c r="B48" s="51" t="s">
        <v>111</v>
      </c>
      <c r="C48" s="51">
        <f>SUM(C50:C53)</f>
        <v>9.4E-2</v>
      </c>
      <c r="D48" s="51">
        <f t="shared" ref="D48:F48" si="67">SUM(D50:D53)</f>
        <v>0.35399999999999998</v>
      </c>
      <c r="E48" s="51">
        <f t="shared" si="67"/>
        <v>1.577</v>
      </c>
      <c r="F48" s="51">
        <f t="shared" si="67"/>
        <v>10.716000000000001</v>
      </c>
      <c r="G48" s="51">
        <f t="shared" ref="G48:N48" si="68">SUM(G50:G53)</f>
        <v>12.002000000000001</v>
      </c>
      <c r="H48" s="51">
        <f>SUM(H50:H53)</f>
        <v>18.507999999999999</v>
      </c>
      <c r="I48" s="51">
        <f t="shared" si="68"/>
        <v>8.657</v>
      </c>
      <c r="J48" s="51">
        <f t="shared" si="68"/>
        <v>18.564</v>
      </c>
      <c r="K48" s="51">
        <f t="shared" si="68"/>
        <v>0</v>
      </c>
      <c r="L48" s="51">
        <f t="shared" si="68"/>
        <v>0</v>
      </c>
      <c r="M48" s="51">
        <f t="shared" si="68"/>
        <v>0</v>
      </c>
      <c r="N48" s="51">
        <f t="shared" si="68"/>
        <v>0</v>
      </c>
    </row>
    <row r="49" spans="2:14" ht="25.5">
      <c r="B49" s="51" t="s">
        <v>112</v>
      </c>
      <c r="C49" s="51">
        <f>SUM(C50:C52)</f>
        <v>9.4E-2</v>
      </c>
      <c r="D49" s="51">
        <f t="shared" ref="D49:N49" si="69">SUM(D50:D52)</f>
        <v>0.35399999999999998</v>
      </c>
      <c r="E49" s="51">
        <f t="shared" si="69"/>
        <v>1.577</v>
      </c>
      <c r="F49" s="51">
        <f t="shared" si="69"/>
        <v>10.716000000000001</v>
      </c>
      <c r="G49" s="51">
        <f t="shared" si="69"/>
        <v>7.5140000000000002</v>
      </c>
      <c r="H49" s="51">
        <f t="shared" si="69"/>
        <v>12.616</v>
      </c>
      <c r="I49" s="51">
        <f t="shared" si="69"/>
        <v>8.657</v>
      </c>
      <c r="J49" s="51">
        <f t="shared" si="69"/>
        <v>18.564</v>
      </c>
      <c r="K49" s="51">
        <f t="shared" si="69"/>
        <v>0</v>
      </c>
      <c r="L49" s="51">
        <f t="shared" si="69"/>
        <v>0</v>
      </c>
      <c r="M49" s="51">
        <f t="shared" si="69"/>
        <v>0</v>
      </c>
      <c r="N49" s="51">
        <f t="shared" si="69"/>
        <v>0</v>
      </c>
    </row>
    <row r="50" spans="2:14" ht="18">
      <c r="B50" s="135" t="s">
        <v>114</v>
      </c>
      <c r="C50" s="94">
        <v>9.4E-2</v>
      </c>
      <c r="D50" s="94">
        <v>0.35399999999999998</v>
      </c>
      <c r="E50" s="94">
        <v>1.577</v>
      </c>
      <c r="F50" s="94">
        <v>4.0869999999999997</v>
      </c>
      <c r="G50" s="94">
        <v>0.12</v>
      </c>
      <c r="H50" s="94">
        <v>0.192</v>
      </c>
      <c r="I50" s="94">
        <v>0.97699999999999998</v>
      </c>
      <c r="J50" s="443">
        <v>1.923</v>
      </c>
      <c r="K50" s="407"/>
      <c r="L50" s="94"/>
      <c r="M50" s="94"/>
      <c r="N50" s="94"/>
    </row>
    <row r="51" spans="2:14" ht="18">
      <c r="B51" s="135" t="s">
        <v>115</v>
      </c>
      <c r="C51" s="94"/>
      <c r="D51" s="94"/>
      <c r="E51" s="94"/>
      <c r="F51" s="94">
        <v>3.105</v>
      </c>
      <c r="G51" s="94">
        <v>3.5910000000000002</v>
      </c>
      <c r="H51" s="94">
        <v>4.4619999999999997</v>
      </c>
      <c r="I51" s="94">
        <v>5.181</v>
      </c>
      <c r="J51" s="443">
        <v>7.2130000000000001</v>
      </c>
      <c r="K51" s="407"/>
      <c r="L51" s="94"/>
      <c r="M51" s="94"/>
      <c r="N51" s="94"/>
    </row>
    <row r="52" spans="2:14" ht="18">
      <c r="B52" s="135" t="s">
        <v>116</v>
      </c>
      <c r="C52" s="94"/>
      <c r="D52" s="94"/>
      <c r="E52" s="94"/>
      <c r="F52" s="94">
        <v>3.524</v>
      </c>
      <c r="G52" s="94">
        <v>3.8029999999999999</v>
      </c>
      <c r="H52" s="94">
        <v>7.9619999999999997</v>
      </c>
      <c r="I52" s="94">
        <v>2.4990000000000001</v>
      </c>
      <c r="J52" s="443">
        <v>9.4280000000000008</v>
      </c>
      <c r="K52" s="407"/>
      <c r="L52" s="94"/>
      <c r="M52" s="94"/>
      <c r="N52" s="94"/>
    </row>
    <row r="53" spans="2:14" ht="18">
      <c r="B53" s="135" t="s">
        <v>117</v>
      </c>
      <c r="C53" s="94"/>
      <c r="D53" s="94"/>
      <c r="E53" s="94"/>
      <c r="F53" s="94"/>
      <c r="G53" s="94">
        <v>4.4880000000000004</v>
      </c>
      <c r="H53" s="94">
        <v>5.8920000000000003</v>
      </c>
      <c r="I53" s="94"/>
      <c r="J53" s="443"/>
      <c r="K53" s="407"/>
      <c r="L53" s="94"/>
      <c r="M53" s="94"/>
      <c r="N53" s="94"/>
    </row>
    <row r="54" spans="2:14" ht="25.5">
      <c r="B54" s="51" t="s">
        <v>119</v>
      </c>
      <c r="C54" s="51">
        <f>SUM(C56:C59)</f>
        <v>0.35399999999999998</v>
      </c>
      <c r="D54" s="51">
        <f t="shared" ref="D54:N54" si="70">SUM(D56:D59)</f>
        <v>1.577</v>
      </c>
      <c r="E54" s="51">
        <f t="shared" si="70"/>
        <v>4.0869999999999997</v>
      </c>
      <c r="F54" s="51">
        <f t="shared" si="70"/>
        <v>10.552</v>
      </c>
      <c r="G54" s="51">
        <f t="shared" si="70"/>
        <v>16.233000000000001</v>
      </c>
      <c r="H54" s="51">
        <f t="shared" si="70"/>
        <v>13.830000000000002</v>
      </c>
      <c r="I54" s="51">
        <f t="shared" si="70"/>
        <v>16.532</v>
      </c>
      <c r="J54" s="51">
        <f t="shared" si="70"/>
        <v>7.2130000000000001</v>
      </c>
      <c r="K54" s="51">
        <f t="shared" si="70"/>
        <v>0</v>
      </c>
      <c r="L54" s="51">
        <f t="shared" si="70"/>
        <v>0</v>
      </c>
      <c r="M54" s="51">
        <f t="shared" si="70"/>
        <v>0</v>
      </c>
      <c r="N54" s="51">
        <f t="shared" si="70"/>
        <v>0</v>
      </c>
    </row>
    <row r="55" spans="2:14" ht="25.5">
      <c r="B55" s="51" t="s">
        <v>120</v>
      </c>
      <c r="C55" s="51">
        <f>+C56+C57+C58</f>
        <v>0.35399999999999998</v>
      </c>
      <c r="D55" s="51">
        <f t="shared" ref="D55:N55" si="71">+D56+D57+D58</f>
        <v>1.577</v>
      </c>
      <c r="E55" s="51">
        <f t="shared" si="71"/>
        <v>4.0869999999999997</v>
      </c>
      <c r="F55" s="51">
        <f t="shared" si="71"/>
        <v>10.552</v>
      </c>
      <c r="G55" s="51">
        <f t="shared" si="71"/>
        <v>11.745000000000001</v>
      </c>
      <c r="H55" s="51">
        <f t="shared" si="71"/>
        <v>7.9380000000000006</v>
      </c>
      <c r="I55" s="51">
        <f t="shared" si="71"/>
        <v>16.532</v>
      </c>
      <c r="J55" s="51">
        <f t="shared" si="71"/>
        <v>7.2130000000000001</v>
      </c>
      <c r="K55" s="51">
        <f t="shared" si="71"/>
        <v>0</v>
      </c>
      <c r="L55" s="51">
        <f t="shared" si="71"/>
        <v>0</v>
      </c>
      <c r="M55" s="51">
        <f t="shared" si="71"/>
        <v>0</v>
      </c>
      <c r="N55" s="51">
        <f t="shared" si="71"/>
        <v>0</v>
      </c>
    </row>
    <row r="56" spans="2:14" ht="18">
      <c r="B56" s="135" t="s">
        <v>121</v>
      </c>
      <c r="C56" s="94">
        <v>0.35399999999999998</v>
      </c>
      <c r="D56" s="94">
        <v>1.577</v>
      </c>
      <c r="E56" s="94">
        <v>4.0869999999999997</v>
      </c>
      <c r="F56" s="94">
        <v>0.12</v>
      </c>
      <c r="G56" s="94">
        <v>0.192</v>
      </c>
      <c r="H56" s="789">
        <v>0.97699999999999998</v>
      </c>
      <c r="I56" s="94">
        <v>1.923</v>
      </c>
      <c r="J56" s="443"/>
      <c r="K56" s="407"/>
      <c r="L56" s="94"/>
      <c r="M56" s="94"/>
      <c r="N56" s="94"/>
    </row>
    <row r="57" spans="2:14" ht="18">
      <c r="B57" s="135" t="s">
        <v>122</v>
      </c>
      <c r="C57" s="94"/>
      <c r="D57" s="94"/>
      <c r="E57" s="94"/>
      <c r="F57" s="789">
        <v>3.105</v>
      </c>
      <c r="G57" s="94">
        <v>3.5910000000000002</v>
      </c>
      <c r="H57" s="94">
        <v>4.4619999999999997</v>
      </c>
      <c r="I57" s="94">
        <v>5.181</v>
      </c>
      <c r="J57" s="443">
        <v>7.2130000000000001</v>
      </c>
      <c r="K57" s="407"/>
      <c r="L57" s="94"/>
      <c r="M57" s="94"/>
      <c r="N57" s="94"/>
    </row>
    <row r="58" spans="2:14" ht="18">
      <c r="B58" s="135" t="s">
        <v>123</v>
      </c>
      <c r="C58" s="94"/>
      <c r="D58" s="94"/>
      <c r="E58" s="94"/>
      <c r="F58" s="94">
        <f>3.524+3.803</f>
        <v>7.327</v>
      </c>
      <c r="G58" s="94">
        <v>7.9619999999999997</v>
      </c>
      <c r="H58" s="94">
        <v>2.4990000000000001</v>
      </c>
      <c r="I58" s="94">
        <v>9.4280000000000008</v>
      </c>
      <c r="J58" s="443"/>
      <c r="K58" s="407"/>
      <c r="L58" s="94"/>
      <c r="M58" s="94"/>
      <c r="N58" s="94"/>
    </row>
    <row r="59" spans="2:14" ht="18">
      <c r="B59" s="135" t="s">
        <v>124</v>
      </c>
      <c r="C59" s="94"/>
      <c r="D59" s="94"/>
      <c r="E59" s="94"/>
      <c r="F59" s="94"/>
      <c r="G59" s="94">
        <v>4.4880000000000004</v>
      </c>
      <c r="H59" s="94">
        <v>5.8920000000000003</v>
      </c>
      <c r="I59" s="94"/>
      <c r="J59" s="443"/>
      <c r="K59" s="407"/>
      <c r="L59" s="94"/>
      <c r="M59" s="94"/>
      <c r="N59" s="94"/>
    </row>
    <row r="60" spans="2:14" ht="28.5">
      <c r="B60" s="30" t="s">
        <v>167</v>
      </c>
      <c r="C60" s="539">
        <f>(C56+C57+C58)/C44</f>
        <v>0.29499999999999998</v>
      </c>
      <c r="D60" s="539">
        <f>(D56+D57+D58)/D44</f>
        <v>0.29754716981132073</v>
      </c>
      <c r="E60" s="539">
        <f t="shared" ref="E60:J60" si="72">(E56+E57+E58)/E44</f>
        <v>0.30051470588235291</v>
      </c>
      <c r="F60" s="539">
        <f t="shared" si="72"/>
        <v>0.98616822429906548</v>
      </c>
      <c r="G60" s="539">
        <f t="shared" si="72"/>
        <v>0.93214285714285727</v>
      </c>
      <c r="H60" s="539">
        <f>(H56+H57+H58)/H44</f>
        <v>0.43856353591160219</v>
      </c>
      <c r="I60" s="539">
        <f t="shared" si="72"/>
        <v>0.69755274261603373</v>
      </c>
      <c r="J60" s="539">
        <f t="shared" si="72"/>
        <v>0.27636015325670499</v>
      </c>
      <c r="K60" s="539" t="e">
        <f t="shared" ref="K60:N60" si="73">(K56+K57+K58)/K44</f>
        <v>#DIV/0!</v>
      </c>
      <c r="L60" s="539" t="e">
        <f t="shared" si="73"/>
        <v>#DIV/0!</v>
      </c>
      <c r="M60" s="539" t="e">
        <f t="shared" si="73"/>
        <v>#DIV/0!</v>
      </c>
      <c r="N60" s="539" t="e">
        <f t="shared" si="73"/>
        <v>#DIV/0!</v>
      </c>
    </row>
    <row r="61" spans="2:14" ht="28.5">
      <c r="B61" s="537" t="s">
        <v>303</v>
      </c>
      <c r="C61" s="54">
        <f>AVERAGE(H60:J60)</f>
        <v>0.47082547726144702</v>
      </c>
      <c r="D61" s="54"/>
      <c r="E61" s="54"/>
      <c r="F61" s="54"/>
      <c r="G61" s="54"/>
      <c r="H61" s="54"/>
      <c r="I61" s="54"/>
      <c r="J61" s="533"/>
      <c r="K61" s="533"/>
      <c r="L61" s="533"/>
      <c r="M61" s="533"/>
      <c r="N61" s="533"/>
    </row>
    <row r="62" spans="2:14" ht="25.5">
      <c r="B62" s="30" t="s">
        <v>304</v>
      </c>
      <c r="C62" s="45" t="e">
        <f>+C48/B24</f>
        <v>#VALUE!</v>
      </c>
      <c r="D62" s="45">
        <f>+D48/D23</f>
        <v>1.7369970559371933E-2</v>
      </c>
      <c r="E62" s="45">
        <f t="shared" ref="E62:J62" si="74">+E48/E23</f>
        <v>2.2180028129395218E-2</v>
      </c>
      <c r="F62" s="45">
        <f t="shared" si="74"/>
        <v>0.18444061962134253</v>
      </c>
      <c r="G62" s="45">
        <f t="shared" si="74"/>
        <v>0.24004</v>
      </c>
      <c r="H62" s="45">
        <f t="shared" si="74"/>
        <v>0.56877688998156117</v>
      </c>
      <c r="I62" s="45">
        <f t="shared" si="74"/>
        <v>9.5131868131868136E-2</v>
      </c>
      <c r="J62" s="45">
        <f t="shared" si="74"/>
        <v>0.1130710196126203</v>
      </c>
      <c r="K62" s="832" t="e">
        <f t="shared" ref="K62:N62" si="75">+K48/K24</f>
        <v>#DIV/0!</v>
      </c>
      <c r="L62" s="832" t="e">
        <f t="shared" si="75"/>
        <v>#DIV/0!</v>
      </c>
      <c r="M62" s="832" t="e">
        <f t="shared" si="75"/>
        <v>#DIV/0!</v>
      </c>
      <c r="N62" s="832" t="e">
        <f t="shared" si="75"/>
        <v>#DIV/0!</v>
      </c>
    </row>
    <row r="63" spans="2:14" ht="25.5">
      <c r="B63" s="55" t="s">
        <v>305</v>
      </c>
      <c r="C63" s="534">
        <f>AVERAGE(H62:J62)</f>
        <v>0.25899325924201655</v>
      </c>
      <c r="D63" s="534"/>
      <c r="E63" s="534"/>
      <c r="F63" s="534"/>
      <c r="G63" s="534"/>
      <c r="H63" s="534"/>
      <c r="I63" s="534"/>
      <c r="J63" s="534"/>
      <c r="K63" s="534"/>
      <c r="L63" s="534"/>
      <c r="M63" s="534"/>
      <c r="N63" s="534"/>
    </row>
    <row r="64" spans="2:14" ht="25.5">
      <c r="B64" s="354" t="s">
        <v>176</v>
      </c>
      <c r="C64" s="355">
        <f t="shared" ref="C64:J64" si="76">+C45*(100%-C60)</f>
        <v>4.2499085587963302E-2</v>
      </c>
      <c r="D64" s="355">
        <f t="shared" si="76"/>
        <v>0.15875958728703382</v>
      </c>
      <c r="E64" s="355">
        <f t="shared" si="76"/>
        <v>0.29011557909085711</v>
      </c>
      <c r="F64" s="355">
        <f t="shared" si="76"/>
        <v>4.0275422828345035E-3</v>
      </c>
      <c r="G64" s="355">
        <f t="shared" si="76"/>
        <v>2.2718226445036467E-2</v>
      </c>
      <c r="H64" s="355">
        <f t="shared" si="76"/>
        <v>0.2778509574004962</v>
      </c>
      <c r="I64" s="355">
        <f t="shared" si="76"/>
        <v>0.14099717621244154</v>
      </c>
      <c r="J64" s="444">
        <f t="shared" si="76"/>
        <v>0.31558727578345563</v>
      </c>
      <c r="K64" s="355" t="e">
        <f>+K45*(100%-K60)</f>
        <v>#DIV/0!</v>
      </c>
      <c r="L64" s="355" t="e">
        <f>+L45*(100%-L60)</f>
        <v>#DIV/0!</v>
      </c>
      <c r="M64" s="355" t="e">
        <f>+M45*(100%-M60)</f>
        <v>#DIV/0!</v>
      </c>
      <c r="N64" s="355" t="e">
        <f>+N45*(100%-N60)</f>
        <v>#DIV/0!</v>
      </c>
    </row>
    <row r="65" spans="2:14" ht="25.5">
      <c r="B65" s="55" t="s">
        <v>306</v>
      </c>
      <c r="C65" s="534">
        <f>AVERAGE(H64:J64)</f>
        <v>0.24481180313213113</v>
      </c>
      <c r="D65" s="534"/>
      <c r="E65" s="534"/>
      <c r="F65" s="534"/>
      <c r="G65" s="534"/>
      <c r="H65" s="534"/>
      <c r="I65" s="534"/>
      <c r="J65" s="535"/>
      <c r="K65" s="534"/>
      <c r="L65" s="534"/>
      <c r="M65" s="534"/>
      <c r="N65" s="534"/>
    </row>
    <row r="66" spans="2:14" ht="25.5">
      <c r="B66" s="543" t="s">
        <v>300</v>
      </c>
      <c r="C66" s="785">
        <f ca="1">B3</f>
        <v>282</v>
      </c>
    </row>
    <row r="67" spans="2:14" ht="25.5">
      <c r="B67" s="55"/>
      <c r="C67" s="534"/>
      <c r="D67" s="534"/>
      <c r="E67" s="534"/>
      <c r="F67" s="534"/>
      <c r="G67" s="534"/>
      <c r="H67" s="534"/>
      <c r="I67" s="534"/>
      <c r="J67" s="535"/>
      <c r="K67" s="534"/>
      <c r="L67" s="534"/>
      <c r="M67" s="534"/>
      <c r="N67" s="534"/>
    </row>
    <row r="69" spans="2:14">
      <c r="B69" s="75" t="s">
        <v>307</v>
      </c>
    </row>
    <row r="70" spans="2:14" ht="14.65" thickBot="1"/>
    <row r="71" spans="2:14" ht="14.65" thickBot="1">
      <c r="B71" s="82" t="s">
        <v>308</v>
      </c>
      <c r="C71" s="88">
        <v>2017</v>
      </c>
      <c r="D71" s="88">
        <v>2018</v>
      </c>
      <c r="E71" s="88">
        <v>2019</v>
      </c>
      <c r="F71" s="88">
        <v>2020</v>
      </c>
      <c r="G71" s="88">
        <v>2021</v>
      </c>
      <c r="H71" s="88">
        <v>2022</v>
      </c>
      <c r="I71" s="88">
        <v>2023</v>
      </c>
      <c r="J71" s="89">
        <v>2024</v>
      </c>
      <c r="K71" s="103">
        <v>2025</v>
      </c>
      <c r="L71" s="88">
        <v>2026</v>
      </c>
      <c r="M71" s="88">
        <v>2027</v>
      </c>
      <c r="N71" s="88">
        <v>2028</v>
      </c>
    </row>
    <row r="72" spans="2:14">
      <c r="B72" s="57" t="s">
        <v>309</v>
      </c>
      <c r="C72" s="62"/>
      <c r="D72" s="62"/>
      <c r="E72" s="62"/>
      <c r="F72" s="62"/>
      <c r="G72" s="62"/>
      <c r="H72" s="62"/>
      <c r="I72" s="62"/>
      <c r="J72" s="63"/>
      <c r="K72" s="104"/>
      <c r="L72" s="62"/>
      <c r="M72" s="62"/>
      <c r="N72" s="62"/>
    </row>
    <row r="73" spans="2:14">
      <c r="B73" s="58" t="s">
        <v>310</v>
      </c>
      <c r="C73" s="64">
        <v>9226092000</v>
      </c>
      <c r="D73" s="64">
        <v>23199921000</v>
      </c>
      <c r="E73" s="64">
        <v>32536074000</v>
      </c>
      <c r="F73" s="64">
        <v>148148029000</v>
      </c>
      <c r="G73" s="64">
        <v>35569200000</v>
      </c>
      <c r="H73" s="64">
        <v>24243791000</v>
      </c>
      <c r="I73" s="64">
        <v>47977127000</v>
      </c>
      <c r="J73" s="65">
        <v>47740601000</v>
      </c>
      <c r="K73" s="196"/>
      <c r="L73" s="64"/>
      <c r="M73" s="64"/>
      <c r="N73" s="64"/>
    </row>
    <row r="74" spans="2:14">
      <c r="B74" s="59" t="s">
        <v>311</v>
      </c>
      <c r="C74" s="66">
        <v>6890908000</v>
      </c>
      <c r="D74" s="66">
        <v>19646620000</v>
      </c>
      <c r="E74" s="66">
        <v>30088143000</v>
      </c>
      <c r="F74" s="66">
        <v>144892850000</v>
      </c>
      <c r="G74" s="66">
        <v>31207370000</v>
      </c>
      <c r="H74" s="66">
        <v>16450804000</v>
      </c>
      <c r="I74" s="66">
        <v>35923148000</v>
      </c>
      <c r="J74" s="67">
        <v>29873049000</v>
      </c>
      <c r="K74" s="105"/>
      <c r="L74" s="66"/>
      <c r="M74" s="66"/>
      <c r="N74" s="66"/>
    </row>
    <row r="75" spans="2:14">
      <c r="B75" s="59" t="s">
        <v>313</v>
      </c>
      <c r="C75" s="68">
        <v>1241132000</v>
      </c>
      <c r="D75" s="66">
        <v>1536574000</v>
      </c>
      <c r="E75" s="66">
        <v>2047753000</v>
      </c>
      <c r="F75" s="66">
        <v>2445102000</v>
      </c>
      <c r="G75" s="66">
        <v>3165950000</v>
      </c>
      <c r="H75" s="66">
        <v>4644133000</v>
      </c>
      <c r="I75" s="66">
        <v>4809277000</v>
      </c>
      <c r="J75" s="67">
        <v>5319067000</v>
      </c>
      <c r="K75" s="105"/>
      <c r="L75" s="66"/>
      <c r="M75" s="66"/>
      <c r="N75" s="66"/>
    </row>
    <row r="76" spans="2:14">
      <c r="B76" s="59" t="s">
        <v>314</v>
      </c>
      <c r="C76" s="66">
        <v>156602000</v>
      </c>
      <c r="D76" s="66">
        <v>195023000</v>
      </c>
      <c r="E76" s="66">
        <v>158281000</v>
      </c>
      <c r="F76" s="66">
        <v>195185000</v>
      </c>
      <c r="G76" s="66">
        <v>197464000</v>
      </c>
      <c r="H76" s="66">
        <v>214640000</v>
      </c>
      <c r="I76" s="66">
        <v>753930000</v>
      </c>
      <c r="J76" s="67">
        <v>262700000</v>
      </c>
      <c r="K76" s="105"/>
      <c r="L76" s="66"/>
      <c r="M76" s="66"/>
      <c r="N76" s="66"/>
    </row>
    <row r="77" spans="2:14">
      <c r="B77" s="59" t="s">
        <v>318</v>
      </c>
      <c r="C77" s="66">
        <f t="shared" ref="C77:H77" si="77">+C73-C74-C75-C76</f>
        <v>937450000</v>
      </c>
      <c r="D77" s="66">
        <f t="shared" si="77"/>
        <v>1821704000</v>
      </c>
      <c r="E77" s="66">
        <f t="shared" si="77"/>
        <v>241897000</v>
      </c>
      <c r="F77" s="66">
        <f t="shared" si="77"/>
        <v>614892000</v>
      </c>
      <c r="G77" s="66">
        <f t="shared" si="77"/>
        <v>998416000</v>
      </c>
      <c r="H77" s="66">
        <f t="shared" si="77"/>
        <v>2934214000</v>
      </c>
      <c r="I77" s="66">
        <v>1236408000</v>
      </c>
      <c r="J77" s="67">
        <v>1386104000</v>
      </c>
      <c r="K77" s="105"/>
      <c r="L77" s="66"/>
      <c r="M77" s="66"/>
      <c r="N77" s="66"/>
    </row>
    <row r="78" spans="2:14">
      <c r="B78" s="58" t="s">
        <v>319</v>
      </c>
      <c r="C78" s="64">
        <v>58522988000</v>
      </c>
      <c r="D78" s="64">
        <v>58848302000</v>
      </c>
      <c r="E78" s="64">
        <v>74751457000</v>
      </c>
      <c r="F78" s="64">
        <v>74795712000</v>
      </c>
      <c r="G78" s="69">
        <v>68266668000</v>
      </c>
      <c r="H78" s="69">
        <v>81175094000</v>
      </c>
      <c r="I78" s="69">
        <v>99052823000</v>
      </c>
      <c r="J78" s="446">
        <v>122184498000</v>
      </c>
      <c r="K78" s="69"/>
      <c r="L78" s="69"/>
      <c r="M78" s="69"/>
      <c r="N78" s="69"/>
    </row>
    <row r="79" spans="2:14">
      <c r="B79" s="59" t="s">
        <v>320</v>
      </c>
      <c r="C79" s="66">
        <v>43900683000</v>
      </c>
      <c r="D79" s="66">
        <v>44799521000</v>
      </c>
      <c r="E79" s="66">
        <v>59055962000</v>
      </c>
      <c r="F79" s="66">
        <v>57199608000</v>
      </c>
      <c r="G79" s="66">
        <v>50430125000</v>
      </c>
      <c r="H79" s="66">
        <v>62376748000</v>
      </c>
      <c r="I79" s="66">
        <v>81387595000</v>
      </c>
      <c r="J79" s="67">
        <v>104935961000</v>
      </c>
      <c r="K79" s="105"/>
      <c r="L79" s="66"/>
      <c r="M79" s="66"/>
      <c r="N79" s="66"/>
    </row>
    <row r="80" spans="2:14">
      <c r="B80" s="59" t="s">
        <v>321</v>
      </c>
      <c r="C80" s="66"/>
      <c r="D80" s="66"/>
      <c r="E80" s="66"/>
      <c r="F80" s="66"/>
      <c r="G80" s="66"/>
      <c r="H80" s="66"/>
      <c r="I80" s="66"/>
      <c r="J80" s="67"/>
      <c r="K80" s="105"/>
      <c r="L80" s="66"/>
      <c r="M80" s="66"/>
      <c r="N80" s="66"/>
    </row>
    <row r="81" spans="2:14">
      <c r="B81" s="59" t="s">
        <v>322</v>
      </c>
      <c r="C81" s="66">
        <v>939556000</v>
      </c>
      <c r="D81" s="66">
        <v>888651000</v>
      </c>
      <c r="E81" s="66">
        <v>983741000</v>
      </c>
      <c r="F81" s="66">
        <v>963411000</v>
      </c>
      <c r="G81" s="66">
        <v>1043138000</v>
      </c>
      <c r="H81" s="66">
        <v>2253084000</v>
      </c>
      <c r="I81" s="66">
        <v>1899798000</v>
      </c>
      <c r="J81" s="67">
        <v>2325076000</v>
      </c>
      <c r="K81" s="105"/>
      <c r="L81" s="66"/>
      <c r="M81" s="66"/>
      <c r="N81" s="66"/>
    </row>
    <row r="82" spans="2:14">
      <c r="B82" s="59" t="s">
        <v>323</v>
      </c>
      <c r="C82" s="66">
        <v>8565448000</v>
      </c>
      <c r="D82" s="66">
        <v>8993022000</v>
      </c>
      <c r="E82" s="66">
        <v>8899129000</v>
      </c>
      <c r="F82" s="66">
        <v>8776406000</v>
      </c>
      <c r="G82" s="66">
        <v>8675209000</v>
      </c>
      <c r="H82" s="66">
        <v>8896700000</v>
      </c>
      <c r="I82" s="66">
        <v>9293664000</v>
      </c>
      <c r="J82" s="67">
        <v>8880593000</v>
      </c>
      <c r="K82" s="105"/>
      <c r="L82" s="66"/>
      <c r="M82" s="66"/>
      <c r="N82" s="66"/>
    </row>
    <row r="83" spans="2:14">
      <c r="B83" s="59" t="s">
        <v>324</v>
      </c>
      <c r="C83" s="66">
        <v>3234155000</v>
      </c>
      <c r="D83" s="66">
        <v>3449109000</v>
      </c>
      <c r="E83" s="66">
        <v>4933117000</v>
      </c>
      <c r="F83" s="66">
        <v>7204047000</v>
      </c>
      <c r="G83" s="66">
        <v>7805958000</v>
      </c>
      <c r="H83" s="66">
        <v>7359705000</v>
      </c>
      <c r="I83" s="66">
        <v>6185368000</v>
      </c>
      <c r="J83" s="67">
        <v>5751036000</v>
      </c>
      <c r="K83" s="105"/>
      <c r="L83" s="66"/>
      <c r="M83" s="66"/>
      <c r="N83" s="66"/>
    </row>
    <row r="84" spans="2:14">
      <c r="B84" s="59" t="s">
        <v>328</v>
      </c>
      <c r="C84" s="66">
        <f t="shared" ref="C84:F84" si="78">+C78-C81-C82-C83-C80-C79</f>
        <v>1883146000</v>
      </c>
      <c r="D84" s="66">
        <f t="shared" si="78"/>
        <v>717999000</v>
      </c>
      <c r="E84" s="66">
        <f t="shared" si="78"/>
        <v>879508000</v>
      </c>
      <c r="F84" s="66">
        <f t="shared" si="78"/>
        <v>652240000</v>
      </c>
      <c r="G84" s="66">
        <f>+G78-G81-G82-G83-G80-G79</f>
        <v>312238000</v>
      </c>
      <c r="H84" s="66">
        <f t="shared" ref="H84" si="79">+H78-H81-H82-H83-H80-H79</f>
        <v>288857000</v>
      </c>
      <c r="I84" s="66">
        <v>286398000</v>
      </c>
      <c r="J84" s="67">
        <v>291832000</v>
      </c>
      <c r="K84" s="105"/>
      <c r="L84" s="66"/>
      <c r="M84" s="66"/>
      <c r="N84" s="66"/>
    </row>
    <row r="85" spans="2:14" ht="14.65" thickBot="1">
      <c r="B85" s="60" t="s">
        <v>329</v>
      </c>
      <c r="C85" s="70">
        <f t="shared" ref="C85:I85" si="80">+C78+C73</f>
        <v>67749080000</v>
      </c>
      <c r="D85" s="70">
        <f t="shared" si="80"/>
        <v>82048223000</v>
      </c>
      <c r="E85" s="70">
        <f t="shared" si="80"/>
        <v>107287531000</v>
      </c>
      <c r="F85" s="70">
        <f t="shared" si="80"/>
        <v>222943741000</v>
      </c>
      <c r="G85" s="70">
        <f t="shared" si="80"/>
        <v>103835868000</v>
      </c>
      <c r="H85" s="70">
        <f t="shared" si="80"/>
        <v>105418885000</v>
      </c>
      <c r="I85" s="70">
        <f t="shared" si="80"/>
        <v>147029950000</v>
      </c>
      <c r="J85" s="71">
        <v>169925099000</v>
      </c>
      <c r="K85" s="106"/>
      <c r="L85" s="70"/>
      <c r="M85" s="70"/>
      <c r="N85" s="70"/>
    </row>
    <row r="86" spans="2:14" ht="14.65" thickBot="1">
      <c r="B86" s="61"/>
      <c r="C86" s="72"/>
      <c r="D86" s="72"/>
      <c r="E86" s="72"/>
      <c r="F86" s="72"/>
      <c r="G86" s="72"/>
      <c r="H86" s="72"/>
      <c r="I86" s="72"/>
      <c r="J86" s="73"/>
      <c r="K86" s="107"/>
      <c r="L86" s="72"/>
      <c r="M86" s="72"/>
      <c r="N86" s="72"/>
    </row>
    <row r="87" spans="2:14">
      <c r="B87" s="57" t="s">
        <v>330</v>
      </c>
      <c r="C87" s="62"/>
      <c r="D87" s="62"/>
      <c r="E87" s="62"/>
      <c r="F87" s="62"/>
      <c r="G87" s="62"/>
      <c r="H87" s="62"/>
      <c r="I87" s="62"/>
      <c r="J87" s="63"/>
      <c r="K87" s="104"/>
      <c r="L87" s="62"/>
      <c r="M87" s="62"/>
      <c r="N87" s="62"/>
    </row>
    <row r="88" spans="2:14">
      <c r="B88" s="58" t="s">
        <v>310</v>
      </c>
      <c r="C88" s="64">
        <v>8810435000</v>
      </c>
      <c r="D88" s="64">
        <v>22472435000</v>
      </c>
      <c r="E88" s="64">
        <v>30418725000</v>
      </c>
      <c r="F88" s="64">
        <v>136963943000</v>
      </c>
      <c r="G88" s="64">
        <v>17581619000</v>
      </c>
      <c r="H88" s="64">
        <v>21329757000</v>
      </c>
      <c r="I88" s="64">
        <v>35950057000</v>
      </c>
      <c r="J88" s="65">
        <v>37850899000</v>
      </c>
      <c r="K88" s="196"/>
      <c r="L88" s="64"/>
      <c r="M88" s="64"/>
      <c r="N88" s="64"/>
    </row>
    <row r="89" spans="2:14">
      <c r="B89" s="59" t="s">
        <v>331</v>
      </c>
      <c r="C89" s="117">
        <v>2564469000</v>
      </c>
      <c r="D89" s="117">
        <v>9686978000</v>
      </c>
      <c r="E89" s="117">
        <v>196173000</v>
      </c>
      <c r="F89" s="117">
        <v>210405000</v>
      </c>
      <c r="G89" s="117">
        <v>234293000</v>
      </c>
      <c r="H89" s="117">
        <v>277243000</v>
      </c>
      <c r="I89" s="117">
        <v>303421000</v>
      </c>
      <c r="J89" s="450">
        <v>0</v>
      </c>
      <c r="K89" s="451"/>
      <c r="L89" s="117"/>
      <c r="M89" s="117"/>
      <c r="N89" s="117"/>
    </row>
    <row r="90" spans="2:14">
      <c r="B90" s="59" t="s">
        <v>687</v>
      </c>
      <c r="C90" s="66">
        <f t="shared" ref="C90:G90" si="81">+C88-C91-C92-C93-C94-C95-C89</f>
        <v>68027000</v>
      </c>
      <c r="D90" s="66">
        <f t="shared" si="81"/>
        <v>0</v>
      </c>
      <c r="E90" s="66">
        <f t="shared" si="81"/>
        <v>392782000</v>
      </c>
      <c r="F90" s="66">
        <f t="shared" si="81"/>
        <v>564623000</v>
      </c>
      <c r="G90" s="66">
        <f t="shared" si="81"/>
        <v>476593000</v>
      </c>
      <c r="H90" s="66">
        <f>+H88-H91-H92-H93-H94-H95-H89</f>
        <v>534315000</v>
      </c>
      <c r="I90" s="66">
        <v>484611000</v>
      </c>
      <c r="J90" s="67">
        <v>0</v>
      </c>
      <c r="K90" s="105"/>
      <c r="L90" s="66"/>
      <c r="M90" s="66"/>
      <c r="N90" s="66"/>
    </row>
    <row r="91" spans="2:14">
      <c r="B91" s="59" t="s">
        <v>688</v>
      </c>
      <c r="C91" s="66">
        <v>3673130000</v>
      </c>
      <c r="D91" s="66">
        <v>4169866000</v>
      </c>
      <c r="E91" s="66">
        <v>6790388000</v>
      </c>
      <c r="F91" s="66">
        <v>129131099000</v>
      </c>
      <c r="G91" s="66">
        <v>8096725000</v>
      </c>
      <c r="H91" s="66">
        <v>9490003000</v>
      </c>
      <c r="I91" s="66">
        <v>18505273000</v>
      </c>
      <c r="J91" s="67">
        <v>21919140000</v>
      </c>
      <c r="K91" s="105"/>
      <c r="L91" s="66"/>
      <c r="M91" s="66"/>
      <c r="N91" s="66"/>
    </row>
    <row r="92" spans="2:14">
      <c r="B92" s="59" t="s">
        <v>689</v>
      </c>
      <c r="C92" s="66">
        <v>211118000</v>
      </c>
      <c r="D92" s="66">
        <v>161578000</v>
      </c>
      <c r="E92" s="66">
        <v>4369731000</v>
      </c>
      <c r="F92" s="66">
        <v>230640000</v>
      </c>
      <c r="G92" s="66">
        <v>230386000</v>
      </c>
      <c r="H92" s="66">
        <v>144077000</v>
      </c>
      <c r="I92" s="66">
        <v>168422000</v>
      </c>
      <c r="J92" s="67">
        <v>181790000</v>
      </c>
      <c r="K92" s="105"/>
      <c r="L92" s="66"/>
      <c r="M92" s="66"/>
      <c r="N92" s="66"/>
    </row>
    <row r="93" spans="2:14">
      <c r="B93" s="59" t="s">
        <v>334</v>
      </c>
      <c r="C93" s="66">
        <v>1966248000</v>
      </c>
      <c r="D93" s="66">
        <v>5036632000</v>
      </c>
      <c r="E93" s="66">
        <v>11540816000</v>
      </c>
      <c r="F93" s="66">
        <v>3637610000</v>
      </c>
      <c r="G93" s="66">
        <v>6262976000</v>
      </c>
      <c r="H93" s="66">
        <v>9488803000</v>
      </c>
      <c r="I93" s="66">
        <v>12701751000</v>
      </c>
      <c r="J93" s="67">
        <v>10482665000</v>
      </c>
      <c r="K93" s="105"/>
      <c r="L93" s="66"/>
      <c r="M93" s="66"/>
      <c r="N93" s="66"/>
    </row>
    <row r="94" spans="2:14">
      <c r="B94" s="59" t="s">
        <v>335</v>
      </c>
      <c r="C94" s="66">
        <v>156109000</v>
      </c>
      <c r="D94" s="66">
        <v>2985163000</v>
      </c>
      <c r="E94" s="66">
        <v>5985985000</v>
      </c>
      <c r="F94" s="66">
        <v>2069970000</v>
      </c>
      <c r="G94" s="66">
        <v>1201346000</v>
      </c>
      <c r="H94" s="66">
        <v>3613000</v>
      </c>
      <c r="I94" s="66">
        <v>2068691000</v>
      </c>
      <c r="J94" s="67">
        <v>2855408000</v>
      </c>
      <c r="K94" s="105"/>
      <c r="L94" s="66"/>
      <c r="M94" s="66"/>
      <c r="N94" s="66"/>
    </row>
    <row r="95" spans="2:14">
      <c r="B95" s="59" t="s">
        <v>337</v>
      </c>
      <c r="C95" s="66">
        <v>171334000</v>
      </c>
      <c r="D95" s="66">
        <v>432218000</v>
      </c>
      <c r="E95" s="66">
        <v>1142850000</v>
      </c>
      <c r="F95" s="66">
        <v>1119596000</v>
      </c>
      <c r="G95" s="66">
        <v>1079300000</v>
      </c>
      <c r="H95" s="66">
        <v>1391703000</v>
      </c>
      <c r="I95" s="66">
        <v>1717888000</v>
      </c>
      <c r="J95" s="67">
        <v>1849976000</v>
      </c>
      <c r="K95" s="105"/>
      <c r="L95" s="66"/>
      <c r="M95" s="66"/>
      <c r="N95" s="66"/>
    </row>
    <row r="96" spans="2:14">
      <c r="B96" s="58" t="s">
        <v>319</v>
      </c>
      <c r="C96" s="64">
        <v>19071497000</v>
      </c>
      <c r="D96" s="64">
        <v>12516088000</v>
      </c>
      <c r="E96" s="64">
        <v>9969502000</v>
      </c>
      <c r="F96" s="64">
        <v>10809253000</v>
      </c>
      <c r="G96" s="64">
        <v>9533308000</v>
      </c>
      <c r="H96" s="64">
        <v>9479078000</v>
      </c>
      <c r="I96" s="64">
        <v>7630295000</v>
      </c>
      <c r="J96" s="65">
        <v>10133899000</v>
      </c>
      <c r="K96" s="196"/>
      <c r="L96" s="64"/>
      <c r="M96" s="64"/>
      <c r="N96" s="64"/>
    </row>
    <row r="97" spans="2:14">
      <c r="B97" s="59" t="s">
        <v>331</v>
      </c>
      <c r="C97" s="66">
        <v>11447619000</v>
      </c>
      <c r="D97" s="66">
        <v>2437716000</v>
      </c>
      <c r="E97" s="66">
        <v>2307351000</v>
      </c>
      <c r="F97" s="66">
        <v>2158925000</v>
      </c>
      <c r="G97" s="66">
        <v>2067321000</v>
      </c>
      <c r="H97" s="66">
        <v>2064864000</v>
      </c>
      <c r="I97" s="66">
        <v>1860150000</v>
      </c>
      <c r="J97" s="67">
        <v>0</v>
      </c>
      <c r="K97" s="105"/>
      <c r="L97" s="66"/>
      <c r="M97" s="66"/>
      <c r="N97" s="66"/>
    </row>
    <row r="98" spans="2:14">
      <c r="B98" s="59" t="s">
        <v>334</v>
      </c>
      <c r="C98" s="66">
        <v>88454000</v>
      </c>
      <c r="D98" s="66">
        <v>84476000</v>
      </c>
      <c r="E98" s="66">
        <v>79901000</v>
      </c>
      <c r="F98" s="66">
        <v>85454000</v>
      </c>
      <c r="G98" s="66">
        <v>908345000</v>
      </c>
      <c r="H98" s="66">
        <v>882156000</v>
      </c>
      <c r="I98" s="66">
        <v>601620000</v>
      </c>
      <c r="J98" s="67">
        <v>991485000</v>
      </c>
      <c r="K98" s="105"/>
      <c r="L98" s="66"/>
      <c r="M98" s="66"/>
      <c r="N98" s="66"/>
    </row>
    <row r="99" spans="2:14">
      <c r="B99" s="59" t="s">
        <v>339</v>
      </c>
      <c r="C99" s="66">
        <v>6363833000</v>
      </c>
      <c r="D99" s="66">
        <v>5872661000</v>
      </c>
      <c r="E99" s="66">
        <v>7034338000</v>
      </c>
      <c r="F99" s="66">
        <v>6689358000</v>
      </c>
      <c r="G99" s="66">
        <v>4787520000</v>
      </c>
      <c r="H99" s="66">
        <v>5046889000</v>
      </c>
      <c r="I99" s="66">
        <v>4083602000</v>
      </c>
      <c r="J99" s="67">
        <v>6128102000</v>
      </c>
      <c r="K99" s="105"/>
      <c r="L99" s="66"/>
      <c r="M99" s="66"/>
      <c r="N99" s="66"/>
    </row>
    <row r="100" spans="2:14">
      <c r="B100" s="59" t="s">
        <v>690</v>
      </c>
      <c r="C100" s="66"/>
      <c r="D100" s="66"/>
      <c r="E100" s="66"/>
      <c r="F100" s="66">
        <v>0</v>
      </c>
      <c r="G100" s="66">
        <v>0</v>
      </c>
      <c r="H100" s="66">
        <v>0</v>
      </c>
      <c r="I100" s="66"/>
      <c r="J100" s="67">
        <v>0</v>
      </c>
      <c r="K100" s="105"/>
      <c r="L100" s="66"/>
      <c r="M100" s="66"/>
      <c r="N100" s="66"/>
    </row>
    <row r="101" spans="2:14">
      <c r="B101" s="59" t="s">
        <v>691</v>
      </c>
      <c r="C101" s="66"/>
      <c r="D101" s="66"/>
      <c r="E101" s="66"/>
      <c r="F101" s="66">
        <v>0</v>
      </c>
      <c r="G101" s="66">
        <v>0</v>
      </c>
      <c r="H101" s="66">
        <v>0</v>
      </c>
      <c r="I101" s="66"/>
      <c r="J101" s="67">
        <v>0</v>
      </c>
      <c r="K101" s="105"/>
      <c r="L101" s="66"/>
      <c r="M101" s="66"/>
      <c r="N101" s="66"/>
    </row>
    <row r="102" spans="2:14">
      <c r="B102" s="59" t="s">
        <v>341</v>
      </c>
      <c r="C102" s="66">
        <f t="shared" ref="C102:G102" si="82">+C96-C97-C99-C100-C101-C98</f>
        <v>1171591000</v>
      </c>
      <c r="D102" s="66">
        <f t="shared" si="82"/>
        <v>4121235000</v>
      </c>
      <c r="E102" s="66">
        <f t="shared" si="82"/>
        <v>547912000</v>
      </c>
      <c r="F102" s="66">
        <f t="shared" si="82"/>
        <v>1875516000</v>
      </c>
      <c r="G102" s="66">
        <f t="shared" si="82"/>
        <v>1770122000</v>
      </c>
      <c r="H102" s="66">
        <f>+H96-H97-H99-H100-H101-H98</f>
        <v>1485169000</v>
      </c>
      <c r="I102" s="66">
        <v>1084923000</v>
      </c>
      <c r="J102" s="67">
        <v>3014312000</v>
      </c>
      <c r="K102" s="105"/>
      <c r="L102" s="66"/>
      <c r="M102" s="66"/>
      <c r="N102" s="66"/>
    </row>
    <row r="103" spans="2:14" ht="14.65" thickBot="1">
      <c r="B103" s="60" t="s">
        <v>342</v>
      </c>
      <c r="C103" s="70">
        <f t="shared" ref="C103:F103" si="83">+C96+C88</f>
        <v>27881932000</v>
      </c>
      <c r="D103" s="70">
        <f t="shared" si="83"/>
        <v>34988523000</v>
      </c>
      <c r="E103" s="70">
        <f t="shared" si="83"/>
        <v>40388227000</v>
      </c>
      <c r="F103" s="70">
        <f t="shared" si="83"/>
        <v>147773196000</v>
      </c>
      <c r="G103" s="70">
        <f>+G96+G88</f>
        <v>27114927000</v>
      </c>
      <c r="H103" s="70">
        <f>+H96+H88</f>
        <v>30808835000</v>
      </c>
      <c r="I103" s="70">
        <f>+I96+I88</f>
        <v>43580352000</v>
      </c>
      <c r="J103" s="71">
        <v>47984798000</v>
      </c>
      <c r="K103" s="106"/>
      <c r="L103" s="70"/>
      <c r="M103" s="70"/>
      <c r="N103" s="70"/>
    </row>
    <row r="104" spans="2:14" ht="14.65" thickBot="1"/>
    <row r="105" spans="2:14">
      <c r="B105" s="57" t="s">
        <v>343</v>
      </c>
      <c r="C105" s="62"/>
      <c r="D105" s="62"/>
      <c r="E105" s="62"/>
      <c r="F105" s="62"/>
      <c r="G105" s="62"/>
      <c r="H105" s="62"/>
      <c r="I105" s="62"/>
      <c r="J105" s="63"/>
      <c r="K105" s="104"/>
      <c r="L105" s="62"/>
      <c r="M105" s="62"/>
      <c r="N105" s="62"/>
    </row>
    <row r="106" spans="2:14">
      <c r="B106" s="59" t="s">
        <v>344</v>
      </c>
      <c r="C106" s="66">
        <v>36243963000</v>
      </c>
      <c r="D106" s="66">
        <v>36243963000</v>
      </c>
      <c r="E106" s="66">
        <v>36243963000</v>
      </c>
      <c r="F106" s="66">
        <v>36243963000</v>
      </c>
      <c r="G106" s="66">
        <v>36243963000</v>
      </c>
      <c r="H106" s="66">
        <v>36243963000</v>
      </c>
      <c r="I106" s="66">
        <v>36243963000</v>
      </c>
      <c r="J106" s="67">
        <v>36243963000</v>
      </c>
      <c r="K106" s="105"/>
      <c r="L106" s="66"/>
      <c r="M106" s="66"/>
      <c r="N106" s="66"/>
    </row>
    <row r="107" spans="2:14">
      <c r="B107" s="59" t="s">
        <v>345</v>
      </c>
      <c r="C107" s="66">
        <v>-37216000</v>
      </c>
      <c r="D107" s="66">
        <v>-37216000</v>
      </c>
      <c r="E107" s="66">
        <v>79576000</v>
      </c>
      <c r="F107" s="66">
        <v>206083000</v>
      </c>
      <c r="G107" s="66">
        <v>664023000</v>
      </c>
      <c r="H107" s="66">
        <v>921788000</v>
      </c>
      <c r="I107" s="66">
        <v>1091320000</v>
      </c>
      <c r="J107" s="67">
        <v>1558478000</v>
      </c>
      <c r="K107" s="105"/>
      <c r="L107" s="66"/>
      <c r="M107" s="66"/>
      <c r="N107" s="66"/>
    </row>
    <row r="108" spans="2:14">
      <c r="B108" s="59" t="s">
        <v>346</v>
      </c>
      <c r="C108" s="66">
        <v>3660401000</v>
      </c>
      <c r="D108" s="66">
        <v>11152953000</v>
      </c>
      <c r="E108" s="66">
        <v>30575765000</v>
      </c>
      <c r="F108" s="66">
        <v>38720499000</v>
      </c>
      <c r="G108" s="66">
        <v>39812955000</v>
      </c>
      <c r="H108" s="66">
        <v>37444299000</v>
      </c>
      <c r="I108" s="66">
        <v>66114315000</v>
      </c>
      <c r="J108" s="67">
        <v>84137860000</v>
      </c>
      <c r="K108" s="105"/>
      <c r="L108" s="66"/>
      <c r="M108" s="66"/>
      <c r="N108" s="66"/>
    </row>
    <row r="109" spans="2:14" ht="14.65" thickBot="1">
      <c r="B109" s="60" t="s">
        <v>347</v>
      </c>
      <c r="C109" s="70">
        <f t="shared" ref="C109:I109" si="84">+C106+C108+C107</f>
        <v>39867148000</v>
      </c>
      <c r="D109" s="70">
        <f t="shared" si="84"/>
        <v>47359700000</v>
      </c>
      <c r="E109" s="70">
        <f t="shared" si="84"/>
        <v>66899304000</v>
      </c>
      <c r="F109" s="70">
        <f t="shared" si="84"/>
        <v>75170545000</v>
      </c>
      <c r="G109" s="70">
        <f t="shared" si="84"/>
        <v>76720941000</v>
      </c>
      <c r="H109" s="70">
        <f t="shared" si="84"/>
        <v>74610050000</v>
      </c>
      <c r="I109" s="70">
        <f t="shared" si="84"/>
        <v>103449598000</v>
      </c>
      <c r="J109" s="71">
        <v>121940301000</v>
      </c>
      <c r="K109" s="106"/>
      <c r="L109" s="70"/>
      <c r="M109" s="70"/>
      <c r="N109" s="70"/>
    </row>
    <row r="111" spans="2:14" ht="14.65" thickBot="1">
      <c r="B111" s="75" t="s">
        <v>348</v>
      </c>
    </row>
    <row r="112" spans="2:14" ht="14.65" thickBot="1">
      <c r="B112" s="82" t="s">
        <v>308</v>
      </c>
      <c r="C112" s="88">
        <v>2017</v>
      </c>
      <c r="D112" s="88">
        <v>2018</v>
      </c>
      <c r="E112" s="88">
        <v>2019</v>
      </c>
      <c r="F112" s="88">
        <v>2020</v>
      </c>
      <c r="G112" s="88">
        <v>2021</v>
      </c>
      <c r="H112" s="88">
        <v>2022</v>
      </c>
      <c r="I112" s="88">
        <v>2023</v>
      </c>
      <c r="J112" s="89">
        <v>2024</v>
      </c>
      <c r="K112" s="103">
        <v>2025</v>
      </c>
      <c r="L112" s="88">
        <v>2026</v>
      </c>
      <c r="M112" s="88">
        <v>2027</v>
      </c>
      <c r="N112" s="88">
        <v>2028</v>
      </c>
    </row>
    <row r="113" spans="2:14">
      <c r="B113" s="83" t="s">
        <v>349</v>
      </c>
      <c r="C113" s="90">
        <v>18987808000</v>
      </c>
      <c r="D113" s="90">
        <v>37944750000</v>
      </c>
      <c r="E113" s="90">
        <v>66534334000</v>
      </c>
      <c r="F113" s="90">
        <v>65478505000</v>
      </c>
      <c r="G113" s="90">
        <v>77015876000</v>
      </c>
      <c r="H113" s="90">
        <v>93371411000</v>
      </c>
      <c r="I113" s="90">
        <v>107781770000</v>
      </c>
      <c r="J113" s="109">
        <v>119823071000</v>
      </c>
      <c r="K113" s="410"/>
      <c r="L113" s="90"/>
      <c r="M113" s="90"/>
      <c r="N113" s="90"/>
    </row>
    <row r="114" spans="2:14">
      <c r="B114" s="84" t="s">
        <v>350</v>
      </c>
      <c r="C114" s="64">
        <v>3146348000</v>
      </c>
      <c r="D114" s="64">
        <v>764408000</v>
      </c>
      <c r="E114" s="64">
        <v>7621846000</v>
      </c>
      <c r="F114" s="64">
        <v>3461786000</v>
      </c>
      <c r="G114" s="64">
        <v>2135734000</v>
      </c>
      <c r="H114" s="64">
        <v>2386457000</v>
      </c>
      <c r="I114" s="64">
        <v>5930831000</v>
      </c>
      <c r="J114" s="65">
        <v>8070120000</v>
      </c>
      <c r="K114" s="196"/>
      <c r="L114" s="64"/>
      <c r="M114" s="64"/>
      <c r="N114" s="64"/>
    </row>
    <row r="115" spans="2:14">
      <c r="B115" s="85" t="s">
        <v>806</v>
      </c>
      <c r="C115" s="64">
        <v>-4664000</v>
      </c>
      <c r="D115" s="64">
        <v>-32280000</v>
      </c>
      <c r="E115" s="64">
        <v>-18312000</v>
      </c>
      <c r="F115" s="64">
        <v>-4274000</v>
      </c>
      <c r="G115" s="117">
        <v>-9334000</v>
      </c>
      <c r="H115" s="117">
        <v>-8850000</v>
      </c>
      <c r="I115" s="117">
        <v>-6958000</v>
      </c>
      <c r="J115" s="450">
        <v>-9667000</v>
      </c>
      <c r="K115" s="451"/>
      <c r="L115" s="117"/>
      <c r="M115" s="117"/>
      <c r="N115" s="117"/>
    </row>
    <row r="116" spans="2:14">
      <c r="B116" s="85" t="s">
        <v>692</v>
      </c>
      <c r="C116" s="66">
        <v>-8290999000</v>
      </c>
      <c r="D116" s="66">
        <v>-11132142000</v>
      </c>
      <c r="E116" s="66">
        <v>-20387203000</v>
      </c>
      <c r="F116" s="66">
        <v>-20559717000</v>
      </c>
      <c r="G116" s="66">
        <v>-23780112000</v>
      </c>
      <c r="H116" s="66">
        <v>-25111923000</v>
      </c>
      <c r="I116" s="66">
        <v>-28251691000</v>
      </c>
      <c r="J116" s="67">
        <v>-33069135000</v>
      </c>
      <c r="K116" s="105"/>
      <c r="L116" s="66"/>
      <c r="M116" s="66"/>
      <c r="N116" s="66"/>
    </row>
    <row r="117" spans="2:14">
      <c r="B117" s="86" t="s">
        <v>693</v>
      </c>
      <c r="C117" s="64">
        <f t="shared" ref="C117:G117" si="85">+C113+C116+C115</f>
        <v>10692145000</v>
      </c>
      <c r="D117" s="64">
        <f t="shared" si="85"/>
        <v>26780328000</v>
      </c>
      <c r="E117" s="64">
        <f t="shared" si="85"/>
        <v>46128819000</v>
      </c>
      <c r="F117" s="64">
        <f t="shared" si="85"/>
        <v>44914514000</v>
      </c>
      <c r="G117" s="64">
        <f t="shared" si="85"/>
        <v>53226430000</v>
      </c>
      <c r="H117" s="64">
        <f>+H113+H116+H115</f>
        <v>68250638000</v>
      </c>
      <c r="I117" s="64">
        <f>+I113+I116+I115</f>
        <v>79523121000</v>
      </c>
      <c r="J117" s="65">
        <v>86744269000</v>
      </c>
      <c r="K117" s="196"/>
      <c r="L117" s="64"/>
      <c r="M117" s="64"/>
      <c r="N117" s="64"/>
    </row>
    <row r="118" spans="2:14">
      <c r="B118" s="85" t="s">
        <v>353</v>
      </c>
      <c r="C118" s="66">
        <v>-301749000</v>
      </c>
      <c r="D118" s="66">
        <v>-357130000</v>
      </c>
      <c r="E118" s="66">
        <v>-931645000</v>
      </c>
      <c r="F118" s="66">
        <v>-1232982000</v>
      </c>
      <c r="G118" s="66">
        <v>-1412998000</v>
      </c>
      <c r="H118" s="66">
        <v>-1598988000</v>
      </c>
      <c r="I118" s="66">
        <v>-1856794000</v>
      </c>
      <c r="J118" s="67">
        <v>-2509080000</v>
      </c>
      <c r="K118" s="105"/>
      <c r="L118" s="66"/>
      <c r="M118" s="66"/>
      <c r="N118" s="66"/>
    </row>
    <row r="119" spans="2:14">
      <c r="B119" s="85" t="s">
        <v>807</v>
      </c>
      <c r="C119" s="66">
        <v>-10159961000</v>
      </c>
      <c r="D119" s="66">
        <v>-13046476000</v>
      </c>
      <c r="E119" s="66">
        <v>-16114121000</v>
      </c>
      <c r="F119" s="66">
        <v>-18219784000</v>
      </c>
      <c r="G119" s="66">
        <v>-20770663000</v>
      </c>
      <c r="H119" s="66">
        <v>-23222253000</v>
      </c>
      <c r="I119" s="66">
        <v>-26048442000</v>
      </c>
      <c r="J119" s="67">
        <v>25174051000</v>
      </c>
      <c r="K119" s="105"/>
      <c r="L119" s="66"/>
      <c r="M119" s="66"/>
      <c r="N119" s="66"/>
    </row>
    <row r="120" spans="2:14">
      <c r="B120" s="86" t="s">
        <v>355</v>
      </c>
      <c r="C120" s="64">
        <f t="shared" ref="C120:E120" si="86">+C117+C118+C119</f>
        <v>230435000</v>
      </c>
      <c r="D120" s="64">
        <f t="shared" si="86"/>
        <v>13376722000</v>
      </c>
      <c r="E120" s="64">
        <f t="shared" si="86"/>
        <v>29083053000</v>
      </c>
      <c r="F120" s="64">
        <f>+F117+F118+F119</f>
        <v>25461748000</v>
      </c>
      <c r="G120" s="64">
        <f>+G117+G118+G119</f>
        <v>31042769000</v>
      </c>
      <c r="H120" s="64">
        <f>+H117+H118+H119</f>
        <v>43429397000</v>
      </c>
      <c r="I120" s="64">
        <f>+I117+I118+I119</f>
        <v>51617885000</v>
      </c>
      <c r="J120" s="65">
        <v>109409240000</v>
      </c>
      <c r="K120" s="196"/>
      <c r="L120" s="64"/>
      <c r="M120" s="64"/>
      <c r="N120" s="64"/>
    </row>
    <row r="121" spans="2:14">
      <c r="B121" s="85" t="s">
        <v>357</v>
      </c>
      <c r="C121" s="66"/>
      <c r="D121" s="66"/>
      <c r="E121" s="66"/>
      <c r="F121" s="66"/>
      <c r="G121" s="66"/>
      <c r="H121" s="66"/>
      <c r="I121" s="66"/>
      <c r="J121" s="67"/>
      <c r="K121" s="105"/>
      <c r="L121" s="66"/>
      <c r="M121" s="66"/>
      <c r="N121" s="66"/>
    </row>
    <row r="122" spans="2:14">
      <c r="B122" s="85" t="s">
        <v>513</v>
      </c>
      <c r="C122" s="66">
        <v>-615065000</v>
      </c>
      <c r="D122" s="66">
        <v>-764411000</v>
      </c>
      <c r="E122" s="66">
        <v>-615469000</v>
      </c>
      <c r="F122" s="66">
        <v>-348817000</v>
      </c>
      <c r="G122" s="66">
        <v>-197481000</v>
      </c>
      <c r="H122" s="66">
        <v>-197481000</v>
      </c>
      <c r="I122" s="66">
        <v>-177362000</v>
      </c>
      <c r="J122" s="67">
        <v>-132996000</v>
      </c>
      <c r="K122" s="105"/>
      <c r="L122" s="66"/>
      <c r="M122" s="66"/>
      <c r="N122" s="66"/>
    </row>
    <row r="123" spans="2:14">
      <c r="B123" s="85" t="s">
        <v>808</v>
      </c>
      <c r="C123" s="66">
        <v>15041000</v>
      </c>
      <c r="D123" s="66">
        <v>217675000</v>
      </c>
      <c r="E123" s="66">
        <v>638326000</v>
      </c>
      <c r="F123" s="66">
        <v>189389000</v>
      </c>
      <c r="G123" s="66">
        <v>158552000</v>
      </c>
      <c r="H123" s="66">
        <v>1214378000</v>
      </c>
      <c r="I123" s="66">
        <v>2131448000</v>
      </c>
      <c r="J123" s="67">
        <v>1920527000</v>
      </c>
      <c r="K123" s="105"/>
      <c r="L123" s="66"/>
      <c r="M123" s="66"/>
      <c r="N123" s="66"/>
    </row>
    <row r="124" spans="2:14" ht="28.5">
      <c r="B124" s="87" t="s">
        <v>358</v>
      </c>
      <c r="C124" s="66">
        <v>630149000</v>
      </c>
      <c r="D124" s="66">
        <v>692780000</v>
      </c>
      <c r="E124" s="66">
        <v>811433000</v>
      </c>
      <c r="F124" s="66">
        <v>435253000</v>
      </c>
      <c r="G124" s="66">
        <v>908311000</v>
      </c>
      <c r="H124" s="66">
        <v>1206524000</v>
      </c>
      <c r="I124" s="66">
        <v>1001881000</v>
      </c>
      <c r="J124" s="67">
        <v>1073742000</v>
      </c>
      <c r="K124" s="105"/>
      <c r="L124" s="66"/>
      <c r="M124" s="66"/>
      <c r="N124" s="66"/>
    </row>
    <row r="125" spans="2:14">
      <c r="B125" s="85" t="s">
        <v>359</v>
      </c>
      <c r="C125" s="66">
        <v>42614000</v>
      </c>
      <c r="D125" s="66">
        <v>-519034000</v>
      </c>
      <c r="E125" s="66">
        <v>-289617000</v>
      </c>
      <c r="F125" s="66">
        <v>133022000</v>
      </c>
      <c r="G125" s="66">
        <v>-307871000</v>
      </c>
      <c r="H125" s="66">
        <v>35191000</v>
      </c>
      <c r="I125" s="66">
        <v>10761000</v>
      </c>
      <c r="J125" s="67">
        <v>25203000</v>
      </c>
      <c r="K125" s="105"/>
      <c r="L125" s="66"/>
      <c r="M125" s="66"/>
      <c r="N125" s="66"/>
    </row>
    <row r="126" spans="2:14">
      <c r="B126" s="85" t="s">
        <v>360</v>
      </c>
      <c r="C126" s="66">
        <v>305251000</v>
      </c>
      <c r="D126" s="66">
        <v>618118000</v>
      </c>
      <c r="E126" s="66">
        <v>398479000</v>
      </c>
      <c r="F126" s="66">
        <v>589160000</v>
      </c>
      <c r="G126" s="66">
        <v>96359000</v>
      </c>
      <c r="H126" s="66">
        <v>5449000</v>
      </c>
      <c r="I126" s="66">
        <v>102623000</v>
      </c>
      <c r="J126" s="67">
        <v>879653000</v>
      </c>
      <c r="K126" s="105"/>
      <c r="L126" s="66"/>
      <c r="M126" s="66"/>
      <c r="N126" s="66"/>
    </row>
    <row r="127" spans="2:14">
      <c r="B127" s="85" t="s">
        <v>361</v>
      </c>
      <c r="C127" s="66">
        <v>-653971000</v>
      </c>
      <c r="D127" s="66">
        <v>-91301000</v>
      </c>
      <c r="E127" s="66">
        <v>-174725000</v>
      </c>
      <c r="F127" s="66">
        <v>-435151000</v>
      </c>
      <c r="G127" s="66">
        <v>-130251000</v>
      </c>
      <c r="H127" s="66">
        <v>-445451000</v>
      </c>
      <c r="I127" s="66">
        <v>-171773000</v>
      </c>
      <c r="J127" s="67">
        <v>-89260000</v>
      </c>
      <c r="K127" s="105"/>
      <c r="L127" s="66"/>
      <c r="M127" s="66"/>
      <c r="N127" s="66"/>
    </row>
    <row r="128" spans="2:14">
      <c r="B128" s="86" t="s">
        <v>362</v>
      </c>
      <c r="C128" s="64">
        <v>3086001000</v>
      </c>
      <c r="D128" s="64">
        <v>14221054000</v>
      </c>
      <c r="E128" s="64">
        <v>37408051000</v>
      </c>
      <c r="F128" s="64">
        <v>29411253000</v>
      </c>
      <c r="G128" s="64">
        <v>33536179000</v>
      </c>
      <c r="H128" s="64">
        <v>47317810000</v>
      </c>
      <c r="I128" s="64">
        <v>60332680000</v>
      </c>
      <c r="J128" s="65">
        <v>70809602000</v>
      </c>
      <c r="K128" s="196"/>
      <c r="L128" s="64"/>
      <c r="M128" s="64"/>
      <c r="N128" s="64"/>
    </row>
    <row r="129" spans="2:14">
      <c r="B129" s="85" t="s">
        <v>363</v>
      </c>
      <c r="C129" s="66">
        <v>-682714000</v>
      </c>
      <c r="D129" s="66">
        <v>-3517408000</v>
      </c>
      <c r="E129" s="66">
        <v>-9661177000</v>
      </c>
      <c r="F129" s="66">
        <v>-7523062000</v>
      </c>
      <c r="G129" s="91">
        <v>-7850398000</v>
      </c>
      <c r="H129" s="91">
        <v>-10393821000</v>
      </c>
      <c r="I129" s="91">
        <v>-12105755000</v>
      </c>
      <c r="J129" s="447">
        <v>-17630099000</v>
      </c>
      <c r="K129" s="411"/>
      <c r="L129" s="91"/>
      <c r="M129" s="91"/>
      <c r="N129" s="91"/>
    </row>
    <row r="130" spans="2:14">
      <c r="B130" s="87" t="s">
        <v>364</v>
      </c>
      <c r="C130" s="66"/>
      <c r="D130" s="66"/>
      <c r="E130" s="66"/>
      <c r="F130" s="66"/>
      <c r="G130" s="91"/>
      <c r="H130" s="91"/>
      <c r="I130" s="91"/>
      <c r="J130" s="447"/>
      <c r="K130" s="411"/>
      <c r="L130" s="91"/>
      <c r="M130" s="91"/>
      <c r="N130" s="91"/>
    </row>
    <row r="131" spans="2:14">
      <c r="B131" s="84" t="s">
        <v>365</v>
      </c>
      <c r="C131" s="64">
        <v>2403287000</v>
      </c>
      <c r="D131" s="64">
        <v>10703646000</v>
      </c>
      <c r="E131" s="64">
        <v>27746874000</v>
      </c>
      <c r="F131" s="64">
        <v>21888191000</v>
      </c>
      <c r="G131" s="65">
        <f>+G128+G129</f>
        <v>25685781000</v>
      </c>
      <c r="H131" s="65">
        <f>+H128+H129</f>
        <v>36923989000</v>
      </c>
      <c r="I131" s="65">
        <v>48226925000</v>
      </c>
      <c r="J131" s="65">
        <v>53179503000</v>
      </c>
      <c r="K131" s="464"/>
      <c r="L131" s="65"/>
      <c r="M131" s="65"/>
      <c r="N131" s="65"/>
    </row>
    <row r="132" spans="2:14">
      <c r="B132" s="84" t="s">
        <v>366</v>
      </c>
      <c r="C132" s="118">
        <f>0.0012*1000</f>
        <v>1.2</v>
      </c>
      <c r="D132" s="118">
        <f>0.0053*1000</f>
        <v>5.3</v>
      </c>
      <c r="E132" s="118">
        <f>0.0136*1000</f>
        <v>13.6</v>
      </c>
      <c r="F132" s="118">
        <f>0.0107*1000</f>
        <v>10.7</v>
      </c>
      <c r="G132" s="118">
        <f>0.0126*1000</f>
        <v>12.6</v>
      </c>
      <c r="H132" s="118">
        <f>0.0181*1000</f>
        <v>18.100000000000001</v>
      </c>
      <c r="I132" s="118">
        <f>0.0237*1000</f>
        <v>23.7</v>
      </c>
      <c r="J132" s="478">
        <v>26.1</v>
      </c>
      <c r="K132" s="473"/>
      <c r="L132" s="118"/>
      <c r="M132" s="118"/>
      <c r="N132" s="118"/>
    </row>
    <row r="134" spans="2:14" ht="14.65" thickBot="1">
      <c r="B134" s="75" t="s">
        <v>367</v>
      </c>
    </row>
    <row r="135" spans="2:14" ht="14.65" thickBot="1">
      <c r="B135" s="82" t="s">
        <v>308</v>
      </c>
      <c r="C135" s="88">
        <v>2017</v>
      </c>
      <c r="D135" s="88">
        <v>2018</v>
      </c>
      <c r="E135" s="88">
        <v>2019</v>
      </c>
      <c r="F135" s="88">
        <v>2020</v>
      </c>
      <c r="G135" s="88">
        <v>2021</v>
      </c>
      <c r="H135" s="88">
        <v>2022</v>
      </c>
      <c r="I135" s="88">
        <v>2023</v>
      </c>
      <c r="J135" s="89">
        <v>2024</v>
      </c>
      <c r="K135" s="103">
        <v>2025</v>
      </c>
      <c r="L135" s="88">
        <v>2026</v>
      </c>
      <c r="M135" s="88">
        <v>2027</v>
      </c>
      <c r="N135" s="88">
        <v>2028</v>
      </c>
    </row>
    <row r="136" spans="2:14">
      <c r="B136" s="83" t="s">
        <v>368</v>
      </c>
      <c r="C136" s="92">
        <v>1170253000</v>
      </c>
      <c r="D136" s="92">
        <v>13688807000</v>
      </c>
      <c r="E136" s="92">
        <v>30048818000</v>
      </c>
      <c r="F136" s="92">
        <v>136683223000</v>
      </c>
      <c r="G136" s="119">
        <v>-97377298000</v>
      </c>
      <c r="H136" s="113">
        <v>32670850000</v>
      </c>
      <c r="I136" s="470">
        <v>49215731000</v>
      </c>
      <c r="J136" s="484">
        <v>44407235000</v>
      </c>
      <c r="K136" s="474"/>
      <c r="L136" s="119"/>
      <c r="M136" s="119"/>
      <c r="N136" s="119"/>
    </row>
    <row r="137" spans="2:14">
      <c r="B137" s="86" t="s">
        <v>369</v>
      </c>
      <c r="C137" s="117">
        <v>-1231112000</v>
      </c>
      <c r="D137" s="93">
        <v>26499000</v>
      </c>
      <c r="E137" s="117">
        <v>-6339032000</v>
      </c>
      <c r="F137" s="66">
        <v>4510399000</v>
      </c>
      <c r="G137" s="66">
        <v>9175601000</v>
      </c>
      <c r="H137" s="93">
        <v>-8841253000</v>
      </c>
      <c r="I137" s="93">
        <v>-10957931000</v>
      </c>
      <c r="J137" s="449">
        <v>-11857505000</v>
      </c>
      <c r="K137" s="105"/>
      <c r="L137" s="66"/>
      <c r="M137" s="66"/>
      <c r="N137" s="66"/>
    </row>
    <row r="138" spans="2:14">
      <c r="B138" s="85" t="s">
        <v>370</v>
      </c>
      <c r="C138" s="93">
        <v>-574951000</v>
      </c>
      <c r="D138" s="93">
        <v>-792688000</v>
      </c>
      <c r="E138" s="93">
        <v>-1148468000</v>
      </c>
      <c r="F138" s="93">
        <v>-1363864000</v>
      </c>
      <c r="G138" s="93">
        <v>-766779000</v>
      </c>
      <c r="H138" s="93">
        <v>-521958000</v>
      </c>
      <c r="I138" s="93">
        <v>-382299000</v>
      </c>
      <c r="J138" s="449">
        <v>-265563000</v>
      </c>
      <c r="K138" s="413"/>
      <c r="L138" s="93"/>
      <c r="M138" s="93"/>
      <c r="N138" s="93"/>
    </row>
    <row r="139" spans="2:14">
      <c r="B139" s="86" t="s">
        <v>372</v>
      </c>
      <c r="C139" s="93">
        <v>4676073000</v>
      </c>
      <c r="D139" s="93">
        <v>-966080000</v>
      </c>
      <c r="E139" s="66">
        <v>-13276379000</v>
      </c>
      <c r="F139" s="93">
        <v>-26656080000</v>
      </c>
      <c r="G139" s="93">
        <v>-25175949000</v>
      </c>
      <c r="H139" s="93">
        <v>-38621354000</v>
      </c>
      <c r="I139" s="93">
        <v>-18796154000</v>
      </c>
      <c r="J139" s="449">
        <v>-38627495000</v>
      </c>
      <c r="K139" s="413"/>
      <c r="L139" s="93"/>
      <c r="M139" s="93"/>
      <c r="N139" s="93"/>
    </row>
    <row r="140" spans="2:14">
      <c r="B140" s="85" t="s">
        <v>373</v>
      </c>
      <c r="C140" s="93">
        <v>-17810000</v>
      </c>
      <c r="D140" s="93">
        <v>-893534000</v>
      </c>
      <c r="E140" s="93">
        <v>-3209594000</v>
      </c>
      <c r="F140" s="93">
        <v>-21817161000</v>
      </c>
      <c r="G140" s="93">
        <v>-24449021000</v>
      </c>
      <c r="H140" s="93">
        <v>-37658391000</v>
      </c>
      <c r="I140" s="93">
        <v>-17618156000</v>
      </c>
      <c r="J140" s="449">
        <v>-37760218000</v>
      </c>
      <c r="K140" s="413"/>
      <c r="L140" s="93"/>
      <c r="M140" s="93"/>
      <c r="N140" s="93"/>
    </row>
    <row r="141" spans="2:14">
      <c r="B141" s="85" t="s">
        <v>374</v>
      </c>
      <c r="C141" s="93">
        <v>-418412000</v>
      </c>
      <c r="D141" s="93">
        <v>-208191000</v>
      </c>
      <c r="E141" s="93">
        <v>-298248000</v>
      </c>
      <c r="F141" s="93">
        <v>-106846000</v>
      </c>
      <c r="G141" s="93">
        <v>-68204000</v>
      </c>
      <c r="H141" s="93">
        <v>-93251000</v>
      </c>
      <c r="I141" s="93">
        <v>-76714000</v>
      </c>
      <c r="J141" s="449">
        <v>-132996000</v>
      </c>
      <c r="K141" s="413"/>
      <c r="L141" s="93"/>
      <c r="M141" s="93"/>
      <c r="N141" s="93"/>
    </row>
    <row r="142" spans="2:14">
      <c r="B142" s="86" t="s">
        <v>375</v>
      </c>
      <c r="C142" s="66">
        <v>6890908000</v>
      </c>
      <c r="D142" s="66">
        <v>19646620000</v>
      </c>
      <c r="E142" s="66">
        <v>30088143000</v>
      </c>
      <c r="F142" s="66">
        <v>144892850000</v>
      </c>
      <c r="G142" s="66">
        <v>31207370000</v>
      </c>
      <c r="H142" s="66">
        <v>16450804000</v>
      </c>
      <c r="I142" s="66">
        <v>35923148000</v>
      </c>
      <c r="J142" s="67">
        <v>29873049</v>
      </c>
      <c r="K142" s="105"/>
      <c r="L142" s="66"/>
      <c r="M142" s="66"/>
      <c r="N142" s="66"/>
    </row>
    <row r="143" spans="2:14">
      <c r="B143" s="85"/>
      <c r="C143" s="66"/>
      <c r="D143" s="66"/>
      <c r="E143" s="66"/>
      <c r="F143" s="66"/>
      <c r="G143" s="66"/>
      <c r="H143" s="66"/>
      <c r="I143" s="66"/>
      <c r="J143" s="67"/>
      <c r="K143" s="105"/>
      <c r="L143" s="66"/>
      <c r="M143" s="66"/>
      <c r="N143" s="66"/>
    </row>
    <row r="144" spans="2:14">
      <c r="B144" s="84" t="s">
        <v>376</v>
      </c>
      <c r="C144" s="114">
        <f t="shared" ref="C144:H144" si="87">+C136+C138+C141</f>
        <v>176890000</v>
      </c>
      <c r="D144" s="114">
        <f t="shared" si="87"/>
        <v>12687928000</v>
      </c>
      <c r="E144" s="114">
        <f t="shared" si="87"/>
        <v>28602102000</v>
      </c>
      <c r="F144" s="114">
        <f t="shared" si="87"/>
        <v>135212513000</v>
      </c>
      <c r="G144" s="114">
        <f t="shared" si="87"/>
        <v>-98212281000</v>
      </c>
      <c r="H144" s="114">
        <f t="shared" si="87"/>
        <v>32055641000</v>
      </c>
      <c r="I144" s="114">
        <f>+I136+I138+I141</f>
        <v>48756718000</v>
      </c>
      <c r="J144" s="65">
        <v>44008676000</v>
      </c>
      <c r="K144" s="475"/>
      <c r="L144" s="120"/>
      <c r="M144" s="120"/>
      <c r="N144" s="120"/>
    </row>
  </sheetData>
  <conditionalFormatting sqref="C72:I74 D75:I75 C76:I77 C78:F78">
    <cfRule type="cellIs" dxfId="46" priority="11" operator="lessThan">
      <formula>0</formula>
    </cfRule>
  </conditionalFormatting>
  <conditionalFormatting sqref="C113:N132">
    <cfRule type="cellIs" dxfId="45" priority="1" operator="lessThan">
      <formula>0</formula>
    </cfRule>
  </conditionalFormatting>
  <conditionalFormatting sqref="J72:N77 C79:N103 C105:N109">
    <cfRule type="cellIs" dxfId="44" priority="2" operator="lessThan">
      <formula>0</formula>
    </cfRule>
  </conditionalFormatting>
  <pageMargins left="0.7" right="0.7" top="0.75" bottom="0.75" header="0.3" footer="0.3"/>
  <pageSetup paperSize="9" orientation="portrait" r:id="rId1"/>
  <legacyDrawing r:id="rId2"/>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09977-9BC1-4829-B74C-E72A2F658175}">
  <sheetPr codeName="Hoja3"/>
  <dimension ref="B2:N140"/>
  <sheetViews>
    <sheetView topLeftCell="B1" zoomScale="80" zoomScaleNormal="80" workbookViewId="0">
      <pane xSplit="1" topLeftCell="C1" activePane="topRight" state="frozen"/>
      <selection pane="topRight" activeCell="H3" sqref="H3"/>
    </sheetView>
  </sheetViews>
  <sheetFormatPr defaultColWidth="11.42578125" defaultRowHeight="15" customHeight="1"/>
  <cols>
    <col min="1" max="1" width="8" customWidth="1"/>
    <col min="2" max="2" width="155.7109375" bestFit="1" customWidth="1"/>
    <col min="3" max="7" width="36.7109375" customWidth="1"/>
    <col min="8" max="8" width="36.7109375" bestFit="1" customWidth="1"/>
    <col min="9" max="9" width="35.7109375" bestFit="1" customWidth="1"/>
    <col min="10" max="10" width="33.5703125" style="414" customWidth="1"/>
    <col min="11" max="11" width="37.140625" customWidth="1"/>
    <col min="12" max="14" width="25.7109375" customWidth="1"/>
  </cols>
  <sheetData>
    <row r="2" spans="2:14" ht="21">
      <c r="B2" s="313"/>
      <c r="C2" s="314"/>
      <c r="D2" s="344" t="s">
        <v>265</v>
      </c>
      <c r="E2" s="345" t="s">
        <v>266</v>
      </c>
    </row>
    <row r="3" spans="2:14" ht="25.5">
      <c r="B3" s="376" cm="1">
        <f t="array" aca="1" ref="B3" ca="1">_FV(B6,"Precio")</f>
        <v>5000</v>
      </c>
      <c r="C3" s="316"/>
      <c r="D3" s="346">
        <f>AVERAGE(H48:J48)</f>
        <v>344.16666666666669</v>
      </c>
      <c r="E3" s="346">
        <f>AVERAGE(H47:J47)</f>
        <v>394.16666666666669</v>
      </c>
    </row>
    <row r="4" spans="2:14" ht="28.5">
      <c r="B4" s="319"/>
      <c r="C4" s="320"/>
      <c r="D4" s="328"/>
      <c r="E4" s="328"/>
    </row>
    <row r="6" spans="2:14" ht="33.4">
      <c r="B6" s="97" t="e" vm="51">
        <v>#VALUE!</v>
      </c>
      <c r="C6" s="3">
        <v>2017</v>
      </c>
      <c r="D6" s="3">
        <v>2018</v>
      </c>
      <c r="E6" s="3">
        <v>2019</v>
      </c>
      <c r="F6" s="3">
        <v>2020</v>
      </c>
      <c r="G6" s="3">
        <v>2021</v>
      </c>
      <c r="H6" s="3">
        <v>2022</v>
      </c>
      <c r="I6" s="3">
        <v>2023</v>
      </c>
      <c r="J6" s="459">
        <v>2024</v>
      </c>
      <c r="K6" s="3">
        <v>2025</v>
      </c>
      <c r="L6" s="3">
        <v>2026</v>
      </c>
      <c r="M6" s="3">
        <v>2027</v>
      </c>
      <c r="N6" s="3">
        <v>2028</v>
      </c>
    </row>
    <row r="7" spans="2:14" ht="25.5">
      <c r="B7" s="4" t="s">
        <v>267</v>
      </c>
      <c r="C7" s="5">
        <f>+C71</f>
        <v>96781393000</v>
      </c>
      <c r="D7" s="5">
        <f t="shared" ref="D7:I7" si="0">+D71</f>
        <v>90778929000</v>
      </c>
      <c r="E7" s="5">
        <f t="shared" si="0"/>
        <v>91968636000</v>
      </c>
      <c r="F7" s="5">
        <f t="shared" si="0"/>
        <v>104740813000</v>
      </c>
      <c r="G7" s="5">
        <f t="shared" si="0"/>
        <v>96727439000</v>
      </c>
      <c r="H7" s="5">
        <f t="shared" si="0"/>
        <v>120937506000</v>
      </c>
      <c r="I7" s="5">
        <f t="shared" si="0"/>
        <v>121130593000</v>
      </c>
      <c r="J7" s="416">
        <f t="shared" ref="J7:N7" si="1">+J71</f>
        <v>144971008000</v>
      </c>
      <c r="K7" s="387">
        <f t="shared" si="1"/>
        <v>186137095000</v>
      </c>
      <c r="L7" s="5">
        <f t="shared" si="1"/>
        <v>0</v>
      </c>
      <c r="M7" s="5">
        <f t="shared" si="1"/>
        <v>0</v>
      </c>
      <c r="N7" s="5">
        <f t="shared" si="1"/>
        <v>0</v>
      </c>
    </row>
    <row r="8" spans="2:14" ht="25.5">
      <c r="B8" s="6" t="s">
        <v>268</v>
      </c>
      <c r="C8" s="7">
        <v>0</v>
      </c>
      <c r="D8" s="7">
        <v>0</v>
      </c>
      <c r="E8" s="7">
        <v>0</v>
      </c>
      <c r="F8" s="7">
        <v>0</v>
      </c>
      <c r="G8" s="7">
        <v>0</v>
      </c>
      <c r="H8" s="7">
        <v>0</v>
      </c>
      <c r="I8" s="7">
        <v>0</v>
      </c>
      <c r="J8" s="417">
        <v>0</v>
      </c>
      <c r="K8" s="388">
        <v>0</v>
      </c>
      <c r="L8" s="7">
        <v>0</v>
      </c>
      <c r="M8" s="7">
        <v>0</v>
      </c>
      <c r="N8" s="7">
        <v>0</v>
      </c>
    </row>
    <row r="9" spans="2:14" ht="25.5">
      <c r="B9" s="4" t="s">
        <v>269</v>
      </c>
      <c r="C9" s="5">
        <f>+C77</f>
        <v>1219217482000</v>
      </c>
      <c r="D9" s="5">
        <f t="shared" ref="D9:I9" si="2">+D77</f>
        <v>1208576877000</v>
      </c>
      <c r="E9" s="5">
        <f t="shared" si="2"/>
        <v>1263911976000</v>
      </c>
      <c r="F9" s="5">
        <f t="shared" si="2"/>
        <v>1254392105000</v>
      </c>
      <c r="G9" s="5">
        <f t="shared" si="2"/>
        <v>1208990437000</v>
      </c>
      <c r="H9" s="5">
        <f t="shared" si="2"/>
        <v>1186773485000</v>
      </c>
      <c r="I9" s="5">
        <f t="shared" si="2"/>
        <v>1210802335000</v>
      </c>
      <c r="J9" s="416">
        <f t="shared" ref="J9:N9" si="3">+J77</f>
        <v>1232832011000</v>
      </c>
      <c r="K9" s="387">
        <f t="shared" si="3"/>
        <v>1271657684000</v>
      </c>
      <c r="L9" s="5">
        <f t="shared" si="3"/>
        <v>0</v>
      </c>
      <c r="M9" s="5">
        <f t="shared" si="3"/>
        <v>0</v>
      </c>
      <c r="N9" s="5">
        <f t="shared" si="3"/>
        <v>0</v>
      </c>
    </row>
    <row r="10" spans="2:14" ht="25.5">
      <c r="B10" s="6" t="s">
        <v>270</v>
      </c>
      <c r="C10" s="7">
        <f>+C78</f>
        <v>322730155000</v>
      </c>
      <c r="D10" s="7">
        <f t="shared" ref="D10:I10" si="4">+D78</f>
        <v>330947147000</v>
      </c>
      <c r="E10" s="7">
        <f t="shared" si="4"/>
        <v>390023192000</v>
      </c>
      <c r="F10" s="7">
        <f t="shared" si="4"/>
        <v>380113026000</v>
      </c>
      <c r="G10" s="7">
        <f t="shared" si="4"/>
        <v>321400561000</v>
      </c>
      <c r="H10" s="7">
        <f t="shared" si="4"/>
        <v>335643261000</v>
      </c>
      <c r="I10" s="7">
        <f t="shared" si="4"/>
        <v>360860816000</v>
      </c>
      <c r="J10" s="417">
        <f t="shared" ref="J10:N10" si="5">+J78</f>
        <v>385654943000</v>
      </c>
      <c r="K10" s="388">
        <f t="shared" si="5"/>
        <v>438709120000</v>
      </c>
      <c r="L10" s="7">
        <f t="shared" si="5"/>
        <v>0</v>
      </c>
      <c r="M10" s="7">
        <f t="shared" si="5"/>
        <v>0</v>
      </c>
      <c r="N10" s="7">
        <f t="shared" si="5"/>
        <v>0</v>
      </c>
    </row>
    <row r="11" spans="2:14" ht="25.5">
      <c r="B11" s="6" t="s">
        <v>271</v>
      </c>
      <c r="C11" s="7">
        <f>+C81</f>
        <v>818231684000</v>
      </c>
      <c r="D11" s="7">
        <f t="shared" ref="D11:I11" si="6">+D81</f>
        <v>826684440000</v>
      </c>
      <c r="E11" s="7">
        <f t="shared" si="6"/>
        <v>827843593000</v>
      </c>
      <c r="F11" s="7">
        <f t="shared" si="6"/>
        <v>824373861000</v>
      </c>
      <c r="G11" s="7">
        <f t="shared" si="6"/>
        <v>838625827000</v>
      </c>
      <c r="H11" s="7">
        <f t="shared" si="6"/>
        <v>807069327000</v>
      </c>
      <c r="I11" s="7">
        <f t="shared" si="6"/>
        <v>798984727000</v>
      </c>
      <c r="J11" s="417">
        <f t="shared" ref="J11:N11" si="7">+J81</f>
        <v>793310590000</v>
      </c>
      <c r="K11" s="388">
        <f t="shared" si="7"/>
        <v>790070841000</v>
      </c>
      <c r="L11" s="7">
        <f t="shared" si="7"/>
        <v>0</v>
      </c>
      <c r="M11" s="7">
        <f t="shared" si="7"/>
        <v>0</v>
      </c>
      <c r="N11" s="7">
        <f t="shared" si="7"/>
        <v>0</v>
      </c>
    </row>
    <row r="12" spans="2:14" ht="25.5">
      <c r="B12" s="8" t="s">
        <v>272</v>
      </c>
      <c r="C12" s="9">
        <f>SUM(C7:C9)</f>
        <v>1315998875000</v>
      </c>
      <c r="D12" s="9">
        <f t="shared" ref="D12:I12" si="8">SUM(D7:D9)</f>
        <v>1299355806000</v>
      </c>
      <c r="E12" s="9">
        <f t="shared" si="8"/>
        <v>1355880612000</v>
      </c>
      <c r="F12" s="9">
        <f t="shared" si="8"/>
        <v>1359132918000</v>
      </c>
      <c r="G12" s="9">
        <f t="shared" si="8"/>
        <v>1305717876000</v>
      </c>
      <c r="H12" s="9">
        <f t="shared" si="8"/>
        <v>1307710991000</v>
      </c>
      <c r="I12" s="9">
        <f t="shared" si="8"/>
        <v>1331932928000</v>
      </c>
      <c r="J12" s="418">
        <f t="shared" ref="J12:N12" si="9">SUM(J7:J9)</f>
        <v>1377803019000</v>
      </c>
      <c r="K12" s="389">
        <f t="shared" si="9"/>
        <v>1457794779000</v>
      </c>
      <c r="L12" s="9">
        <f t="shared" si="9"/>
        <v>0</v>
      </c>
      <c r="M12" s="9">
        <f t="shared" si="9"/>
        <v>0</v>
      </c>
      <c r="N12" s="9">
        <f t="shared" si="9"/>
        <v>0</v>
      </c>
    </row>
    <row r="13" spans="2:14" ht="25.5">
      <c r="B13" s="10" t="s">
        <v>273</v>
      </c>
      <c r="C13" s="11">
        <f>+C87</f>
        <v>65719668000</v>
      </c>
      <c r="D13" s="11">
        <f t="shared" ref="D13:I13" si="10">+D87</f>
        <v>59044013000</v>
      </c>
      <c r="E13" s="11">
        <f t="shared" si="10"/>
        <v>79757739000</v>
      </c>
      <c r="F13" s="11">
        <f t="shared" si="10"/>
        <v>139861311000</v>
      </c>
      <c r="G13" s="11">
        <f t="shared" si="10"/>
        <v>109348694000</v>
      </c>
      <c r="H13" s="11">
        <f t="shared" si="10"/>
        <v>96278701000</v>
      </c>
      <c r="I13" s="11">
        <f t="shared" si="10"/>
        <v>95562340000</v>
      </c>
      <c r="J13" s="419">
        <f t="shared" ref="J13:N13" si="11">+J87</f>
        <v>127837566000</v>
      </c>
      <c r="K13" s="390">
        <f t="shared" si="11"/>
        <v>184860277000</v>
      </c>
      <c r="L13" s="11">
        <f t="shared" si="11"/>
        <v>0</v>
      </c>
      <c r="M13" s="11">
        <f t="shared" si="11"/>
        <v>0</v>
      </c>
      <c r="N13" s="11">
        <f t="shared" si="11"/>
        <v>0</v>
      </c>
    </row>
    <row r="14" spans="2:14" ht="25.5">
      <c r="B14" s="10" t="s">
        <v>274</v>
      </c>
      <c r="C14" s="11">
        <f>+C93</f>
        <v>611802000</v>
      </c>
      <c r="D14" s="11">
        <f t="shared" ref="D14:I14" si="12">+D93</f>
        <v>963970000</v>
      </c>
      <c r="E14" s="11">
        <f t="shared" si="12"/>
        <v>23366056000</v>
      </c>
      <c r="F14" s="11">
        <f t="shared" si="12"/>
        <v>26141313000</v>
      </c>
      <c r="G14" s="11">
        <f t="shared" si="12"/>
        <v>26347452000</v>
      </c>
      <c r="H14" s="11">
        <f t="shared" si="12"/>
        <v>25380094000</v>
      </c>
      <c r="I14" s="11">
        <f t="shared" si="12"/>
        <v>52010601000</v>
      </c>
      <c r="J14" s="419">
        <f t="shared" ref="J14:N14" si="13">+J93</f>
        <v>74870409000</v>
      </c>
      <c r="K14" s="390">
        <f t="shared" si="13"/>
        <v>80330425000</v>
      </c>
      <c r="L14" s="11">
        <f t="shared" si="13"/>
        <v>0</v>
      </c>
      <c r="M14" s="11">
        <f t="shared" si="13"/>
        <v>0</v>
      </c>
      <c r="N14" s="11">
        <f t="shared" si="13"/>
        <v>0</v>
      </c>
    </row>
    <row r="15" spans="2:14" ht="25.5">
      <c r="B15" s="12" t="s">
        <v>275</v>
      </c>
      <c r="C15" s="13">
        <f t="shared" ref="C15" si="14">SUM(C13:C14)</f>
        <v>66331470000</v>
      </c>
      <c r="D15" s="13">
        <f t="shared" ref="D15:I15" si="15">SUM(D13:D14)</f>
        <v>60007983000</v>
      </c>
      <c r="E15" s="13">
        <f t="shared" si="15"/>
        <v>103123795000</v>
      </c>
      <c r="F15" s="13">
        <f t="shared" si="15"/>
        <v>166002624000</v>
      </c>
      <c r="G15" s="13">
        <f t="shared" si="15"/>
        <v>135696146000</v>
      </c>
      <c r="H15" s="13">
        <f t="shared" si="15"/>
        <v>121658795000</v>
      </c>
      <c r="I15" s="13">
        <f t="shared" si="15"/>
        <v>147572941000</v>
      </c>
      <c r="J15" s="420">
        <f t="shared" ref="J15:N15" si="16">SUM(J13:J14)</f>
        <v>202707975000</v>
      </c>
      <c r="K15" s="391">
        <f t="shared" si="16"/>
        <v>265190702000</v>
      </c>
      <c r="L15" s="13">
        <f t="shared" si="16"/>
        <v>0</v>
      </c>
      <c r="M15" s="13">
        <f t="shared" si="16"/>
        <v>0</v>
      </c>
      <c r="N15" s="13">
        <f t="shared" si="16"/>
        <v>0</v>
      </c>
    </row>
    <row r="16" spans="2:14" ht="25.5">
      <c r="B16" s="14" t="s">
        <v>276</v>
      </c>
      <c r="C16" s="15">
        <f>+C105</f>
        <v>1249667368000</v>
      </c>
      <c r="D16" s="15">
        <f t="shared" ref="D16:I16" si="17">+D105</f>
        <v>1239347780000</v>
      </c>
      <c r="E16" s="15">
        <f t="shared" si="17"/>
        <v>1252756746000</v>
      </c>
      <c r="F16" s="15">
        <f t="shared" si="17"/>
        <v>1193130228000</v>
      </c>
      <c r="G16" s="15">
        <f t="shared" si="17"/>
        <v>1170021665000</v>
      </c>
      <c r="H16" s="15">
        <f t="shared" si="17"/>
        <v>1189414750000</v>
      </c>
      <c r="I16" s="15">
        <f t="shared" si="17"/>
        <v>1186359924000</v>
      </c>
      <c r="J16" s="421">
        <f t="shared" ref="J16:N16" si="18">+J105</f>
        <v>1175094978000</v>
      </c>
      <c r="K16" s="392">
        <f t="shared" si="18"/>
        <v>1192604071000</v>
      </c>
      <c r="L16" s="15">
        <f t="shared" si="18"/>
        <v>0</v>
      </c>
      <c r="M16" s="15">
        <f t="shared" si="18"/>
        <v>0</v>
      </c>
      <c r="N16" s="15">
        <f t="shared" si="18"/>
        <v>0</v>
      </c>
    </row>
    <row r="17" spans="2:14" ht="25.5">
      <c r="B17" s="16" t="s">
        <v>277</v>
      </c>
      <c r="C17" s="17">
        <f t="shared" ref="C17:I17" si="19">+C16-C11</f>
        <v>431435684000</v>
      </c>
      <c r="D17" s="17">
        <f t="shared" si="19"/>
        <v>412663340000</v>
      </c>
      <c r="E17" s="17">
        <f t="shared" si="19"/>
        <v>424913153000</v>
      </c>
      <c r="F17" s="17">
        <f t="shared" si="19"/>
        <v>368756367000</v>
      </c>
      <c r="G17" s="17">
        <f t="shared" si="19"/>
        <v>331395838000</v>
      </c>
      <c r="H17" s="17">
        <f t="shared" si="19"/>
        <v>382345423000</v>
      </c>
      <c r="I17" s="17">
        <f t="shared" si="19"/>
        <v>387375197000</v>
      </c>
      <c r="J17" s="422">
        <f t="shared" ref="J17:N17" si="20">+J16-J11</f>
        <v>381784388000</v>
      </c>
      <c r="K17" s="393">
        <f t="shared" si="20"/>
        <v>402533230000</v>
      </c>
      <c r="L17" s="17">
        <f t="shared" si="20"/>
        <v>0</v>
      </c>
      <c r="M17" s="17">
        <f t="shared" si="20"/>
        <v>0</v>
      </c>
      <c r="N17" s="17">
        <f t="shared" si="20"/>
        <v>0</v>
      </c>
    </row>
    <row r="18" spans="2:14" ht="25.5">
      <c r="B18" s="79" t="s">
        <v>278</v>
      </c>
      <c r="C18" s="100">
        <v>328015660</v>
      </c>
      <c r="D18" s="100">
        <v>328015660</v>
      </c>
      <c r="E18" s="100">
        <v>328015660</v>
      </c>
      <c r="F18" s="100">
        <v>328015660</v>
      </c>
      <c r="G18" s="100">
        <v>328015660</v>
      </c>
      <c r="H18" s="100">
        <v>328015660</v>
      </c>
      <c r="I18" s="100">
        <v>328015660</v>
      </c>
      <c r="J18" s="100">
        <v>328015660</v>
      </c>
      <c r="K18" s="100">
        <v>328015660</v>
      </c>
      <c r="L18" s="100"/>
      <c r="M18" s="100"/>
      <c r="N18" s="100"/>
    </row>
    <row r="19" spans="2:14" ht="19.5" customHeight="1">
      <c r="B19" s="55"/>
      <c r="C19" s="102"/>
      <c r="D19" s="102"/>
      <c r="E19" s="102"/>
      <c r="F19" s="102"/>
      <c r="G19" s="102"/>
      <c r="H19" s="102"/>
    </row>
    <row r="20" spans="2:14" ht="25.5">
      <c r="B20" s="18" t="s">
        <v>279</v>
      </c>
      <c r="C20" s="19">
        <f t="shared" ref="C20:F20" si="21">(C16/C18)</f>
        <v>3809.7795940596252</v>
      </c>
      <c r="D20" s="19">
        <f t="shared" si="21"/>
        <v>3778.3189375775532</v>
      </c>
      <c r="E20" s="19">
        <f t="shared" si="21"/>
        <v>3819.1979797549911</v>
      </c>
      <c r="F20" s="19">
        <f t="shared" si="21"/>
        <v>3637.4184939828788</v>
      </c>
      <c r="G20" s="19">
        <f t="shared" ref="G20:N20" si="22">(G16/G18)</f>
        <v>3566.9689215447825</v>
      </c>
      <c r="H20" s="19">
        <f t="shared" si="22"/>
        <v>3626.091357955288</v>
      </c>
      <c r="I20" s="19">
        <f t="shared" si="22"/>
        <v>3616.778308694164</v>
      </c>
      <c r="J20" s="424">
        <f t="shared" si="22"/>
        <v>3582.4356007880842</v>
      </c>
      <c r="K20" s="19">
        <f>(K16/K18)</f>
        <v>3635.8144333718701</v>
      </c>
      <c r="L20" s="19" t="e">
        <f t="shared" si="22"/>
        <v>#DIV/0!</v>
      </c>
      <c r="M20" s="19" t="e">
        <f t="shared" si="22"/>
        <v>#DIV/0!</v>
      </c>
      <c r="N20" s="19" t="e">
        <f t="shared" si="22"/>
        <v>#DIV/0!</v>
      </c>
    </row>
    <row r="21" spans="2:14" ht="25.5">
      <c r="B21" s="20" t="s">
        <v>280</v>
      </c>
      <c r="C21" s="21">
        <f>+C17/C18</f>
        <v>1315.2898980493796</v>
      </c>
      <c r="D21" s="21">
        <f t="shared" ref="D21:H21" si="23">+D17/D18</f>
        <v>1258.0598743364874</v>
      </c>
      <c r="E21" s="21">
        <f t="shared" si="23"/>
        <v>1295.4050821841859</v>
      </c>
      <c r="F21" s="21">
        <f t="shared" si="23"/>
        <v>1124.2035425991551</v>
      </c>
      <c r="G21" s="21">
        <f t="shared" si="23"/>
        <v>1010.3049287341952</v>
      </c>
      <c r="H21" s="21">
        <f t="shared" si="23"/>
        <v>1165.6316134418705</v>
      </c>
      <c r="I21" s="21">
        <f t="shared" ref="I21:J21" si="24">+I17/I18</f>
        <v>1180.9655581687778</v>
      </c>
      <c r="J21" s="425">
        <f t="shared" si="24"/>
        <v>1163.9212225416311</v>
      </c>
      <c r="K21" s="21">
        <f t="shared" ref="K21:N21" si="25">+K17/K18</f>
        <v>1227.1768671044547</v>
      </c>
      <c r="L21" s="21" t="e">
        <f t="shared" si="25"/>
        <v>#DIV/0!</v>
      </c>
      <c r="M21" s="21" t="e">
        <f t="shared" si="25"/>
        <v>#DIV/0!</v>
      </c>
      <c r="N21" s="21" t="e">
        <f t="shared" si="25"/>
        <v>#DIV/0!</v>
      </c>
    </row>
    <row r="22" spans="2:14" ht="25.5">
      <c r="B22" s="20" t="s">
        <v>281</v>
      </c>
      <c r="C22" s="21">
        <f>+C10/C18</f>
        <v>983.88642481276656</v>
      </c>
      <c r="D22" s="21">
        <f t="shared" ref="D22:H22" si="26">+D10/D18</f>
        <v>1008.9370336769897</v>
      </c>
      <c r="E22" s="21">
        <f t="shared" si="26"/>
        <v>1189.0383282310363</v>
      </c>
      <c r="F22" s="21">
        <f t="shared" si="26"/>
        <v>1158.825849960944</v>
      </c>
      <c r="G22" s="21">
        <f t="shared" si="26"/>
        <v>979.83297809622866</v>
      </c>
      <c r="H22" s="21">
        <f t="shared" si="26"/>
        <v>1023.2537708717931</v>
      </c>
      <c r="I22" s="21">
        <f t="shared" ref="I22:J22" si="27">+I10/I18</f>
        <v>1100.1328899967764</v>
      </c>
      <c r="J22" s="425">
        <f t="shared" si="27"/>
        <v>1175.7211317288936</v>
      </c>
      <c r="K22" s="21">
        <f t="shared" ref="K22:N22" si="28">+K10/K18</f>
        <v>1337.4639491297457</v>
      </c>
      <c r="L22" s="21" t="e">
        <f t="shared" si="28"/>
        <v>#DIV/0!</v>
      </c>
      <c r="M22" s="21" t="e">
        <f t="shared" si="28"/>
        <v>#DIV/0!</v>
      </c>
      <c r="N22" s="21" t="e">
        <f t="shared" si="28"/>
        <v>#DIV/0!</v>
      </c>
    </row>
    <row r="23" spans="2:14" ht="25.5">
      <c r="B23" s="76" t="s">
        <v>282</v>
      </c>
      <c r="C23" s="77">
        <v>3200</v>
      </c>
      <c r="D23" s="77">
        <v>3180</v>
      </c>
      <c r="E23" s="77">
        <v>2800</v>
      </c>
      <c r="F23" s="77">
        <v>1792</v>
      </c>
      <c r="G23" s="77">
        <v>610</v>
      </c>
      <c r="H23" s="101">
        <v>1280</v>
      </c>
      <c r="I23" s="101">
        <v>2682</v>
      </c>
      <c r="J23" s="460">
        <v>3099.8</v>
      </c>
      <c r="K23" s="101">
        <v>5220</v>
      </c>
      <c r="L23" s="101"/>
      <c r="M23" s="101"/>
      <c r="N23" s="101"/>
    </row>
    <row r="24" spans="2:14" ht="25.5">
      <c r="B24" s="18" t="s">
        <v>283</v>
      </c>
      <c r="C24" s="22">
        <f t="shared" ref="C24:I24" si="29">+C23/C43</f>
        <v>11.684802453808516</v>
      </c>
      <c r="D24" s="22">
        <f t="shared" si="29"/>
        <v>14.646953157385656</v>
      </c>
      <c r="E24" s="22">
        <f t="shared" si="29"/>
        <v>7.8682627999775185</v>
      </c>
      <c r="F24" s="22">
        <f t="shared" si="29"/>
        <v>7.5970832626759375</v>
      </c>
      <c r="G24" s="22">
        <f t="shared" si="29"/>
        <v>1.9807767242499028</v>
      </c>
      <c r="H24" s="22">
        <f t="shared" si="29"/>
        <v>3.3729479037655801</v>
      </c>
      <c r="I24" s="22">
        <f t="shared" si="29"/>
        <v>6.9555745740294102</v>
      </c>
      <c r="J24" s="427">
        <f t="shared" ref="J24:N24" si="30">+J23/J43</f>
        <v>7.8577403736469877</v>
      </c>
      <c r="K24" s="22">
        <f t="shared" si="30"/>
        <v>12.223106823397181</v>
      </c>
      <c r="L24" s="22" t="e">
        <f t="shared" si="30"/>
        <v>#DIV/0!</v>
      </c>
      <c r="M24" s="22" t="e">
        <f t="shared" si="30"/>
        <v>#DIV/0!</v>
      </c>
      <c r="N24" s="22" t="e">
        <f t="shared" si="30"/>
        <v>#DIV/0!</v>
      </c>
    </row>
    <row r="25" spans="2:14" ht="25.5">
      <c r="B25" s="18" t="s">
        <v>301</v>
      </c>
      <c r="C25" s="22">
        <f t="shared" ref="C25:F25" si="31">+C23/C20</f>
        <v>0.8399436032965214</v>
      </c>
      <c r="D25" s="22">
        <f t="shared" si="31"/>
        <v>0.84164414188888936</v>
      </c>
      <c r="E25" s="22">
        <f t="shared" si="31"/>
        <v>0.73313821772068111</v>
      </c>
      <c r="F25" s="22">
        <f t="shared" si="31"/>
        <v>0.49265708715243445</v>
      </c>
      <c r="G25" s="22">
        <f t="shared" ref="G25:N25" si="32">+G23/G20</f>
        <v>0.17101354495004159</v>
      </c>
      <c r="H25" s="22">
        <f t="shared" si="32"/>
        <v>0.35299717344181242</v>
      </c>
      <c r="I25" s="22">
        <f t="shared" si="32"/>
        <v>0.74154392973240724</v>
      </c>
      <c r="J25" s="427">
        <f t="shared" si="32"/>
        <v>0.86527724303490305</v>
      </c>
      <c r="K25" s="22">
        <f t="shared" si="32"/>
        <v>1.4357168374951825</v>
      </c>
      <c r="L25" s="22" t="e">
        <f t="shared" si="32"/>
        <v>#DIV/0!</v>
      </c>
      <c r="M25" s="22" t="e">
        <f t="shared" si="32"/>
        <v>#DIV/0!</v>
      </c>
      <c r="N25" s="22" t="e">
        <f t="shared" si="32"/>
        <v>#DIV/0!</v>
      </c>
    </row>
    <row r="26" spans="2:14" ht="25.5">
      <c r="B26" s="18" t="s">
        <v>285</v>
      </c>
      <c r="C26" s="22">
        <f>+C24*C25</f>
        <v>9.8145750768599598</v>
      </c>
      <c r="D26" s="22">
        <f t="shared" ref="D26:I26" si="33">+D24*D25</f>
        <v>12.327522321434609</v>
      </c>
      <c r="E26" s="22">
        <f t="shared" si="33"/>
        <v>5.7685241657334538</v>
      </c>
      <c r="F26" s="22">
        <f t="shared" si="33"/>
        <v>3.7427569110444403</v>
      </c>
      <c r="G26" s="22">
        <f t="shared" si="33"/>
        <v>0.33873964936850687</v>
      </c>
      <c r="H26" s="22">
        <f t="shared" si="33"/>
        <v>1.190641076195736</v>
      </c>
      <c r="I26" s="22">
        <f t="shared" si="33"/>
        <v>5.1578641031725834</v>
      </c>
      <c r="J26" s="427">
        <f t="shared" ref="J26:N26" si="34">+J24*J25</f>
        <v>6.7991239269933148</v>
      </c>
      <c r="K26" s="22">
        <f t="shared" si="34"/>
        <v>17.548920272853586</v>
      </c>
      <c r="L26" s="22" t="e">
        <f t="shared" si="34"/>
        <v>#DIV/0!</v>
      </c>
      <c r="M26" s="22" t="e">
        <f t="shared" si="34"/>
        <v>#DIV/0!</v>
      </c>
      <c r="N26" s="22" t="e">
        <f t="shared" si="34"/>
        <v>#DIV/0!</v>
      </c>
    </row>
    <row r="27" spans="2:14" ht="25.5">
      <c r="B27" s="23" t="s">
        <v>286</v>
      </c>
      <c r="C27" s="24">
        <v>0</v>
      </c>
      <c r="D27" s="24">
        <v>0</v>
      </c>
      <c r="E27" s="24">
        <v>0</v>
      </c>
      <c r="F27" s="24">
        <v>0</v>
      </c>
      <c r="G27" s="24">
        <v>0</v>
      </c>
      <c r="H27" s="24">
        <v>1</v>
      </c>
      <c r="I27" s="24">
        <v>1</v>
      </c>
      <c r="J27" s="428">
        <v>1</v>
      </c>
      <c r="K27" s="24">
        <v>1</v>
      </c>
      <c r="L27" s="24"/>
      <c r="M27" s="24"/>
      <c r="N27" s="24"/>
    </row>
    <row r="28" spans="2:14" ht="25.5">
      <c r="B28" s="23" t="s">
        <v>287</v>
      </c>
      <c r="C28" s="24">
        <v>1</v>
      </c>
      <c r="D28" s="24">
        <v>1</v>
      </c>
      <c r="E28" s="24">
        <v>1</v>
      </c>
      <c r="F28" s="24">
        <v>1</v>
      </c>
      <c r="G28" s="24">
        <v>1</v>
      </c>
      <c r="H28" s="24">
        <v>2</v>
      </c>
      <c r="I28" s="24">
        <v>2</v>
      </c>
      <c r="J28" s="428">
        <v>2</v>
      </c>
      <c r="K28" s="24">
        <v>2</v>
      </c>
      <c r="L28" s="24"/>
      <c r="M28" s="24"/>
      <c r="N28" s="24"/>
    </row>
    <row r="29" spans="2:14" ht="25.5">
      <c r="B29" s="25" t="s">
        <v>288</v>
      </c>
      <c r="C29" s="26">
        <f>+C27*C20</f>
        <v>0</v>
      </c>
      <c r="D29" s="26">
        <f t="shared" ref="D29:H29" si="35">+D27*D20</f>
        <v>0</v>
      </c>
      <c r="E29" s="26">
        <f t="shared" si="35"/>
        <v>0</v>
      </c>
      <c r="F29" s="26">
        <f t="shared" si="35"/>
        <v>0</v>
      </c>
      <c r="G29" s="26">
        <f t="shared" si="35"/>
        <v>0</v>
      </c>
      <c r="H29" s="26">
        <f t="shared" si="35"/>
        <v>3626.091357955288</v>
      </c>
      <c r="I29" s="26">
        <f t="shared" ref="I29:J29" si="36">+I27*I20</f>
        <v>3616.778308694164</v>
      </c>
      <c r="J29" s="429">
        <f t="shared" si="36"/>
        <v>3582.4356007880842</v>
      </c>
      <c r="K29" s="26">
        <f t="shared" ref="K29:N29" si="37">+K27*K20</f>
        <v>3635.8144333718701</v>
      </c>
      <c r="L29" s="26" t="e">
        <f t="shared" si="37"/>
        <v>#DIV/0!</v>
      </c>
      <c r="M29" s="26" t="e">
        <f t="shared" si="37"/>
        <v>#DIV/0!</v>
      </c>
      <c r="N29" s="26" t="e">
        <f t="shared" si="37"/>
        <v>#DIV/0!</v>
      </c>
    </row>
    <row r="30" spans="2:14" ht="25.5">
      <c r="B30" s="25" t="s">
        <v>289</v>
      </c>
      <c r="C30" s="26">
        <f>AVERAGE(C29,C31)</f>
        <v>1904.8897970298126</v>
      </c>
      <c r="D30" s="26">
        <f t="shared" ref="D30:H30" si="38">AVERAGE(D29,D31)</f>
        <v>1889.1594687887766</v>
      </c>
      <c r="E30" s="26">
        <f t="shared" si="38"/>
        <v>1909.5989898774956</v>
      </c>
      <c r="F30" s="26">
        <f t="shared" si="38"/>
        <v>1818.7092469914394</v>
      </c>
      <c r="G30" s="26">
        <f t="shared" si="38"/>
        <v>1783.4844607723912</v>
      </c>
      <c r="H30" s="26">
        <f t="shared" si="38"/>
        <v>5439.1370369329325</v>
      </c>
      <c r="I30" s="26">
        <f t="shared" ref="I30" si="39">AVERAGE(I29,I31)</f>
        <v>5425.1674630412463</v>
      </c>
      <c r="J30" s="429">
        <f>AVERAGE(J29,J31)</f>
        <v>5373.6534011821259</v>
      </c>
      <c r="K30" s="26">
        <f t="shared" ref="K30:N30" si="40">AVERAGE(K29,K31)</f>
        <v>5453.7216500578052</v>
      </c>
      <c r="L30" s="26" t="e">
        <f t="shared" si="40"/>
        <v>#DIV/0!</v>
      </c>
      <c r="M30" s="26" t="e">
        <f t="shared" si="40"/>
        <v>#DIV/0!</v>
      </c>
      <c r="N30" s="26" t="e">
        <f t="shared" si="40"/>
        <v>#DIV/0!</v>
      </c>
    </row>
    <row r="31" spans="2:14" ht="25.5">
      <c r="B31" s="25" t="s">
        <v>290</v>
      </c>
      <c r="C31" s="26">
        <f>+C20*C28</f>
        <v>3809.7795940596252</v>
      </c>
      <c r="D31" s="26">
        <f t="shared" ref="D31:H31" si="41">+D20*D28</f>
        <v>3778.3189375775532</v>
      </c>
      <c r="E31" s="26">
        <f t="shared" si="41"/>
        <v>3819.1979797549911</v>
      </c>
      <c r="F31" s="26">
        <f t="shared" si="41"/>
        <v>3637.4184939828788</v>
      </c>
      <c r="G31" s="26">
        <f t="shared" si="41"/>
        <v>3566.9689215447825</v>
      </c>
      <c r="H31" s="26">
        <f t="shared" si="41"/>
        <v>7252.182715910576</v>
      </c>
      <c r="I31" s="26">
        <f t="shared" ref="I31" si="42">+I20*I28</f>
        <v>7233.556617388328</v>
      </c>
      <c r="J31" s="429">
        <f>+J20*J28</f>
        <v>7164.8712015761685</v>
      </c>
      <c r="K31" s="26">
        <f t="shared" ref="K31:N31" si="43">+K20*K28</f>
        <v>7271.6288667437402</v>
      </c>
      <c r="L31" s="26" t="e">
        <f t="shared" si="43"/>
        <v>#DIV/0!</v>
      </c>
      <c r="M31" s="26" t="e">
        <f t="shared" si="43"/>
        <v>#DIV/0!</v>
      </c>
      <c r="N31" s="26" t="e">
        <f t="shared" si="43"/>
        <v>#DIV/0!</v>
      </c>
    </row>
    <row r="33" spans="2:14" ht="25.5">
      <c r="B33" s="27" t="s">
        <v>291</v>
      </c>
      <c r="C33" s="28">
        <f t="shared" ref="C33:H33" si="44">C7-C13</f>
        <v>31061725000</v>
      </c>
      <c r="D33" s="28">
        <f t="shared" si="44"/>
        <v>31734916000</v>
      </c>
      <c r="E33" s="28">
        <f t="shared" si="44"/>
        <v>12210897000</v>
      </c>
      <c r="F33" s="28">
        <f t="shared" si="44"/>
        <v>-35120498000</v>
      </c>
      <c r="G33" s="28">
        <f t="shared" si="44"/>
        <v>-12621255000</v>
      </c>
      <c r="H33" s="28">
        <f t="shared" si="44"/>
        <v>24658805000</v>
      </c>
      <c r="I33" s="28">
        <f t="shared" ref="I33:J33" si="45">I7-I13</f>
        <v>25568253000</v>
      </c>
      <c r="J33" s="461">
        <f t="shared" si="45"/>
        <v>17133442000</v>
      </c>
      <c r="K33" s="453">
        <f t="shared" ref="K33:N33" si="46">K7-K13</f>
        <v>1276818000</v>
      </c>
      <c r="L33" s="28">
        <f t="shared" si="46"/>
        <v>0</v>
      </c>
      <c r="M33" s="28">
        <f t="shared" si="46"/>
        <v>0</v>
      </c>
      <c r="N33" s="28">
        <f t="shared" si="46"/>
        <v>0</v>
      </c>
    </row>
    <row r="34" spans="2:14" ht="25.5">
      <c r="B34" s="30" t="s">
        <v>149</v>
      </c>
      <c r="C34" s="31">
        <f t="shared" ref="C34:H34" si="47">C7/C13</f>
        <v>1.472639712665621</v>
      </c>
      <c r="D34" s="31">
        <f t="shared" si="47"/>
        <v>1.5374789819926367</v>
      </c>
      <c r="E34" s="31">
        <f t="shared" si="47"/>
        <v>1.1530998390012033</v>
      </c>
      <c r="F34" s="31">
        <f t="shared" si="47"/>
        <v>0.74889054200271299</v>
      </c>
      <c r="G34" s="31">
        <f t="shared" si="47"/>
        <v>0.88457790817327919</v>
      </c>
      <c r="H34" s="98">
        <f t="shared" si="47"/>
        <v>1.2561190039321366</v>
      </c>
      <c r="I34" s="98">
        <f t="shared" ref="I34:J34" si="48">I7/I13</f>
        <v>1.2675557442398333</v>
      </c>
      <c r="J34" s="462">
        <f t="shared" si="48"/>
        <v>1.1340250955654145</v>
      </c>
      <c r="K34" s="454">
        <f t="shared" ref="K34:N34" si="49">K7/K13</f>
        <v>1.0069069354472513</v>
      </c>
      <c r="L34" s="98" t="e">
        <f t="shared" si="49"/>
        <v>#DIV/0!</v>
      </c>
      <c r="M34" s="98" t="e">
        <f t="shared" si="49"/>
        <v>#DIV/0!</v>
      </c>
      <c r="N34" s="98" t="e">
        <f t="shared" si="49"/>
        <v>#DIV/0!</v>
      </c>
    </row>
    <row r="35" spans="2:14" ht="25.5">
      <c r="B35" s="30" t="s">
        <v>292</v>
      </c>
      <c r="C35" s="31">
        <f>+(C7-C8)/C13</f>
        <v>1.472639712665621</v>
      </c>
      <c r="D35" s="31">
        <f t="shared" ref="D35:I35" si="50">+(D7-D8)/D13</f>
        <v>1.5374789819926367</v>
      </c>
      <c r="E35" s="31">
        <f t="shared" si="50"/>
        <v>1.1530998390012033</v>
      </c>
      <c r="F35" s="31">
        <f t="shared" si="50"/>
        <v>0.74889054200271299</v>
      </c>
      <c r="G35" s="31">
        <f t="shared" si="50"/>
        <v>0.88457790817327919</v>
      </c>
      <c r="H35" s="31">
        <f t="shared" si="50"/>
        <v>1.2561190039321366</v>
      </c>
      <c r="I35" s="31">
        <f t="shared" si="50"/>
        <v>1.2675557442398333</v>
      </c>
      <c r="J35" s="431">
        <f t="shared" ref="J35:N35" si="51">+(J7-J8)/J13</f>
        <v>1.1340250955654145</v>
      </c>
      <c r="K35" s="396">
        <f t="shared" si="51"/>
        <v>1.0069069354472513</v>
      </c>
      <c r="L35" s="31" t="e">
        <f t="shared" si="51"/>
        <v>#DIV/0!</v>
      </c>
      <c r="M35" s="31" t="e">
        <f t="shared" si="51"/>
        <v>#DIV/0!</v>
      </c>
      <c r="N35" s="31" t="e">
        <f t="shared" si="51"/>
        <v>#DIV/0!</v>
      </c>
    </row>
    <row r="36" spans="2:14" ht="25.5">
      <c r="B36" s="32" t="s">
        <v>153</v>
      </c>
      <c r="C36" s="33">
        <f t="shared" ref="C36:I36" si="52">C15/C12</f>
        <v>5.0403895672023274E-2</v>
      </c>
      <c r="D36" s="33">
        <f t="shared" si="52"/>
        <v>4.618287209931473E-2</v>
      </c>
      <c r="E36" s="33">
        <f t="shared" si="52"/>
        <v>7.6056692666979439E-2</v>
      </c>
      <c r="F36" s="33">
        <f t="shared" si="52"/>
        <v>0.12213862367801175</v>
      </c>
      <c r="G36" s="33">
        <f t="shared" si="52"/>
        <v>0.10392455253480806</v>
      </c>
      <c r="H36" s="33">
        <f t="shared" si="52"/>
        <v>9.3031867008296784E-2</v>
      </c>
      <c r="I36" s="33">
        <f t="shared" si="52"/>
        <v>0.11079607531108353</v>
      </c>
      <c r="J36" s="432">
        <f t="shared" ref="J36:N36" si="53">J15/J12</f>
        <v>0.14712406070000053</v>
      </c>
      <c r="K36" s="397">
        <f t="shared" si="53"/>
        <v>0.18191223196855749</v>
      </c>
      <c r="L36" s="33" t="e">
        <f t="shared" si="53"/>
        <v>#DIV/0!</v>
      </c>
      <c r="M36" s="33" t="e">
        <f t="shared" si="53"/>
        <v>#DIV/0!</v>
      </c>
      <c r="N36" s="33" t="e">
        <f t="shared" si="53"/>
        <v>#DIV/0!</v>
      </c>
    </row>
    <row r="38" spans="2:14" ht="25.5">
      <c r="B38" s="35" t="s">
        <v>293</v>
      </c>
      <c r="C38" s="36">
        <f>+C109+C110</f>
        <v>216309263000</v>
      </c>
      <c r="D38" s="36">
        <f t="shared" ref="D38:I38" si="54">+D109+D110</f>
        <v>198732696000</v>
      </c>
      <c r="E38" s="36">
        <f t="shared" si="54"/>
        <v>261115303000</v>
      </c>
      <c r="F38" s="36">
        <f t="shared" si="54"/>
        <v>222848847000</v>
      </c>
      <c r="G38" s="36">
        <f t="shared" si="54"/>
        <v>218841776000</v>
      </c>
      <c r="H38" s="36">
        <f t="shared" si="54"/>
        <v>249109261000</v>
      </c>
      <c r="I38" s="36">
        <f t="shared" si="54"/>
        <v>277639798000</v>
      </c>
      <c r="J38" s="434">
        <f t="shared" ref="J38:N38" si="55">+J109+J110</f>
        <v>292347633000</v>
      </c>
      <c r="K38" s="398">
        <f t="shared" si="55"/>
        <v>328922821000</v>
      </c>
      <c r="L38" s="36">
        <f t="shared" si="55"/>
        <v>0</v>
      </c>
      <c r="M38" s="36">
        <f t="shared" si="55"/>
        <v>0</v>
      </c>
      <c r="N38" s="36">
        <f t="shared" si="55"/>
        <v>0</v>
      </c>
    </row>
    <row r="39" spans="2:14" ht="25.5">
      <c r="B39" s="39" t="s">
        <v>181</v>
      </c>
      <c r="C39" s="40">
        <f>+C109+C110+C111+C114</f>
        <v>119116661000</v>
      </c>
      <c r="D39" s="40">
        <f t="shared" ref="D39:I39" si="56">+D109+D110+D111+D114</f>
        <v>94760582000</v>
      </c>
      <c r="E39" s="40">
        <f t="shared" si="56"/>
        <v>147143129000</v>
      </c>
      <c r="F39" s="40">
        <f t="shared" si="56"/>
        <v>109035840000</v>
      </c>
      <c r="G39" s="40">
        <f t="shared" si="56"/>
        <v>103279739000</v>
      </c>
      <c r="H39" s="40">
        <f t="shared" si="56"/>
        <v>144104107000</v>
      </c>
      <c r="I39" s="40">
        <f t="shared" si="56"/>
        <v>220323767000</v>
      </c>
      <c r="J39" s="435">
        <f t="shared" ref="J39:N39" si="57">+J109+J110+J111+J114</f>
        <v>170129096000</v>
      </c>
      <c r="K39" s="399">
        <f t="shared" si="57"/>
        <v>205142804000</v>
      </c>
      <c r="L39" s="40">
        <f t="shared" si="57"/>
        <v>0</v>
      </c>
      <c r="M39" s="40">
        <f t="shared" si="57"/>
        <v>0</v>
      </c>
      <c r="N39" s="40">
        <f t="shared" si="57"/>
        <v>0</v>
      </c>
    </row>
    <row r="40" spans="2:14" ht="25.5">
      <c r="B40" s="35" t="s">
        <v>294</v>
      </c>
      <c r="C40" s="41">
        <f>C39/C38</f>
        <v>0.55067757777899695</v>
      </c>
      <c r="D40" s="41">
        <f t="shared" ref="D40:I40" si="58">D39/D38</f>
        <v>0.47682431682001636</v>
      </c>
      <c r="E40" s="41">
        <f t="shared" si="58"/>
        <v>0.56351783028204971</v>
      </c>
      <c r="F40" s="41">
        <f t="shared" si="58"/>
        <v>0.48928159812287475</v>
      </c>
      <c r="G40" s="41">
        <f t="shared" si="58"/>
        <v>0.47193794936118594</v>
      </c>
      <c r="H40" s="41">
        <f t="shared" si="58"/>
        <v>0.57847751794342162</v>
      </c>
      <c r="I40" s="41">
        <f t="shared" si="58"/>
        <v>0.79355974390962492</v>
      </c>
      <c r="J40" s="436">
        <f t="shared" ref="J40:N40" si="59">J39/J38</f>
        <v>0.58194107560980324</v>
      </c>
      <c r="K40" s="400">
        <f t="shared" si="59"/>
        <v>0.62368066580579395</v>
      </c>
      <c r="L40" s="41" t="e">
        <f t="shared" si="59"/>
        <v>#DIV/0!</v>
      </c>
      <c r="M40" s="41" t="e">
        <f t="shared" si="59"/>
        <v>#DIV/0!</v>
      </c>
      <c r="N40" s="41" t="e">
        <f t="shared" si="59"/>
        <v>#DIV/0!</v>
      </c>
    </row>
    <row r="41" spans="2:14" ht="25.5">
      <c r="B41" s="43" t="s">
        <v>295</v>
      </c>
      <c r="C41" s="44">
        <f>+C125</f>
        <v>89831891000</v>
      </c>
      <c r="D41" s="44">
        <f t="shared" ref="D41:I41" si="60">+D125</f>
        <v>71216766000</v>
      </c>
      <c r="E41" s="44">
        <f t="shared" si="60"/>
        <v>116729011000</v>
      </c>
      <c r="F41" s="44">
        <f t="shared" si="60"/>
        <v>77373042000</v>
      </c>
      <c r="G41" s="44">
        <f t="shared" si="60"/>
        <v>101017173000</v>
      </c>
      <c r="H41" s="44">
        <f t="shared" si="60"/>
        <v>124478438000</v>
      </c>
      <c r="I41" s="44">
        <f t="shared" si="60"/>
        <v>126481080000</v>
      </c>
      <c r="J41" s="437">
        <f t="shared" ref="J41:N41" si="61">+J125</f>
        <v>129398125000</v>
      </c>
      <c r="K41" s="401">
        <f t="shared" si="61"/>
        <v>140082074000</v>
      </c>
      <c r="L41" s="44">
        <f t="shared" si="61"/>
        <v>0</v>
      </c>
      <c r="M41" s="44">
        <f t="shared" si="61"/>
        <v>0</v>
      </c>
      <c r="N41" s="44">
        <f t="shared" si="61"/>
        <v>0</v>
      </c>
    </row>
    <row r="42" spans="2:14" ht="25.5">
      <c r="B42" s="30" t="s">
        <v>296</v>
      </c>
      <c r="C42" s="45">
        <f>C41/C38</f>
        <v>0.41529377777964138</v>
      </c>
      <c r="D42" s="45">
        <f t="shared" ref="D42:I42" si="62">D41/D38</f>
        <v>0.35835455077809641</v>
      </c>
      <c r="E42" s="45">
        <f t="shared" si="62"/>
        <v>0.44704009936943451</v>
      </c>
      <c r="F42" s="45">
        <f t="shared" si="62"/>
        <v>0.3471996514301014</v>
      </c>
      <c r="G42" s="45">
        <f t="shared" si="62"/>
        <v>0.46159912812990517</v>
      </c>
      <c r="H42" s="45">
        <f t="shared" si="62"/>
        <v>0.49969414023511555</v>
      </c>
      <c r="I42" s="45">
        <f t="shared" si="62"/>
        <v>0.45555817613726979</v>
      </c>
      <c r="J42" s="438">
        <f t="shared" ref="J42:N42" si="63">J41/J38</f>
        <v>0.44261731717184793</v>
      </c>
      <c r="K42" s="402">
        <f t="shared" si="63"/>
        <v>0.42588128599322694</v>
      </c>
      <c r="L42" s="45" t="e">
        <f t="shared" si="63"/>
        <v>#DIV/0!</v>
      </c>
      <c r="M42" s="45" t="e">
        <f t="shared" si="63"/>
        <v>#DIV/0!</v>
      </c>
      <c r="N42" s="45" t="e">
        <f t="shared" si="63"/>
        <v>#DIV/0!</v>
      </c>
    </row>
    <row r="43" spans="2:14" ht="25.5">
      <c r="B43" s="46" t="s">
        <v>159</v>
      </c>
      <c r="C43" s="47">
        <f>+C126</f>
        <v>273.86</v>
      </c>
      <c r="D43" s="47">
        <f t="shared" ref="D43:I43" si="64">+D126</f>
        <v>217.11</v>
      </c>
      <c r="E43" s="47">
        <f t="shared" si="64"/>
        <v>355.86</v>
      </c>
      <c r="F43" s="47">
        <f t="shared" si="64"/>
        <v>235.88</v>
      </c>
      <c r="G43" s="47">
        <f t="shared" si="64"/>
        <v>307.95999999999998</v>
      </c>
      <c r="H43" s="47">
        <f t="shared" si="64"/>
        <v>379.49</v>
      </c>
      <c r="I43" s="47">
        <f t="shared" si="64"/>
        <v>385.59</v>
      </c>
      <c r="J43" s="439">
        <f t="shared" ref="J43:N43" si="65">+J126</f>
        <v>394.49</v>
      </c>
      <c r="K43" s="403">
        <f t="shared" si="65"/>
        <v>427.06</v>
      </c>
      <c r="L43" s="47">
        <f t="shared" si="65"/>
        <v>0</v>
      </c>
      <c r="M43" s="47">
        <f t="shared" si="65"/>
        <v>0</v>
      </c>
      <c r="N43" s="47">
        <f t="shared" si="65"/>
        <v>0</v>
      </c>
    </row>
    <row r="44" spans="2:14" ht="25.5">
      <c r="B44" s="48" t="s">
        <v>160</v>
      </c>
      <c r="C44" s="49">
        <f t="shared" ref="C44:I44" si="66">C41/C16</f>
        <v>7.1884641705711877E-2</v>
      </c>
      <c r="D44" s="49">
        <f t="shared" si="66"/>
        <v>5.7463100470474884E-2</v>
      </c>
      <c r="E44" s="49">
        <f t="shared" si="66"/>
        <v>9.3177714965583594E-2</v>
      </c>
      <c r="F44" s="49">
        <f t="shared" si="66"/>
        <v>6.4848781955426246E-2</v>
      </c>
      <c r="G44" s="49">
        <f t="shared" si="66"/>
        <v>8.6337865376193701E-2</v>
      </c>
      <c r="H44" s="49">
        <f t="shared" si="66"/>
        <v>0.10465519954246405</v>
      </c>
      <c r="I44" s="49">
        <f t="shared" si="66"/>
        <v>0.10661273820979138</v>
      </c>
      <c r="J44" s="440">
        <f t="shared" ref="J44:N44" si="67">J41/J16</f>
        <v>0.11011716280179694</v>
      </c>
      <c r="K44" s="404">
        <f t="shared" si="67"/>
        <v>0.11745899364785918</v>
      </c>
      <c r="L44" s="49" t="e">
        <f t="shared" si="67"/>
        <v>#DIV/0!</v>
      </c>
      <c r="M44" s="49" t="e">
        <f t="shared" si="67"/>
        <v>#DIV/0!</v>
      </c>
      <c r="N44" s="49" t="e">
        <f t="shared" si="67"/>
        <v>#DIV/0!</v>
      </c>
    </row>
    <row r="45" spans="2:14" ht="25.5">
      <c r="B45" s="48" t="s">
        <v>302</v>
      </c>
      <c r="C45" s="49">
        <f>AVERAGE(I44:K44)</f>
        <v>0.11139629821981584</v>
      </c>
      <c r="D45" s="49"/>
      <c r="E45" s="49"/>
      <c r="F45" s="49"/>
      <c r="G45" s="49"/>
      <c r="H45" s="49"/>
      <c r="I45" s="49"/>
      <c r="J45" s="440"/>
      <c r="K45" s="404"/>
      <c r="L45" s="49"/>
      <c r="M45" s="49"/>
      <c r="N45" s="49"/>
    </row>
    <row r="46" spans="2:14" ht="25.5">
      <c r="B46" s="48" t="s">
        <v>298</v>
      </c>
      <c r="C46" s="50">
        <f>+C138</f>
        <v>71478723000</v>
      </c>
      <c r="D46" s="50">
        <f t="shared" ref="D46:H46" si="68">+D138</f>
        <v>74742494000</v>
      </c>
      <c r="E46" s="50">
        <f t="shared" si="68"/>
        <v>80059657000</v>
      </c>
      <c r="F46" s="50">
        <f t="shared" si="68"/>
        <v>88934642000</v>
      </c>
      <c r="G46" s="50">
        <f t="shared" si="68"/>
        <v>54628169000</v>
      </c>
      <c r="H46" s="50">
        <f t="shared" si="68"/>
        <v>111018162000</v>
      </c>
      <c r="I46" s="50">
        <f t="shared" ref="I46:J46" si="69">+I138</f>
        <v>155439513000</v>
      </c>
      <c r="J46" s="441">
        <f t="shared" si="69"/>
        <v>153482779000</v>
      </c>
      <c r="K46" s="405">
        <f t="shared" ref="K46:N46" si="70">+K138</f>
        <v>162237915000</v>
      </c>
      <c r="L46" s="50">
        <f t="shared" si="70"/>
        <v>0</v>
      </c>
      <c r="M46" s="50">
        <f t="shared" si="70"/>
        <v>0</v>
      </c>
      <c r="N46" s="50">
        <f t="shared" si="70"/>
        <v>0</v>
      </c>
    </row>
    <row r="47" spans="2:14" ht="25.5">
      <c r="B47" s="51" t="s">
        <v>476</v>
      </c>
      <c r="C47" s="51">
        <f t="shared" ref="C47:G47" si="71">SUM(C49:C52)</f>
        <v>364</v>
      </c>
      <c r="D47" s="51">
        <f t="shared" si="71"/>
        <v>267</v>
      </c>
      <c r="E47" s="51">
        <f t="shared" si="71"/>
        <v>272.85000000000002</v>
      </c>
      <c r="F47" s="51">
        <f t="shared" si="71"/>
        <v>361</v>
      </c>
      <c r="G47" s="51">
        <f t="shared" si="71"/>
        <v>448.8</v>
      </c>
      <c r="H47" s="51">
        <f t="shared" ref="H47:N47" si="72">SUM(H49:H52)</f>
        <v>242.5</v>
      </c>
      <c r="I47" s="51">
        <f t="shared" si="72"/>
        <v>515</v>
      </c>
      <c r="J47" s="442">
        <f>SUM(J49:J52)</f>
        <v>425</v>
      </c>
      <c r="K47" s="406">
        <f t="shared" si="72"/>
        <v>371</v>
      </c>
      <c r="L47" s="51">
        <f t="shared" si="72"/>
        <v>0</v>
      </c>
      <c r="M47" s="51">
        <f t="shared" si="72"/>
        <v>0</v>
      </c>
      <c r="N47" s="51">
        <f t="shared" si="72"/>
        <v>0</v>
      </c>
    </row>
    <row r="48" spans="2:14" ht="25.5">
      <c r="B48" s="51" t="s">
        <v>112</v>
      </c>
      <c r="C48" s="51">
        <f>+C49+C50+C51</f>
        <v>332</v>
      </c>
      <c r="D48" s="51">
        <f t="shared" ref="D48:N48" si="73">+D49+D50+D51</f>
        <v>267</v>
      </c>
      <c r="E48" s="51">
        <f t="shared" si="73"/>
        <v>272.85000000000002</v>
      </c>
      <c r="F48" s="51">
        <f t="shared" si="73"/>
        <v>107</v>
      </c>
      <c r="G48" s="51">
        <f t="shared" si="73"/>
        <v>235.8</v>
      </c>
      <c r="H48" s="51">
        <f t="shared" si="73"/>
        <v>92.5</v>
      </c>
      <c r="I48" s="51">
        <f t="shared" si="73"/>
        <v>515</v>
      </c>
      <c r="J48" s="51">
        <f t="shared" si="73"/>
        <v>425</v>
      </c>
      <c r="K48" s="51">
        <f t="shared" si="73"/>
        <v>371</v>
      </c>
      <c r="L48" s="51">
        <f t="shared" si="73"/>
        <v>0</v>
      </c>
      <c r="M48" s="51">
        <f t="shared" si="73"/>
        <v>0</v>
      </c>
      <c r="N48" s="51">
        <f t="shared" si="73"/>
        <v>0</v>
      </c>
    </row>
    <row r="49" spans="2:14" ht="18">
      <c r="B49" s="135" t="s">
        <v>114</v>
      </c>
      <c r="C49" s="94">
        <v>332</v>
      </c>
      <c r="D49" s="94">
        <v>267</v>
      </c>
      <c r="E49" s="94">
        <v>217.11</v>
      </c>
      <c r="F49" s="94">
        <v>107</v>
      </c>
      <c r="G49" s="94"/>
      <c r="H49" s="94">
        <v>92.5</v>
      </c>
      <c r="I49" s="94"/>
      <c r="J49" s="443">
        <v>165</v>
      </c>
      <c r="K49" s="407">
        <v>134</v>
      </c>
      <c r="L49" s="94"/>
      <c r="M49" s="94"/>
      <c r="N49" s="94"/>
    </row>
    <row r="50" spans="2:14" ht="18">
      <c r="B50" s="135" t="s">
        <v>115</v>
      </c>
      <c r="C50" s="94"/>
      <c r="D50" s="94"/>
      <c r="E50" s="94"/>
      <c r="F50" s="94"/>
      <c r="G50" s="94">
        <v>163</v>
      </c>
      <c r="H50" s="94"/>
      <c r="I50" s="94">
        <f>200+180</f>
        <v>380</v>
      </c>
      <c r="J50" s="443">
        <f>260</f>
        <v>260</v>
      </c>
      <c r="K50" s="407">
        <v>237</v>
      </c>
      <c r="L50" s="94"/>
      <c r="M50" s="94"/>
      <c r="N50" s="94"/>
    </row>
    <row r="51" spans="2:14" ht="18">
      <c r="B51" s="135" t="s">
        <v>116</v>
      </c>
      <c r="C51" s="94"/>
      <c r="D51" s="94"/>
      <c r="E51" s="94">
        <v>55.74</v>
      </c>
      <c r="F51" s="94"/>
      <c r="G51" s="94">
        <v>72.8</v>
      </c>
      <c r="H51" s="94"/>
      <c r="I51" s="94">
        <v>135</v>
      </c>
      <c r="J51" s="443"/>
      <c r="K51" s="407"/>
      <c r="L51" s="94"/>
      <c r="M51" s="94"/>
      <c r="N51" s="94"/>
    </row>
    <row r="52" spans="2:14" ht="18">
      <c r="B52" s="135" t="s">
        <v>117</v>
      </c>
      <c r="C52" s="94">
        <v>32</v>
      </c>
      <c r="D52" s="94"/>
      <c r="E52" s="94"/>
      <c r="F52" s="94">
        <v>254</v>
      </c>
      <c r="G52" s="94">
        <v>213</v>
      </c>
      <c r="H52" s="94">
        <v>150</v>
      </c>
      <c r="I52" s="94"/>
      <c r="J52" s="443"/>
      <c r="K52" s="407"/>
      <c r="L52" s="94"/>
      <c r="M52" s="94"/>
      <c r="N52" s="94"/>
    </row>
    <row r="53" spans="2:14" ht="25.5">
      <c r="B53" s="51" t="s">
        <v>119</v>
      </c>
      <c r="C53" s="51">
        <f t="shared" ref="C53:N53" si="74">SUM(C55:C58)</f>
        <v>299</v>
      </c>
      <c r="D53" s="51">
        <f t="shared" si="74"/>
        <v>272.85000000000002</v>
      </c>
      <c r="E53" s="51">
        <f t="shared" si="74"/>
        <v>107</v>
      </c>
      <c r="F53" s="51">
        <f t="shared" si="74"/>
        <v>417</v>
      </c>
      <c r="G53" s="51">
        <f t="shared" si="74"/>
        <v>378.3</v>
      </c>
      <c r="H53" s="51">
        <f t="shared" si="74"/>
        <v>350</v>
      </c>
      <c r="I53" s="51">
        <f t="shared" si="74"/>
        <v>480</v>
      </c>
      <c r="J53" s="442">
        <f t="shared" si="74"/>
        <v>394</v>
      </c>
      <c r="K53" s="406">
        <f t="shared" si="74"/>
        <v>237</v>
      </c>
      <c r="L53" s="51">
        <f t="shared" si="74"/>
        <v>0</v>
      </c>
      <c r="M53" s="51">
        <f t="shared" si="74"/>
        <v>0</v>
      </c>
      <c r="N53" s="51">
        <f t="shared" si="74"/>
        <v>0</v>
      </c>
    </row>
    <row r="54" spans="2:14" ht="25.5">
      <c r="B54" s="51" t="s">
        <v>120</v>
      </c>
      <c r="C54" s="51">
        <f>+C55+C56+C57</f>
        <v>267</v>
      </c>
      <c r="D54" s="51">
        <f t="shared" ref="D54:N54" si="75">+D55+D56+D57</f>
        <v>272.85000000000002</v>
      </c>
      <c r="E54" s="51">
        <f t="shared" si="75"/>
        <v>107</v>
      </c>
      <c r="F54" s="51">
        <f t="shared" si="75"/>
        <v>163</v>
      </c>
      <c r="G54" s="51">
        <f t="shared" si="75"/>
        <v>165.3</v>
      </c>
      <c r="H54" s="51">
        <f t="shared" si="75"/>
        <v>200</v>
      </c>
      <c r="I54" s="51">
        <f t="shared" si="75"/>
        <v>480</v>
      </c>
      <c r="J54" s="51">
        <f t="shared" si="75"/>
        <v>394</v>
      </c>
      <c r="K54" s="51">
        <f t="shared" si="75"/>
        <v>237</v>
      </c>
      <c r="L54" s="51">
        <f t="shared" si="75"/>
        <v>0</v>
      </c>
      <c r="M54" s="51">
        <f t="shared" si="75"/>
        <v>0</v>
      </c>
      <c r="N54" s="51">
        <f t="shared" si="75"/>
        <v>0</v>
      </c>
    </row>
    <row r="55" spans="2:14" ht="18">
      <c r="B55" s="135" t="s">
        <v>121</v>
      </c>
      <c r="C55" s="94">
        <v>267</v>
      </c>
      <c r="D55" s="94">
        <v>217.11</v>
      </c>
      <c r="E55" s="94">
        <v>107</v>
      </c>
      <c r="F55" s="94"/>
      <c r="G55" s="94">
        <v>92.5</v>
      </c>
      <c r="H55" s="94"/>
      <c r="I55" s="94">
        <v>165</v>
      </c>
      <c r="J55" s="443">
        <v>134</v>
      </c>
      <c r="K55" s="407"/>
      <c r="L55" s="94"/>
      <c r="M55" s="94"/>
      <c r="N55" s="94"/>
    </row>
    <row r="56" spans="2:14" ht="18">
      <c r="B56" s="135" t="s">
        <v>122</v>
      </c>
      <c r="C56" s="94"/>
      <c r="D56" s="94"/>
      <c r="E56" s="94"/>
      <c r="F56" s="94">
        <v>163</v>
      </c>
      <c r="G56" s="94"/>
      <c r="H56" s="94">
        <v>200</v>
      </c>
      <c r="I56" s="94">
        <v>180</v>
      </c>
      <c r="J56" s="443">
        <v>260</v>
      </c>
      <c r="K56" s="407">
        <v>237</v>
      </c>
      <c r="L56" s="94"/>
      <c r="M56" s="94"/>
      <c r="N56" s="94"/>
    </row>
    <row r="57" spans="2:14" ht="18">
      <c r="B57" s="135" t="s">
        <v>123</v>
      </c>
      <c r="C57" s="94"/>
      <c r="D57" s="94">
        <v>55.74</v>
      </c>
      <c r="E57" s="94"/>
      <c r="F57" s="94"/>
      <c r="G57" s="94">
        <v>72.8</v>
      </c>
      <c r="H57" s="94"/>
      <c r="I57" s="94">
        <v>135</v>
      </c>
      <c r="J57" s="443"/>
      <c r="K57" s="407"/>
      <c r="L57" s="94"/>
      <c r="M57" s="94"/>
      <c r="N57" s="94"/>
    </row>
    <row r="58" spans="2:14" ht="18">
      <c r="B58" s="135" t="s">
        <v>124</v>
      </c>
      <c r="C58" s="94">
        <v>32</v>
      </c>
      <c r="D58" s="94"/>
      <c r="E58" s="94"/>
      <c r="F58" s="94">
        <v>254</v>
      </c>
      <c r="G58" s="94">
        <v>213</v>
      </c>
      <c r="H58" s="94">
        <v>150</v>
      </c>
      <c r="I58" s="94"/>
      <c r="J58" s="443"/>
      <c r="K58" s="407"/>
      <c r="L58" s="94"/>
      <c r="M58" s="94"/>
      <c r="N58" s="94"/>
    </row>
    <row r="59" spans="2:14" ht="28.5">
      <c r="B59" s="30" t="s">
        <v>167</v>
      </c>
      <c r="C59" s="539">
        <f>(C55+C56+C57)/C43</f>
        <v>0.97495070473964796</v>
      </c>
      <c r="D59" s="539">
        <f>(D55+D56+D57)/D43</f>
        <v>1.2567362166643636</v>
      </c>
      <c r="E59" s="539">
        <f t="shared" ref="E59:G59" si="76">(E55+E56+E57)/E43</f>
        <v>0.30068004271342663</v>
      </c>
      <c r="F59" s="539">
        <f t="shared" si="76"/>
        <v>0.691029336950992</v>
      </c>
      <c r="G59" s="539">
        <f t="shared" si="76"/>
        <v>0.53675802052214583</v>
      </c>
      <c r="H59" s="539">
        <f>(H55+H56+H57)/H43</f>
        <v>0.52702310996337187</v>
      </c>
      <c r="I59" s="539">
        <f>(I55+I56+I57)/I43</f>
        <v>1.2448455613475453</v>
      </c>
      <c r="J59" s="539">
        <f>(J55+J56+J57)/J43</f>
        <v>0.99875788993383863</v>
      </c>
      <c r="K59" s="539">
        <f t="shared" ref="K59:N59" si="77">(K55+K56+K57)/K43</f>
        <v>0.55495714887837777</v>
      </c>
      <c r="L59" s="539" t="e">
        <f t="shared" si="77"/>
        <v>#DIV/0!</v>
      </c>
      <c r="M59" s="539" t="e">
        <f t="shared" si="77"/>
        <v>#DIV/0!</v>
      </c>
      <c r="N59" s="539" t="e">
        <f t="shared" si="77"/>
        <v>#DIV/0!</v>
      </c>
    </row>
    <row r="60" spans="2:14" ht="28.5">
      <c r="B60" s="537" t="s">
        <v>303</v>
      </c>
      <c r="C60" s="54">
        <f>AVERAGE(I59:K59)</f>
        <v>0.93285353338658739</v>
      </c>
      <c r="D60" s="54"/>
      <c r="E60" s="54"/>
      <c r="F60" s="54"/>
      <c r="G60" s="54"/>
      <c r="H60" s="54"/>
      <c r="I60" s="54"/>
      <c r="J60" s="533"/>
      <c r="K60" s="408"/>
      <c r="L60" s="54"/>
      <c r="M60" s="54"/>
      <c r="N60" s="54"/>
    </row>
    <row r="61" spans="2:14" ht="25.5">
      <c r="B61" s="30" t="s">
        <v>299</v>
      </c>
      <c r="C61" s="45" t="e">
        <f>+C47/B23</f>
        <v>#VALUE!</v>
      </c>
      <c r="D61" s="45">
        <f t="shared" ref="D61:I61" si="78">+D47/D23</f>
        <v>8.3962264150943391E-2</v>
      </c>
      <c r="E61" s="45">
        <f t="shared" si="78"/>
        <v>9.7446428571428573E-2</v>
      </c>
      <c r="F61" s="45">
        <f t="shared" si="78"/>
        <v>0.20145089285714285</v>
      </c>
      <c r="G61" s="45">
        <f t="shared" si="78"/>
        <v>0.73573770491803281</v>
      </c>
      <c r="H61" s="45">
        <f t="shared" si="78"/>
        <v>0.189453125</v>
      </c>
      <c r="I61" s="45">
        <f t="shared" si="78"/>
        <v>0.19202087994034303</v>
      </c>
      <c r="J61" s="832">
        <f>+J47/J23</f>
        <v>0.13710561971740112</v>
      </c>
      <c r="K61" s="455">
        <f t="shared" ref="K61:N61" si="79">+K47/K23</f>
        <v>7.1072796934865901E-2</v>
      </c>
      <c r="L61" s="99" t="e">
        <f t="shared" si="79"/>
        <v>#DIV/0!</v>
      </c>
      <c r="M61" s="99" t="e">
        <f t="shared" si="79"/>
        <v>#DIV/0!</v>
      </c>
      <c r="N61" s="99" t="e">
        <f t="shared" si="79"/>
        <v>#DIV/0!</v>
      </c>
    </row>
    <row r="62" spans="2:14" ht="25.5">
      <c r="B62" s="55" t="s">
        <v>305</v>
      </c>
      <c r="C62" s="534">
        <f>AVERAGE(I61:K61)</f>
        <v>0.13339976553087002</v>
      </c>
      <c r="D62" s="534"/>
      <c r="E62" s="534"/>
      <c r="F62" s="534"/>
      <c r="G62" s="534"/>
      <c r="H62" s="534"/>
      <c r="I62" s="534"/>
      <c r="J62" s="534"/>
      <c r="K62" s="534"/>
      <c r="L62" s="534"/>
      <c r="M62" s="534"/>
      <c r="N62" s="534"/>
    </row>
    <row r="63" spans="2:14" ht="25.5">
      <c r="B63" s="354" t="s">
        <v>176</v>
      </c>
      <c r="C63" s="355">
        <f>+C44*(100%-C59)</f>
        <v>1.8006596147709935E-3</v>
      </c>
      <c r="D63" s="355">
        <f>IFERROR(+D44*(100%-D59),0)</f>
        <v>-1.4752859012593936E-2</v>
      </c>
      <c r="E63" s="355">
        <f t="shared" ref="E63:J63" si="80">IFERROR(+E44*(100%-E59),0)</f>
        <v>6.516103564979242E-2</v>
      </c>
      <c r="F63" s="355">
        <f t="shared" si="80"/>
        <v>2.0036371158688594E-2</v>
      </c>
      <c r="G63" s="355">
        <f t="shared" si="80"/>
        <v>3.999532366076046E-2</v>
      </c>
      <c r="H63" s="355">
        <f t="shared" si="80"/>
        <v>4.9499490805757392E-2</v>
      </c>
      <c r="I63" s="355">
        <f t="shared" si="80"/>
        <v>-2.6103655733775263E-2</v>
      </c>
      <c r="J63" s="355">
        <f t="shared" si="80"/>
        <v>1.3677763637324263E-4</v>
      </c>
      <c r="K63" s="355">
        <f>+K44*(100%-K59)</f>
        <v>5.2274285422919765E-2</v>
      </c>
      <c r="L63" s="355" t="e">
        <f>+L44*(100%-L59)</f>
        <v>#DIV/0!</v>
      </c>
      <c r="M63" s="355" t="e">
        <f>+M44*(100%-M59)</f>
        <v>#DIV/0!</v>
      </c>
      <c r="N63" s="355" t="e">
        <f>+N44*(100%-N59)</f>
        <v>#DIV/0!</v>
      </c>
    </row>
    <row r="64" spans="2:14" ht="25.5">
      <c r="B64" s="55" t="s">
        <v>306</v>
      </c>
      <c r="C64" s="534">
        <f>AVERAGE(H63:J63)</f>
        <v>7.8442042361184568E-3</v>
      </c>
      <c r="D64" s="534"/>
      <c r="E64" s="534"/>
      <c r="F64" s="534"/>
      <c r="G64" s="534"/>
      <c r="H64" s="534"/>
      <c r="I64" s="534"/>
      <c r="J64" s="535"/>
      <c r="K64" s="534"/>
      <c r="L64" s="534"/>
      <c r="M64" s="534"/>
      <c r="N64" s="534"/>
    </row>
    <row r="65" spans="2:14" ht="25.5">
      <c r="B65" s="543" t="s">
        <v>300</v>
      </c>
      <c r="C65" s="785">
        <f ca="1">B3</f>
        <v>5000</v>
      </c>
    </row>
    <row r="66" spans="2:14" ht="14.25"/>
    <row r="67" spans="2:14" ht="14.25">
      <c r="B67" s="75" t="s">
        <v>307</v>
      </c>
    </row>
    <row r="68" spans="2:14" ht="14.25"/>
    <row r="69" spans="2:14" ht="14.25">
      <c r="B69" s="82" t="s">
        <v>308</v>
      </c>
      <c r="C69" s="88">
        <v>2017</v>
      </c>
      <c r="D69" s="88">
        <v>2018</v>
      </c>
      <c r="E69" s="88">
        <v>2019</v>
      </c>
      <c r="F69" s="88">
        <v>2020</v>
      </c>
      <c r="G69" s="88">
        <v>2021</v>
      </c>
      <c r="H69" s="89">
        <v>2022</v>
      </c>
      <c r="I69" s="88">
        <v>2023</v>
      </c>
      <c r="J69" s="89">
        <v>2024</v>
      </c>
      <c r="K69" s="103">
        <v>2025</v>
      </c>
      <c r="L69" s="89">
        <v>2026</v>
      </c>
      <c r="M69" s="88">
        <v>2027</v>
      </c>
      <c r="N69" s="89">
        <v>2028</v>
      </c>
    </row>
    <row r="70" spans="2:14" ht="14.25">
      <c r="B70" s="57" t="s">
        <v>309</v>
      </c>
      <c r="C70" s="62"/>
      <c r="D70" s="62"/>
      <c r="E70" s="62"/>
      <c r="F70" s="62"/>
      <c r="G70" s="62"/>
      <c r="H70" s="63"/>
      <c r="I70" s="104"/>
      <c r="J70" s="463"/>
      <c r="K70" s="104"/>
      <c r="L70" s="104"/>
      <c r="M70" s="104"/>
      <c r="N70" s="104"/>
    </row>
    <row r="71" spans="2:14" ht="14.25">
      <c r="B71" s="58" t="s">
        <v>310</v>
      </c>
      <c r="C71" s="64">
        <v>96781393000</v>
      </c>
      <c r="D71" s="64">
        <v>90778929000</v>
      </c>
      <c r="E71" s="64">
        <v>91968636000</v>
      </c>
      <c r="F71" s="64">
        <v>104740813000</v>
      </c>
      <c r="G71" s="64">
        <v>96727439000</v>
      </c>
      <c r="H71" s="65">
        <v>120937506000</v>
      </c>
      <c r="I71" s="196">
        <v>121130593000</v>
      </c>
      <c r="J71" s="196">
        <v>144971008000</v>
      </c>
      <c r="K71" s="196">
        <v>186137095000</v>
      </c>
      <c r="L71" s="196"/>
      <c r="M71" s="196"/>
      <c r="N71" s="196"/>
    </row>
    <row r="72" spans="2:14" ht="14.25">
      <c r="B72" s="59" t="s">
        <v>311</v>
      </c>
      <c r="C72" s="66">
        <v>65847312000</v>
      </c>
      <c r="D72" s="66">
        <v>57875916000</v>
      </c>
      <c r="E72" s="66">
        <v>56541519000</v>
      </c>
      <c r="F72" s="66">
        <v>62411721000</v>
      </c>
      <c r="G72" s="66">
        <v>42139207000</v>
      </c>
      <c r="H72" s="67">
        <v>87407386000</v>
      </c>
      <c r="I72" s="105">
        <v>44735610000</v>
      </c>
      <c r="J72" s="105">
        <v>30652904000</v>
      </c>
      <c r="K72" s="105">
        <v>35163613000</v>
      </c>
      <c r="L72" s="105"/>
      <c r="M72" s="105"/>
      <c r="N72" s="105"/>
    </row>
    <row r="73" spans="2:14" ht="14.25">
      <c r="B73" s="59" t="s">
        <v>809</v>
      </c>
      <c r="C73" s="139"/>
      <c r="D73" s="66"/>
      <c r="E73" s="66"/>
      <c r="F73" s="66"/>
      <c r="G73" s="66"/>
      <c r="H73" s="67">
        <v>9066873000</v>
      </c>
      <c r="I73" s="105">
        <v>45681117000</v>
      </c>
      <c r="J73" s="105">
        <v>84907070000</v>
      </c>
      <c r="K73" s="105">
        <v>129932430000</v>
      </c>
      <c r="L73" s="105"/>
      <c r="M73" s="105"/>
      <c r="N73" s="105"/>
    </row>
    <row r="74" spans="2:14" ht="14.25">
      <c r="B74" s="59" t="s">
        <v>313</v>
      </c>
      <c r="C74" s="68">
        <v>7382662000</v>
      </c>
      <c r="D74" s="66">
        <v>10511413000</v>
      </c>
      <c r="E74" s="66">
        <v>10605379000</v>
      </c>
      <c r="F74" s="66">
        <v>28264336000</v>
      </c>
      <c r="G74" s="66">
        <v>37901756000</v>
      </c>
      <c r="H74" s="105">
        <v>12917781000</v>
      </c>
      <c r="I74" s="105">
        <v>20093178000</v>
      </c>
      <c r="J74" s="105">
        <v>18216979000</v>
      </c>
      <c r="K74" s="105">
        <v>14211269000</v>
      </c>
      <c r="L74" s="105"/>
      <c r="M74" s="105"/>
      <c r="N74" s="105"/>
    </row>
    <row r="75" spans="2:14" ht="14.25">
      <c r="B75" s="59" t="s">
        <v>314</v>
      </c>
      <c r="C75" s="66">
        <v>1532603000</v>
      </c>
      <c r="D75" s="66">
        <v>3597938000</v>
      </c>
      <c r="E75" s="66">
        <v>3561805000</v>
      </c>
      <c r="F75" s="66">
        <v>2144743000</v>
      </c>
      <c r="G75" s="66">
        <v>2086331000</v>
      </c>
      <c r="H75" s="67">
        <v>2166792000</v>
      </c>
      <c r="I75" s="105">
        <v>7102757000</v>
      </c>
      <c r="J75" s="105">
        <v>2636416000</v>
      </c>
      <c r="K75" s="105">
        <v>2852814000</v>
      </c>
      <c r="L75" s="105"/>
      <c r="M75" s="105"/>
      <c r="N75" s="105"/>
    </row>
    <row r="76" spans="2:14" ht="14.25">
      <c r="B76" s="59" t="s">
        <v>318</v>
      </c>
      <c r="C76" s="66">
        <f t="shared" ref="C76:G76" si="81">+C71-C72-C74-C75</f>
        <v>22018816000</v>
      </c>
      <c r="D76" s="66">
        <f t="shared" si="81"/>
        <v>18793662000</v>
      </c>
      <c r="E76" s="66">
        <f t="shared" si="81"/>
        <v>21259933000</v>
      </c>
      <c r="F76" s="66">
        <f t="shared" si="81"/>
        <v>11920013000</v>
      </c>
      <c r="G76" s="66">
        <f t="shared" si="81"/>
        <v>14600145000</v>
      </c>
      <c r="H76" s="67">
        <f>+H71-H72-H74-H75-H73</f>
        <v>9378674000</v>
      </c>
      <c r="I76" s="105">
        <f>+I71-I72-I74-I75-I73</f>
        <v>3517931000</v>
      </c>
      <c r="J76" s="105">
        <v>93464709000</v>
      </c>
      <c r="K76" s="105">
        <f t="shared" ref="K76:N76" si="82">+K71-K72-K74-K75</f>
        <v>133909399000</v>
      </c>
      <c r="L76" s="105">
        <f t="shared" si="82"/>
        <v>0</v>
      </c>
      <c r="M76" s="105">
        <f t="shared" si="82"/>
        <v>0</v>
      </c>
      <c r="N76" s="105">
        <f t="shared" si="82"/>
        <v>0</v>
      </c>
    </row>
    <row r="77" spans="2:14" ht="14.25">
      <c r="B77" s="58" t="s">
        <v>319</v>
      </c>
      <c r="C77" s="64">
        <v>1219217482000</v>
      </c>
      <c r="D77" s="64">
        <v>1208576877000</v>
      </c>
      <c r="E77" s="64">
        <v>1263911976000</v>
      </c>
      <c r="F77" s="69">
        <v>1254392105000</v>
      </c>
      <c r="G77" s="69">
        <v>1208990437000</v>
      </c>
      <c r="H77" s="65">
        <v>1186773485000</v>
      </c>
      <c r="I77" s="196">
        <v>1210802335000</v>
      </c>
      <c r="J77" s="196">
        <v>1232832011000</v>
      </c>
      <c r="K77" s="196">
        <v>1271657684000</v>
      </c>
      <c r="L77" s="196"/>
      <c r="M77" s="196"/>
      <c r="N77" s="196"/>
    </row>
    <row r="78" spans="2:14" ht="14.25">
      <c r="B78" s="59" t="s">
        <v>320</v>
      </c>
      <c r="C78" s="66">
        <v>322730155000</v>
      </c>
      <c r="D78" s="66">
        <v>330947147000</v>
      </c>
      <c r="E78" s="66">
        <v>390023192000</v>
      </c>
      <c r="F78" s="66">
        <v>380113026000</v>
      </c>
      <c r="G78" s="66">
        <v>321400561000</v>
      </c>
      <c r="H78" s="67">
        <v>335643261000</v>
      </c>
      <c r="I78" s="105">
        <v>360860816000</v>
      </c>
      <c r="J78" s="105">
        <v>385654943000</v>
      </c>
      <c r="K78" s="105">
        <v>438709120000</v>
      </c>
      <c r="L78" s="105"/>
      <c r="M78" s="105"/>
      <c r="N78" s="105"/>
    </row>
    <row r="79" spans="2:14" ht="14.25">
      <c r="B79" s="59" t="s">
        <v>810</v>
      </c>
      <c r="C79" s="66">
        <v>0</v>
      </c>
      <c r="D79" s="66">
        <v>0</v>
      </c>
      <c r="E79" s="66">
        <v>0</v>
      </c>
      <c r="F79" s="66">
        <v>3559544000</v>
      </c>
      <c r="G79" s="66">
        <v>3392328000</v>
      </c>
      <c r="H79" s="67"/>
      <c r="I79" s="105"/>
      <c r="J79" s="105"/>
      <c r="K79" s="105"/>
      <c r="L79" s="105"/>
      <c r="M79" s="105"/>
      <c r="N79" s="105"/>
    </row>
    <row r="80" spans="2:14" ht="14.25">
      <c r="B80" s="59" t="s">
        <v>322</v>
      </c>
      <c r="C80" s="66">
        <v>9714108000</v>
      </c>
      <c r="D80" s="66">
        <v>9308532000</v>
      </c>
      <c r="E80" s="66">
        <v>10295319000</v>
      </c>
      <c r="F80" s="66">
        <v>10257926000</v>
      </c>
      <c r="G80" s="66">
        <v>11195870000</v>
      </c>
      <c r="H80" s="67">
        <v>9858632000</v>
      </c>
      <c r="I80" s="105">
        <v>8691172000</v>
      </c>
      <c r="J80" s="105">
        <v>9120090000</v>
      </c>
      <c r="K80" s="105">
        <v>7283869000</v>
      </c>
      <c r="L80" s="105"/>
      <c r="M80" s="105"/>
      <c r="N80" s="105"/>
    </row>
    <row r="81" spans="2:14" ht="14.25">
      <c r="B81" s="59" t="s">
        <v>323</v>
      </c>
      <c r="C81" s="66">
        <v>818231684000</v>
      </c>
      <c r="D81" s="66">
        <v>826684440000</v>
      </c>
      <c r="E81" s="66">
        <v>827843593000</v>
      </c>
      <c r="F81" s="66">
        <v>824373861000</v>
      </c>
      <c r="G81" s="66">
        <v>838625827000</v>
      </c>
      <c r="H81" s="67">
        <v>807069327000</v>
      </c>
      <c r="I81" s="105">
        <v>798984727000</v>
      </c>
      <c r="J81" s="105">
        <v>793310590000</v>
      </c>
      <c r="K81" s="105">
        <v>790070841000</v>
      </c>
      <c r="L81" s="105"/>
      <c r="M81" s="105"/>
      <c r="N81" s="105"/>
    </row>
    <row r="82" spans="2:14" ht="14.25">
      <c r="B82" s="59" t="s">
        <v>324</v>
      </c>
      <c r="C82" s="66">
        <v>31269339000</v>
      </c>
      <c r="D82" s="66">
        <v>31356765000</v>
      </c>
      <c r="E82" s="66">
        <v>34818880000</v>
      </c>
      <c r="F82" s="66">
        <v>35757458000</v>
      </c>
      <c r="G82" s="66">
        <v>33785848000</v>
      </c>
      <c r="H82" s="67">
        <v>31955831000</v>
      </c>
      <c r="I82" s="105">
        <v>34946262000</v>
      </c>
      <c r="J82" s="105">
        <v>36367164000</v>
      </c>
      <c r="K82" s="105">
        <v>34551966000</v>
      </c>
      <c r="L82" s="105"/>
      <c r="M82" s="105"/>
      <c r="N82" s="105"/>
    </row>
    <row r="83" spans="2:14" ht="14.25">
      <c r="B83" s="59" t="s">
        <v>328</v>
      </c>
      <c r="C83" s="66">
        <f t="shared" ref="C83:F83" si="83">+C77-C80-C81-C82-C79-C78</f>
        <v>37272196000</v>
      </c>
      <c r="D83" s="66">
        <f t="shared" si="83"/>
        <v>10279993000</v>
      </c>
      <c r="E83" s="66">
        <f t="shared" si="83"/>
        <v>930992000</v>
      </c>
      <c r="F83" s="66">
        <f t="shared" si="83"/>
        <v>330290000</v>
      </c>
      <c r="G83" s="66">
        <f>+G77-G80-G81-G82-G79-G78</f>
        <v>590003000</v>
      </c>
      <c r="H83" s="66">
        <f t="shared" ref="H83:I83" si="84">+H77-H80-H81-H82-H79-H78</f>
        <v>2246434000</v>
      </c>
      <c r="I83" s="66">
        <f t="shared" si="84"/>
        <v>7319358000</v>
      </c>
      <c r="J83" s="66">
        <v>8379224000</v>
      </c>
      <c r="K83" s="105">
        <f t="shared" ref="K83:N83" si="85">+K77-K80-K81-K82-K79-K78</f>
        <v>1041888000</v>
      </c>
      <c r="L83" s="66">
        <f t="shared" si="85"/>
        <v>0</v>
      </c>
      <c r="M83" s="66">
        <f t="shared" si="85"/>
        <v>0</v>
      </c>
      <c r="N83" s="66">
        <f t="shared" si="85"/>
        <v>0</v>
      </c>
    </row>
    <row r="84" spans="2:14" ht="14.25">
      <c r="B84" s="60" t="s">
        <v>329</v>
      </c>
      <c r="C84" s="70">
        <f t="shared" ref="C84:I84" si="86">+C77+C71</f>
        <v>1315998875000</v>
      </c>
      <c r="D84" s="70">
        <f t="shared" si="86"/>
        <v>1299355806000</v>
      </c>
      <c r="E84" s="70">
        <f t="shared" si="86"/>
        <v>1355880612000</v>
      </c>
      <c r="F84" s="70">
        <f t="shared" si="86"/>
        <v>1359132918000</v>
      </c>
      <c r="G84" s="70">
        <f t="shared" si="86"/>
        <v>1305717876000</v>
      </c>
      <c r="H84" s="71">
        <f t="shared" si="86"/>
        <v>1307710991000</v>
      </c>
      <c r="I84" s="106">
        <f t="shared" si="86"/>
        <v>1331932928000</v>
      </c>
      <c r="J84" s="106">
        <v>1377803019000</v>
      </c>
      <c r="K84" s="106">
        <f t="shared" ref="K84:N84" si="87">+K77+K71</f>
        <v>1457794779000</v>
      </c>
      <c r="L84" s="106">
        <f t="shared" si="87"/>
        <v>0</v>
      </c>
      <c r="M84" s="106">
        <f t="shared" si="87"/>
        <v>0</v>
      </c>
      <c r="N84" s="106">
        <f t="shared" si="87"/>
        <v>0</v>
      </c>
    </row>
    <row r="85" spans="2:14" ht="14.25">
      <c r="B85" s="61"/>
      <c r="C85" s="72"/>
      <c r="D85" s="72"/>
      <c r="E85" s="72"/>
      <c r="F85" s="72"/>
      <c r="G85" s="72"/>
      <c r="H85" s="73"/>
      <c r="I85" s="107"/>
      <c r="J85" s="466"/>
      <c r="K85" s="107"/>
      <c r="L85" s="107"/>
      <c r="M85" s="107"/>
      <c r="N85" s="107"/>
    </row>
    <row r="86" spans="2:14" ht="14.25">
      <c r="B86" s="57" t="s">
        <v>330</v>
      </c>
      <c r="C86" s="62"/>
      <c r="D86" s="62"/>
      <c r="E86" s="62"/>
      <c r="F86" s="62"/>
      <c r="G86" s="62"/>
      <c r="H86" s="63"/>
      <c r="I86" s="104"/>
      <c r="J86" s="463"/>
      <c r="K86" s="104"/>
      <c r="L86" s="104"/>
      <c r="M86" s="104"/>
      <c r="N86" s="104"/>
    </row>
    <row r="87" spans="2:14" ht="14.25">
      <c r="B87" s="58" t="s">
        <v>310</v>
      </c>
      <c r="C87" s="64">
        <v>65719668000</v>
      </c>
      <c r="D87" s="64">
        <v>59044013000</v>
      </c>
      <c r="E87" s="64">
        <v>79757739000</v>
      </c>
      <c r="F87" s="64">
        <v>139861311000</v>
      </c>
      <c r="G87" s="64">
        <v>109348694000</v>
      </c>
      <c r="H87" s="65">
        <v>96278701000</v>
      </c>
      <c r="I87" s="196">
        <v>95562340000</v>
      </c>
      <c r="J87" s="464">
        <v>127837566000</v>
      </c>
      <c r="K87" s="196">
        <v>184860277000</v>
      </c>
      <c r="L87" s="196"/>
      <c r="M87" s="196"/>
      <c r="N87" s="196"/>
    </row>
    <row r="88" spans="2:14" ht="14.25">
      <c r="B88" s="59" t="s">
        <v>687</v>
      </c>
      <c r="C88" s="66">
        <f t="shared" ref="C88:F88" si="88">+C87-C89-C90-C91</f>
        <v>13827398000</v>
      </c>
      <c r="D88" s="66">
        <f t="shared" si="88"/>
        <v>12740015000</v>
      </c>
      <c r="E88" s="66">
        <f t="shared" si="88"/>
        <v>17527716000</v>
      </c>
      <c r="F88" s="66">
        <f t="shared" si="88"/>
        <v>25207274000</v>
      </c>
      <c r="G88" s="66">
        <f>+G87-G89-G90-G91</f>
        <v>17742445000</v>
      </c>
      <c r="H88" s="67">
        <v>864530000</v>
      </c>
      <c r="I88" s="105">
        <v>1232449000</v>
      </c>
      <c r="J88" s="456">
        <v>893496000</v>
      </c>
      <c r="K88" s="105">
        <v>481584000</v>
      </c>
      <c r="L88" s="105"/>
      <c r="M88" s="105"/>
      <c r="N88" s="105"/>
    </row>
    <row r="89" spans="2:14" ht="14.25">
      <c r="B89" s="59" t="s">
        <v>688</v>
      </c>
      <c r="C89" s="66">
        <v>50118597000</v>
      </c>
      <c r="D89" s="66">
        <v>42285538000</v>
      </c>
      <c r="E89" s="66">
        <v>58742338000</v>
      </c>
      <c r="F89" s="66">
        <v>110481105000</v>
      </c>
      <c r="G89" s="66">
        <v>85463173000</v>
      </c>
      <c r="H89" s="67">
        <v>74870074000</v>
      </c>
      <c r="I89" s="105">
        <v>73313447000</v>
      </c>
      <c r="J89" s="456">
        <v>107532567000</v>
      </c>
      <c r="K89" s="105">
        <v>139934260000</v>
      </c>
      <c r="L89" s="105"/>
      <c r="M89" s="105"/>
      <c r="N89" s="105"/>
    </row>
    <row r="90" spans="2:14" ht="14.25">
      <c r="B90" s="59" t="s">
        <v>689</v>
      </c>
      <c r="C90" s="66">
        <v>451485000</v>
      </c>
      <c r="D90" s="66">
        <v>2675733000</v>
      </c>
      <c r="E90" s="66">
        <v>1554916000</v>
      </c>
      <c r="F90" s="66">
        <v>2131875000</v>
      </c>
      <c r="G90" s="66">
        <v>3750858000</v>
      </c>
      <c r="H90" s="67">
        <v>3015889000</v>
      </c>
      <c r="I90" s="105">
        <v>3641328000</v>
      </c>
      <c r="J90" s="456">
        <v>2861251000</v>
      </c>
      <c r="K90" s="105">
        <v>4236990000</v>
      </c>
      <c r="L90" s="105"/>
      <c r="M90" s="105"/>
      <c r="N90" s="105"/>
    </row>
    <row r="91" spans="2:14" ht="14.25">
      <c r="B91" s="59" t="s">
        <v>337</v>
      </c>
      <c r="C91" s="66">
        <v>1322188000</v>
      </c>
      <c r="D91" s="66">
        <v>1342727000</v>
      </c>
      <c r="E91" s="66">
        <v>1932769000</v>
      </c>
      <c r="F91" s="66">
        <v>2041057000</v>
      </c>
      <c r="G91" s="66">
        <v>2392218000</v>
      </c>
      <c r="H91" s="67">
        <v>2516658000</v>
      </c>
      <c r="I91" s="105">
        <v>2298089000</v>
      </c>
      <c r="J91" s="456">
        <v>3660232000</v>
      </c>
      <c r="K91" s="105">
        <v>2979548000</v>
      </c>
      <c r="L91" s="105"/>
      <c r="M91" s="105"/>
      <c r="N91" s="105"/>
    </row>
    <row r="92" spans="2:14" ht="14.25">
      <c r="B92" s="59" t="s">
        <v>531</v>
      </c>
      <c r="C92" s="66">
        <f t="shared" ref="C92:F92" si="89">+C87-C88-C89-C90-C91</f>
        <v>0</v>
      </c>
      <c r="D92" s="66">
        <f t="shared" si="89"/>
        <v>0</v>
      </c>
      <c r="E92" s="66">
        <f t="shared" si="89"/>
        <v>0</v>
      </c>
      <c r="F92" s="66">
        <f t="shared" si="89"/>
        <v>0</v>
      </c>
      <c r="G92" s="66">
        <f>+G87-G88-G89-G90-G91</f>
        <v>0</v>
      </c>
      <c r="H92" s="67">
        <f>+H87-H88-H89-H90-H91</f>
        <v>15011550000</v>
      </c>
      <c r="I92" s="67">
        <f>+I87-I88-I89-I90-I91</f>
        <v>15077027000</v>
      </c>
      <c r="J92" s="67">
        <v>12890020000</v>
      </c>
      <c r="K92" s="456">
        <f t="shared" ref="K92:N92" si="90">+K87-K88-K89-K90-K91</f>
        <v>37227895000</v>
      </c>
      <c r="L92" s="67">
        <f t="shared" si="90"/>
        <v>0</v>
      </c>
      <c r="M92" s="67">
        <f t="shared" si="90"/>
        <v>0</v>
      </c>
      <c r="N92" s="67">
        <f t="shared" si="90"/>
        <v>0</v>
      </c>
    </row>
    <row r="93" spans="2:14" ht="14.25">
      <c r="B93" s="58" t="s">
        <v>319</v>
      </c>
      <c r="C93" s="64">
        <v>611802000</v>
      </c>
      <c r="D93" s="64">
        <v>963970000</v>
      </c>
      <c r="E93" s="64">
        <v>23366056000</v>
      </c>
      <c r="F93" s="64">
        <v>26141313000</v>
      </c>
      <c r="G93" s="64">
        <v>26347452000</v>
      </c>
      <c r="H93" s="65">
        <v>25380094000</v>
      </c>
      <c r="I93" s="196">
        <v>52010601000</v>
      </c>
      <c r="J93" s="464">
        <v>74870409000</v>
      </c>
      <c r="K93" s="196">
        <v>80330425000</v>
      </c>
      <c r="L93" s="196"/>
      <c r="M93" s="196"/>
      <c r="N93" s="196"/>
    </row>
    <row r="94" spans="2:14" ht="14.25">
      <c r="B94" s="59" t="s">
        <v>811</v>
      </c>
      <c r="C94" s="66">
        <v>31381000</v>
      </c>
      <c r="D94" s="66">
        <v>0</v>
      </c>
      <c r="E94" s="66">
        <v>5185215000</v>
      </c>
      <c r="F94" s="66">
        <v>3918854000</v>
      </c>
      <c r="G94" s="66">
        <v>2279192000</v>
      </c>
      <c r="H94" s="67">
        <v>1483072000</v>
      </c>
      <c r="I94" s="105">
        <v>3517110000</v>
      </c>
      <c r="J94" s="456">
        <v>5163351000</v>
      </c>
      <c r="K94" s="105">
        <v>4484716000</v>
      </c>
      <c r="L94" s="105"/>
      <c r="M94" s="105"/>
      <c r="N94" s="105"/>
    </row>
    <row r="95" spans="2:14" ht="14.25">
      <c r="B95" s="59" t="s">
        <v>339</v>
      </c>
      <c r="C95" s="66">
        <v>0</v>
      </c>
      <c r="D95" s="66">
        <v>0</v>
      </c>
      <c r="E95" s="66">
        <v>17617660000</v>
      </c>
      <c r="F95" s="66">
        <v>21667442000</v>
      </c>
      <c r="G95" s="66">
        <v>23557338000</v>
      </c>
      <c r="H95" s="67">
        <v>23370206000</v>
      </c>
      <c r="I95" s="105">
        <v>43667815000</v>
      </c>
      <c r="J95" s="456">
        <v>65966157000</v>
      </c>
      <c r="K95" s="105">
        <v>72494796000</v>
      </c>
      <c r="L95" s="105"/>
      <c r="M95" s="105"/>
      <c r="N95" s="105"/>
    </row>
    <row r="96" spans="2:14" ht="14.25">
      <c r="B96" s="59" t="s">
        <v>690</v>
      </c>
      <c r="C96" s="66">
        <v>0</v>
      </c>
      <c r="D96" s="66">
        <v>0</v>
      </c>
      <c r="E96" s="66">
        <v>0</v>
      </c>
      <c r="F96" s="66">
        <v>0</v>
      </c>
      <c r="G96" s="66">
        <v>0</v>
      </c>
      <c r="H96" s="67"/>
      <c r="I96" s="105"/>
      <c r="J96" s="456"/>
      <c r="K96" s="105"/>
      <c r="L96" s="105"/>
      <c r="M96" s="105"/>
      <c r="N96" s="105"/>
    </row>
    <row r="97" spans="2:14" ht="14.25">
      <c r="B97" s="59" t="s">
        <v>334</v>
      </c>
      <c r="C97" s="66">
        <v>556691000</v>
      </c>
      <c r="D97" s="66">
        <v>529820000</v>
      </c>
      <c r="E97" s="66">
        <v>539819000</v>
      </c>
      <c r="F97" s="66">
        <v>531028000</v>
      </c>
      <c r="G97" s="66">
        <v>466718000</v>
      </c>
      <c r="H97" s="67">
        <v>479867000</v>
      </c>
      <c r="I97" s="105">
        <v>4777069000</v>
      </c>
      <c r="J97" s="456">
        <v>3690721000</v>
      </c>
      <c r="K97" s="105">
        <v>3299466000</v>
      </c>
      <c r="L97" s="105"/>
      <c r="M97" s="105"/>
      <c r="N97" s="105"/>
    </row>
    <row r="98" spans="2:14" ht="14.25">
      <c r="B98" s="59" t="s">
        <v>341</v>
      </c>
      <c r="C98" s="66">
        <f t="shared" ref="C98:F98" si="91">+C93-C94-C95-C96-C97</f>
        <v>23730000</v>
      </c>
      <c r="D98" s="66">
        <f t="shared" si="91"/>
        <v>434150000</v>
      </c>
      <c r="E98" s="66">
        <f t="shared" si="91"/>
        <v>23362000</v>
      </c>
      <c r="F98" s="66">
        <f t="shared" si="91"/>
        <v>23989000</v>
      </c>
      <c r="G98" s="66">
        <f>+G93-G94-G95-G96-G97</f>
        <v>44204000</v>
      </c>
      <c r="H98" s="67">
        <v>46949000</v>
      </c>
      <c r="I98" s="105">
        <v>48607000</v>
      </c>
      <c r="J98" s="456">
        <v>50180000</v>
      </c>
      <c r="K98" s="105">
        <v>51447000</v>
      </c>
      <c r="L98" s="105"/>
      <c r="M98" s="105"/>
      <c r="N98" s="105"/>
    </row>
    <row r="99" spans="2:14" ht="14.25">
      <c r="B99" s="60" t="s">
        <v>342</v>
      </c>
      <c r="C99" s="70">
        <f t="shared" ref="C99:F99" si="92">+C93+C87</f>
        <v>66331470000</v>
      </c>
      <c r="D99" s="70">
        <f t="shared" si="92"/>
        <v>60007983000</v>
      </c>
      <c r="E99" s="70">
        <f t="shared" si="92"/>
        <v>103123795000</v>
      </c>
      <c r="F99" s="70">
        <f t="shared" si="92"/>
        <v>166002624000</v>
      </c>
      <c r="G99" s="70">
        <f>+G93+G87</f>
        <v>135696146000</v>
      </c>
      <c r="H99" s="70">
        <f>+H93+H87</f>
        <v>121658795000</v>
      </c>
      <c r="I99" s="70">
        <f>+I93+I87</f>
        <v>147572941000</v>
      </c>
      <c r="J99" s="71">
        <v>202707975000</v>
      </c>
      <c r="K99" s="106">
        <f t="shared" ref="K99:N99" si="93">+K93+K87</f>
        <v>265190702000</v>
      </c>
      <c r="L99" s="70">
        <f t="shared" si="93"/>
        <v>0</v>
      </c>
      <c r="M99" s="70">
        <f t="shared" si="93"/>
        <v>0</v>
      </c>
      <c r="N99" s="70">
        <f t="shared" si="93"/>
        <v>0</v>
      </c>
    </row>
    <row r="100" spans="2:14" ht="14.25"/>
    <row r="101" spans="2:14" ht="14.25">
      <c r="B101" s="57" t="s">
        <v>343</v>
      </c>
      <c r="C101" s="62"/>
      <c r="D101" s="62"/>
      <c r="E101" s="62"/>
      <c r="F101" s="62"/>
      <c r="G101" s="62"/>
      <c r="H101" s="63"/>
      <c r="I101" s="104"/>
      <c r="J101" s="463"/>
      <c r="K101" s="104"/>
      <c r="L101" s="104"/>
      <c r="M101" s="104"/>
      <c r="N101" s="104"/>
    </row>
    <row r="102" spans="2:14" ht="14.25">
      <c r="B102" s="59" t="s">
        <v>344</v>
      </c>
      <c r="C102" s="66">
        <v>986432178000</v>
      </c>
      <c r="D102" s="66">
        <v>986432178000</v>
      </c>
      <c r="E102" s="66">
        <v>986432178000</v>
      </c>
      <c r="F102" s="66">
        <v>986432178000</v>
      </c>
      <c r="G102" s="66">
        <v>986432178000</v>
      </c>
      <c r="H102" s="67">
        <v>986432178000</v>
      </c>
      <c r="I102" s="105">
        <v>986432178000</v>
      </c>
      <c r="J102" s="456">
        <v>986432178000</v>
      </c>
      <c r="K102" s="105">
        <v>986432178000</v>
      </c>
      <c r="L102" s="105"/>
      <c r="M102" s="105"/>
      <c r="N102" s="105"/>
    </row>
    <row r="103" spans="2:14" ht="14.25">
      <c r="B103" s="59" t="s">
        <v>345</v>
      </c>
      <c r="C103" s="66">
        <v>-21249272000</v>
      </c>
      <c r="D103" s="66">
        <v>-15205445000</v>
      </c>
      <c r="E103" s="66">
        <v>-29026417000</v>
      </c>
      <c r="F103" s="66">
        <v>-47612323000</v>
      </c>
      <c r="G103" s="66">
        <v>-24524631000</v>
      </c>
      <c r="H103" s="67">
        <v>-31585945000</v>
      </c>
      <c r="I103" s="105">
        <v>-51236606000</v>
      </c>
      <c r="J103" s="456">
        <v>6549798000</v>
      </c>
      <c r="K103" s="105">
        <v>5670627000</v>
      </c>
      <c r="L103" s="105"/>
      <c r="M103" s="105"/>
      <c r="N103" s="105"/>
    </row>
    <row r="104" spans="2:14" ht="14.25">
      <c r="B104" s="59" t="s">
        <v>346</v>
      </c>
      <c r="C104" s="66">
        <v>284484462000</v>
      </c>
      <c r="D104" s="66">
        <v>268121047000</v>
      </c>
      <c r="E104" s="66">
        <v>295350985000</v>
      </c>
      <c r="F104" s="66">
        <v>254310373000</v>
      </c>
      <c r="G104" s="66">
        <v>208114118000</v>
      </c>
      <c r="H104" s="67">
        <v>234568517000</v>
      </c>
      <c r="I104" s="105">
        <v>251164352000</v>
      </c>
      <c r="J104" s="456">
        <v>182113002000</v>
      </c>
      <c r="K104" s="105">
        <v>200501266000</v>
      </c>
      <c r="L104" s="105"/>
      <c r="M104" s="105"/>
      <c r="N104" s="105"/>
    </row>
    <row r="105" spans="2:14" ht="14.25">
      <c r="B105" s="60" t="s">
        <v>347</v>
      </c>
      <c r="C105" s="70">
        <f t="shared" ref="C105:I105" si="94">+C102+C104+C103</f>
        <v>1249667368000</v>
      </c>
      <c r="D105" s="70">
        <f t="shared" si="94"/>
        <v>1239347780000</v>
      </c>
      <c r="E105" s="70">
        <f t="shared" si="94"/>
        <v>1252756746000</v>
      </c>
      <c r="F105" s="70">
        <f t="shared" si="94"/>
        <v>1193130228000</v>
      </c>
      <c r="G105" s="70">
        <f t="shared" si="94"/>
        <v>1170021665000</v>
      </c>
      <c r="H105" s="71">
        <f t="shared" si="94"/>
        <v>1189414750000</v>
      </c>
      <c r="I105" s="106">
        <f t="shared" si="94"/>
        <v>1186359924000</v>
      </c>
      <c r="J105" s="465">
        <v>1175094978000</v>
      </c>
      <c r="K105" s="106">
        <f t="shared" ref="K105:N105" si="95">+K102+K104+K103</f>
        <v>1192604071000</v>
      </c>
      <c r="L105" s="106">
        <f t="shared" si="95"/>
        <v>0</v>
      </c>
      <c r="M105" s="106">
        <f t="shared" si="95"/>
        <v>0</v>
      </c>
      <c r="N105" s="106">
        <f t="shared" si="95"/>
        <v>0</v>
      </c>
    </row>
    <row r="107" spans="2:14" ht="14.25">
      <c r="B107" s="75" t="s">
        <v>348</v>
      </c>
    </row>
    <row r="108" spans="2:14" ht="14.25">
      <c r="B108" s="82" t="s">
        <v>308</v>
      </c>
      <c r="C108" s="88">
        <v>2017</v>
      </c>
      <c r="D108" s="88">
        <v>2018</v>
      </c>
      <c r="E108" s="88">
        <v>2019</v>
      </c>
      <c r="F108" s="88">
        <v>2020</v>
      </c>
      <c r="G108" s="88">
        <v>2021</v>
      </c>
      <c r="H108" s="89">
        <v>2022</v>
      </c>
      <c r="I108" s="88">
        <v>2023</v>
      </c>
      <c r="J108" s="89">
        <v>2024</v>
      </c>
      <c r="K108" s="103">
        <v>2025</v>
      </c>
      <c r="L108" s="89">
        <v>2026</v>
      </c>
      <c r="M108" s="88">
        <v>2027</v>
      </c>
      <c r="N108" s="89">
        <v>2028</v>
      </c>
    </row>
    <row r="109" spans="2:14" ht="14.25">
      <c r="B109" s="83" t="s">
        <v>349</v>
      </c>
      <c r="C109" s="90">
        <v>190808658000</v>
      </c>
      <c r="D109" s="90">
        <v>193100443000</v>
      </c>
      <c r="E109" s="90">
        <v>202614534000</v>
      </c>
      <c r="F109" s="90">
        <v>198104935000</v>
      </c>
      <c r="G109" s="90">
        <v>211083112000</v>
      </c>
      <c r="H109" s="109">
        <v>234758933000</v>
      </c>
      <c r="I109" s="410">
        <v>254104299000</v>
      </c>
      <c r="J109" s="467">
        <v>264735572000</v>
      </c>
      <c r="K109" s="110">
        <v>270593346000</v>
      </c>
      <c r="L109" s="110"/>
      <c r="M109" s="110"/>
      <c r="N109" s="110"/>
    </row>
    <row r="110" spans="2:14" ht="14.25">
      <c r="B110" s="84" t="s">
        <v>350</v>
      </c>
      <c r="C110" s="64">
        <v>25500605000</v>
      </c>
      <c r="D110" s="64">
        <v>5632253000</v>
      </c>
      <c r="E110" s="64">
        <v>58500769000</v>
      </c>
      <c r="F110" s="64">
        <v>24743912000</v>
      </c>
      <c r="G110" s="64">
        <v>7758664000</v>
      </c>
      <c r="H110" s="65">
        <v>14350328000</v>
      </c>
      <c r="I110" s="196">
        <v>23535499000</v>
      </c>
      <c r="J110" s="456">
        <v>27612061000</v>
      </c>
      <c r="K110" s="105">
        <v>58329475000</v>
      </c>
      <c r="L110" s="105"/>
      <c r="M110" s="105"/>
      <c r="N110" s="105"/>
    </row>
    <row r="111" spans="2:14" ht="14.25">
      <c r="B111" s="85" t="s">
        <v>692</v>
      </c>
      <c r="C111" s="66">
        <v>-56582197000</v>
      </c>
      <c r="D111" s="66">
        <v>-65524651000</v>
      </c>
      <c r="E111" s="66">
        <v>-70165071000</v>
      </c>
      <c r="F111" s="66">
        <v>-60122204000</v>
      </c>
      <c r="G111" s="66">
        <v>-61658072000</v>
      </c>
      <c r="H111" s="67">
        <v>-54605830000</v>
      </c>
      <c r="I111" s="105">
        <v>-5990788000</v>
      </c>
      <c r="J111" s="456">
        <v>-65561819000</v>
      </c>
      <c r="K111" s="105">
        <v>-65143660000</v>
      </c>
      <c r="L111" s="105"/>
      <c r="M111" s="105"/>
      <c r="N111" s="105"/>
    </row>
    <row r="112" spans="2:14">
      <c r="B112" s="86" t="s">
        <v>693</v>
      </c>
      <c r="C112" s="64">
        <f t="shared" ref="C112:F112" si="96">+C109+C111</f>
        <v>134226461000</v>
      </c>
      <c r="D112" s="64">
        <f t="shared" si="96"/>
        <v>127575792000</v>
      </c>
      <c r="E112" s="64">
        <f t="shared" si="96"/>
        <v>132449463000</v>
      </c>
      <c r="F112" s="64">
        <f t="shared" si="96"/>
        <v>137982731000</v>
      </c>
      <c r="G112" s="64">
        <f>+G109+G111</f>
        <v>149425040000</v>
      </c>
      <c r="H112" s="64">
        <f>+H109+H111</f>
        <v>180153103000</v>
      </c>
      <c r="I112" s="64">
        <f>+I109+I111</f>
        <v>248113511000</v>
      </c>
      <c r="J112" s="464">
        <v>199173753000</v>
      </c>
      <c r="K112" s="196">
        <f>K109+K111</f>
        <v>205449686000</v>
      </c>
      <c r="L112" s="105"/>
      <c r="M112" s="105"/>
      <c r="N112" s="105"/>
    </row>
    <row r="113" spans="2:14" ht="14.25">
      <c r="B113" s="85" t="s">
        <v>353</v>
      </c>
      <c r="C113" s="66">
        <v>-12199618000</v>
      </c>
      <c r="D113" s="66">
        <v>7265076000</v>
      </c>
      <c r="E113" s="66">
        <v>-2489031000</v>
      </c>
      <c r="F113" s="66">
        <v>-11037542000</v>
      </c>
      <c r="G113" s="66">
        <v>6956675000</v>
      </c>
      <c r="H113" s="67">
        <v>-16221462000</v>
      </c>
      <c r="I113" s="105">
        <v>-16710613000</v>
      </c>
      <c r="J113" s="456">
        <v>-16608854000</v>
      </c>
      <c r="K113" s="105">
        <v>-18779680000</v>
      </c>
      <c r="L113" s="105"/>
      <c r="M113" s="105"/>
      <c r="N113" s="105"/>
    </row>
    <row r="114" spans="2:14" ht="14.25">
      <c r="B114" s="85" t="s">
        <v>354</v>
      </c>
      <c r="C114" s="66">
        <v>-40610405000</v>
      </c>
      <c r="D114" s="66">
        <v>-38447463000</v>
      </c>
      <c r="E114" s="66">
        <v>-43807103000</v>
      </c>
      <c r="F114" s="66">
        <v>-53690803000</v>
      </c>
      <c r="G114" s="66">
        <v>-53903965000</v>
      </c>
      <c r="H114" s="67">
        <v>-50399324000</v>
      </c>
      <c r="I114" s="105">
        <v>-51325243000</v>
      </c>
      <c r="J114" s="456">
        <v>-56656718000</v>
      </c>
      <c r="K114" s="105">
        <v>-58636357000</v>
      </c>
      <c r="L114" s="105"/>
      <c r="M114" s="105"/>
      <c r="N114" s="105"/>
    </row>
    <row r="115" spans="2:14">
      <c r="B115" s="86" t="s">
        <v>355</v>
      </c>
      <c r="C115" s="64">
        <f t="shared" ref="C115:F115" si="97">+C112+C113+C114</f>
        <v>81416438000</v>
      </c>
      <c r="D115" s="64">
        <f t="shared" si="97"/>
        <v>96393405000</v>
      </c>
      <c r="E115" s="64">
        <f t="shared" si="97"/>
        <v>86153329000</v>
      </c>
      <c r="F115" s="64">
        <f t="shared" si="97"/>
        <v>73254386000</v>
      </c>
      <c r="G115" s="64">
        <f>+G112+G113+G114</f>
        <v>102477750000</v>
      </c>
      <c r="H115" s="64">
        <f>+H112+H113+H114</f>
        <v>113532317000</v>
      </c>
      <c r="I115" s="64">
        <f>+I112+I113+I114</f>
        <v>180077655000</v>
      </c>
      <c r="J115" s="464">
        <v>125908181000</v>
      </c>
      <c r="K115" s="196">
        <f>+K112+K113+K114</f>
        <v>128033649000</v>
      </c>
      <c r="L115" s="105"/>
      <c r="M115" s="105"/>
      <c r="N115" s="105"/>
    </row>
    <row r="116" spans="2:14" ht="14.25">
      <c r="B116" s="85" t="s">
        <v>356</v>
      </c>
      <c r="C116" s="66">
        <v>-10916000</v>
      </c>
      <c r="D116" s="66">
        <v>-8057000</v>
      </c>
      <c r="E116" s="66">
        <v>-234684000</v>
      </c>
      <c r="F116" s="66">
        <v>-226926000</v>
      </c>
      <c r="G116" s="66">
        <v>-273285000</v>
      </c>
      <c r="H116" s="67">
        <v>-365355000</v>
      </c>
      <c r="I116" s="105">
        <v>-374431000</v>
      </c>
      <c r="J116" s="456">
        <v>-499967000</v>
      </c>
      <c r="K116" s="105">
        <v>-453186000</v>
      </c>
      <c r="L116" s="105"/>
      <c r="M116" s="105"/>
      <c r="N116" s="105"/>
    </row>
    <row r="117" spans="2:14" ht="14.25">
      <c r="B117" s="85" t="s">
        <v>357</v>
      </c>
      <c r="C117" s="66">
        <v>1649658000</v>
      </c>
      <c r="D117" s="66">
        <v>1026694000</v>
      </c>
      <c r="E117" s="66">
        <v>984724000</v>
      </c>
      <c r="F117" s="66">
        <v>351365000</v>
      </c>
      <c r="G117" s="66">
        <v>-363000</v>
      </c>
      <c r="H117" s="67">
        <v>1331105000</v>
      </c>
      <c r="I117" s="105">
        <v>1690639000</v>
      </c>
      <c r="J117" s="456">
        <v>1987841000</v>
      </c>
      <c r="K117" s="105">
        <v>2146220000</v>
      </c>
      <c r="L117" s="105"/>
      <c r="M117" s="105"/>
      <c r="N117" s="105"/>
    </row>
    <row r="118" spans="2:14" ht="28.5">
      <c r="B118" s="87" t="s">
        <v>358</v>
      </c>
      <c r="C118" s="66">
        <v>6330031000</v>
      </c>
      <c r="D118" s="66">
        <v>6748429000</v>
      </c>
      <c r="E118" s="66">
        <v>8092309000</v>
      </c>
      <c r="F118" s="66">
        <v>4515381000</v>
      </c>
      <c r="G118" s="66">
        <v>9054266000</v>
      </c>
      <c r="H118" s="67">
        <v>11596564000</v>
      </c>
      <c r="I118" s="105">
        <v>11688005000</v>
      </c>
      <c r="J118" s="456">
        <v>6862094000</v>
      </c>
      <c r="K118" s="105">
        <v>7100638000</v>
      </c>
      <c r="L118" s="105"/>
      <c r="M118" s="105"/>
      <c r="N118" s="105"/>
    </row>
    <row r="119" spans="2:14" ht="14.25">
      <c r="B119" s="85" t="s">
        <v>359</v>
      </c>
      <c r="C119" s="66">
        <f>-104387000-66236000</f>
        <v>-170623000</v>
      </c>
      <c r="D119" s="66">
        <f>-38973000-100256000</f>
        <v>-139229000</v>
      </c>
      <c r="E119" s="66">
        <f>-51232000-82518000</f>
        <v>-133750000</v>
      </c>
      <c r="F119" s="66">
        <f>-51118000-87951000</f>
        <v>-139069000</v>
      </c>
      <c r="G119" s="66">
        <f>455260000-86193000</f>
        <v>369067000</v>
      </c>
      <c r="H119" s="67">
        <v>466458000</v>
      </c>
      <c r="I119" s="105">
        <v>224680000</v>
      </c>
      <c r="J119" s="456">
        <v>295309000</v>
      </c>
      <c r="K119" s="105">
        <v>14177000</v>
      </c>
      <c r="L119" s="105"/>
      <c r="M119" s="105"/>
      <c r="N119" s="105"/>
    </row>
    <row r="120" spans="2:14" ht="14.25">
      <c r="B120" s="85" t="s">
        <v>360</v>
      </c>
      <c r="C120" s="66">
        <v>632722000</v>
      </c>
      <c r="D120" s="66">
        <v>851580000</v>
      </c>
      <c r="E120" s="66">
        <v>1468768000</v>
      </c>
      <c r="F120" s="66">
        <v>2245753000</v>
      </c>
      <c r="G120" s="66">
        <v>2870211000</v>
      </c>
      <c r="H120" s="67">
        <v>1302003000</v>
      </c>
      <c r="I120" s="105">
        <v>907631000</v>
      </c>
      <c r="J120" s="456">
        <v>675450000</v>
      </c>
      <c r="K120" s="105">
        <v>532454000</v>
      </c>
      <c r="L120" s="105"/>
      <c r="M120" s="105"/>
      <c r="N120" s="105"/>
    </row>
    <row r="121" spans="2:14" ht="14.25">
      <c r="B121" s="85" t="s">
        <v>361</v>
      </c>
      <c r="C121" s="66">
        <v>-850908000</v>
      </c>
      <c r="D121" s="66">
        <v>-886616000</v>
      </c>
      <c r="E121" s="66">
        <v>-3634744000</v>
      </c>
      <c r="F121" s="66">
        <v>-3986056000</v>
      </c>
      <c r="G121" s="66">
        <v>-913687000</v>
      </c>
      <c r="H121" s="67">
        <v>-1723407000</v>
      </c>
      <c r="I121" s="105">
        <v>-2434538000</v>
      </c>
      <c r="J121" s="456">
        <v>2300241000</v>
      </c>
      <c r="K121" s="105">
        <v>-532209000</v>
      </c>
      <c r="L121" s="105"/>
      <c r="M121" s="105"/>
      <c r="N121" s="105"/>
    </row>
    <row r="122" spans="2:14" ht="14.25">
      <c r="B122" s="86" t="s">
        <v>362</v>
      </c>
      <c r="C122" s="64">
        <v>114193490000</v>
      </c>
      <c r="D122" s="64">
        <v>109433939000</v>
      </c>
      <c r="E122" s="64">
        <v>150476854000</v>
      </c>
      <c r="F122" s="64">
        <v>100120173000</v>
      </c>
      <c r="G122" s="64">
        <v>120856299000</v>
      </c>
      <c r="H122" s="65">
        <v>140169611000</v>
      </c>
      <c r="I122" s="196">
        <v>161325231000</v>
      </c>
      <c r="J122" s="464">
        <v>165338096000</v>
      </c>
      <c r="K122" s="196">
        <v>186012891000</v>
      </c>
      <c r="L122" s="196"/>
      <c r="M122" s="196"/>
      <c r="N122" s="196"/>
    </row>
    <row r="123" spans="2:14" ht="14.25">
      <c r="B123" s="85" t="s">
        <v>363</v>
      </c>
      <c r="C123" s="66">
        <v>-24361599000</v>
      </c>
      <c r="D123" s="66">
        <v>-38217173000</v>
      </c>
      <c r="E123" s="66">
        <v>-33747843000</v>
      </c>
      <c r="F123" s="66">
        <v>-22747131000</v>
      </c>
      <c r="G123" s="91">
        <v>-19839126000</v>
      </c>
      <c r="H123" s="67">
        <v>-15691173000</v>
      </c>
      <c r="I123" s="105">
        <v>-34844151000</v>
      </c>
      <c r="J123" s="456">
        <v>-35939971000</v>
      </c>
      <c r="K123" s="105">
        <v>-45930817000</v>
      </c>
      <c r="L123" s="105"/>
      <c r="M123" s="105"/>
      <c r="N123" s="105"/>
    </row>
    <row r="124" spans="2:14" ht="14.25">
      <c r="B124" s="87" t="s">
        <v>364</v>
      </c>
      <c r="C124" s="66"/>
      <c r="D124" s="66"/>
      <c r="E124" s="66"/>
      <c r="F124" s="66">
        <v>0</v>
      </c>
      <c r="G124" s="91">
        <v>0</v>
      </c>
      <c r="H124" s="67"/>
      <c r="I124" s="105"/>
      <c r="J124" s="456"/>
      <c r="K124" s="105"/>
      <c r="L124" s="105"/>
      <c r="M124" s="105"/>
      <c r="N124" s="105"/>
    </row>
    <row r="125" spans="2:14">
      <c r="B125" s="84" t="s">
        <v>365</v>
      </c>
      <c r="C125" s="64">
        <v>89831891000</v>
      </c>
      <c r="D125" s="64">
        <v>71216766000</v>
      </c>
      <c r="E125" s="64">
        <v>116729011000</v>
      </c>
      <c r="F125" s="64">
        <v>77373042000</v>
      </c>
      <c r="G125" s="64">
        <v>101017173000</v>
      </c>
      <c r="H125" s="65">
        <v>124478438000</v>
      </c>
      <c r="I125" s="196">
        <v>126481080000</v>
      </c>
      <c r="J125" s="464">
        <v>129398125000</v>
      </c>
      <c r="K125" s="196">
        <v>140082074000</v>
      </c>
      <c r="L125" s="105"/>
      <c r="M125" s="105"/>
      <c r="N125" s="105"/>
    </row>
    <row r="126" spans="2:14">
      <c r="B126" s="84" t="s">
        <v>366</v>
      </c>
      <c r="C126" s="111">
        <v>273.86</v>
      </c>
      <c r="D126" s="111">
        <v>217.11</v>
      </c>
      <c r="E126" s="111">
        <v>355.86</v>
      </c>
      <c r="F126" s="111">
        <v>235.88</v>
      </c>
      <c r="G126" s="111">
        <v>307.95999999999998</v>
      </c>
      <c r="H126" s="112">
        <v>379.49</v>
      </c>
      <c r="I126" s="452">
        <v>385.59</v>
      </c>
      <c r="J126" s="486">
        <v>394.49</v>
      </c>
      <c r="K126" s="196">
        <v>427.06</v>
      </c>
      <c r="L126" s="105"/>
      <c r="M126" s="105"/>
      <c r="N126" s="105"/>
    </row>
    <row r="128" spans="2:14" ht="14.25">
      <c r="B128" s="75" t="s">
        <v>367</v>
      </c>
    </row>
    <row r="129" spans="2:14" ht="14.25">
      <c r="B129" s="82" t="s">
        <v>308</v>
      </c>
      <c r="C129" s="88">
        <v>2017</v>
      </c>
      <c r="D129" s="88">
        <v>2018</v>
      </c>
      <c r="E129" s="88">
        <v>2019</v>
      </c>
      <c r="F129" s="88">
        <v>2020</v>
      </c>
      <c r="G129" s="88">
        <v>2021</v>
      </c>
      <c r="H129" s="88">
        <v>2022</v>
      </c>
      <c r="I129" s="88">
        <v>2023</v>
      </c>
      <c r="J129" s="89">
        <v>2024</v>
      </c>
      <c r="K129" s="103">
        <v>2025</v>
      </c>
      <c r="L129" s="88">
        <v>2026</v>
      </c>
      <c r="M129" s="88">
        <v>2027</v>
      </c>
      <c r="N129" s="88">
        <v>2028</v>
      </c>
    </row>
    <row r="130" spans="2:14" ht="14.25">
      <c r="B130" s="83" t="s">
        <v>368</v>
      </c>
      <c r="C130" s="113">
        <v>72904657000</v>
      </c>
      <c r="D130" s="113">
        <v>76534642000</v>
      </c>
      <c r="E130" s="113">
        <v>83514945000</v>
      </c>
      <c r="F130" s="113">
        <v>93551301000</v>
      </c>
      <c r="G130" s="113">
        <v>57765196000</v>
      </c>
      <c r="H130" s="113">
        <v>114443053000</v>
      </c>
      <c r="I130" s="113">
        <v>160756116000</v>
      </c>
      <c r="J130" s="468">
        <v>157478128000</v>
      </c>
      <c r="K130" s="457">
        <v>163973973000</v>
      </c>
      <c r="L130" s="113"/>
      <c r="M130" s="113"/>
      <c r="N130" s="113"/>
    </row>
    <row r="131" spans="2:14" ht="14.25">
      <c r="B131" s="86" t="s">
        <v>369</v>
      </c>
      <c r="C131" s="114">
        <v>4527311000</v>
      </c>
      <c r="D131" s="114">
        <v>2779006000</v>
      </c>
      <c r="E131" s="114">
        <v>5889052000</v>
      </c>
      <c r="F131" s="114">
        <v>32364374000</v>
      </c>
      <c r="G131" s="114">
        <v>70273364000</v>
      </c>
      <c r="H131" s="114">
        <v>11312424000</v>
      </c>
      <c r="I131" s="114">
        <v>-33620760000</v>
      </c>
      <c r="J131" s="469">
        <v>-31938365000</v>
      </c>
      <c r="K131" s="458">
        <v>-35603863000</v>
      </c>
      <c r="L131" s="114"/>
      <c r="M131" s="114"/>
      <c r="N131" s="114"/>
    </row>
    <row r="132" spans="2:14" ht="14.25">
      <c r="B132" s="85" t="s">
        <v>370</v>
      </c>
      <c r="C132" s="91">
        <v>-1425934000</v>
      </c>
      <c r="D132" s="91">
        <v>-1792148000</v>
      </c>
      <c r="E132" s="91">
        <v>-3455288000</v>
      </c>
      <c r="F132" s="91">
        <v>-4616659000</v>
      </c>
      <c r="G132" s="91">
        <v>-3137027000</v>
      </c>
      <c r="H132" s="91">
        <v>-3424891000</v>
      </c>
      <c r="I132" s="91">
        <v>-5316603000</v>
      </c>
      <c r="J132" s="447">
        <v>-3995349000</v>
      </c>
      <c r="K132" s="411">
        <v>-1736058000</v>
      </c>
      <c r="L132" s="91"/>
      <c r="M132" s="91"/>
      <c r="N132" s="91"/>
    </row>
    <row r="133" spans="2:14" ht="14.25">
      <c r="B133" s="86" t="s">
        <v>372</v>
      </c>
      <c r="C133" s="114">
        <v>-119593523000</v>
      </c>
      <c r="D133" s="114">
        <v>-87580181000</v>
      </c>
      <c r="E133" s="114">
        <v>-90596927000</v>
      </c>
      <c r="F133" s="114">
        <v>-119923947000</v>
      </c>
      <c r="G133" s="114">
        <v>-148542443000</v>
      </c>
      <c r="H133" s="114">
        <v>-80832507000</v>
      </c>
      <c r="I133" s="114">
        <v>-170457867000</v>
      </c>
      <c r="J133" s="469">
        <v>-141123547000</v>
      </c>
      <c r="K133" s="458">
        <v>-123251301000</v>
      </c>
      <c r="L133" s="114"/>
      <c r="M133" s="114"/>
      <c r="N133" s="114"/>
    </row>
    <row r="134" spans="2:14" ht="14.25">
      <c r="B134" s="85" t="s">
        <v>373</v>
      </c>
      <c r="C134" s="91">
        <v>-119397698000</v>
      </c>
      <c r="D134" s="91">
        <v>-87580181000</v>
      </c>
      <c r="E134" s="91">
        <v>-89499073000</v>
      </c>
      <c r="F134" s="91">
        <v>-118413654000</v>
      </c>
      <c r="G134" s="91">
        <v>-147213428000</v>
      </c>
      <c r="H134" s="91">
        <v>-79543798000</v>
      </c>
      <c r="I134" s="91">
        <v>-168928065000</v>
      </c>
      <c r="J134" s="447">
        <v>-139406655000</v>
      </c>
      <c r="K134" s="411">
        <v>-121675178000</v>
      </c>
      <c r="L134" s="91"/>
      <c r="M134" s="91"/>
      <c r="N134" s="91"/>
    </row>
    <row r="135" spans="2:14" ht="14.25">
      <c r="B135" s="85" t="s">
        <v>374</v>
      </c>
      <c r="C135" s="91">
        <v>0</v>
      </c>
      <c r="D135" s="91">
        <v>0</v>
      </c>
      <c r="E135" s="91">
        <v>0</v>
      </c>
      <c r="F135" s="91">
        <v>0</v>
      </c>
      <c r="G135" s="91">
        <v>0</v>
      </c>
      <c r="H135" s="91">
        <v>0</v>
      </c>
      <c r="I135" s="91">
        <v>0</v>
      </c>
      <c r="J135" s="447"/>
      <c r="K135" s="411"/>
      <c r="L135" s="91"/>
      <c r="M135" s="91"/>
      <c r="N135" s="91"/>
    </row>
    <row r="136" spans="2:14" ht="14.25">
      <c r="B136" s="86" t="s">
        <v>375</v>
      </c>
      <c r="C136" s="114">
        <v>-42161555000</v>
      </c>
      <c r="D136" s="114">
        <v>-8266533000</v>
      </c>
      <c r="E136" s="114">
        <v>-1192930000</v>
      </c>
      <c r="F136" s="114">
        <v>5991728000</v>
      </c>
      <c r="G136" s="114">
        <v>-20503883000</v>
      </c>
      <c r="H136" s="114">
        <v>44922970000</v>
      </c>
      <c r="I136" s="114">
        <v>-43322511000</v>
      </c>
      <c r="J136" s="469">
        <v>-15583784000</v>
      </c>
      <c r="K136" s="458">
        <v>5118809000</v>
      </c>
      <c r="L136" s="114"/>
      <c r="M136" s="114"/>
      <c r="N136" s="114"/>
    </row>
    <row r="137" spans="2:14" ht="14.25">
      <c r="B137" s="85"/>
      <c r="C137" s="66"/>
      <c r="D137" s="66"/>
      <c r="E137" s="66"/>
      <c r="F137" s="66"/>
      <c r="G137" s="66"/>
      <c r="H137" s="66"/>
      <c r="I137" s="66"/>
      <c r="J137" s="67"/>
      <c r="K137" s="105"/>
      <c r="L137" s="66"/>
      <c r="M137" s="66"/>
      <c r="N137" s="66"/>
    </row>
    <row r="138" spans="2:14" ht="14.25">
      <c r="B138" s="84" t="s">
        <v>376</v>
      </c>
      <c r="C138" s="64">
        <f t="shared" ref="C138:H138" si="98">+C130+C132+C135</f>
        <v>71478723000</v>
      </c>
      <c r="D138" s="64">
        <f t="shared" si="98"/>
        <v>74742494000</v>
      </c>
      <c r="E138" s="64">
        <f t="shared" si="98"/>
        <v>80059657000</v>
      </c>
      <c r="F138" s="64">
        <f t="shared" si="98"/>
        <v>88934642000</v>
      </c>
      <c r="G138" s="64">
        <f t="shared" si="98"/>
        <v>54628169000</v>
      </c>
      <c r="H138" s="64">
        <f t="shared" si="98"/>
        <v>111018162000</v>
      </c>
      <c r="I138" s="64">
        <f>+I130+I132+I135</f>
        <v>155439513000</v>
      </c>
      <c r="J138" s="65">
        <v>153482779000</v>
      </c>
      <c r="K138" s="196">
        <f>K130+K132</f>
        <v>162237915000</v>
      </c>
      <c r="L138" s="64"/>
      <c r="M138" s="64"/>
      <c r="N138" s="64"/>
    </row>
    <row r="139" spans="2:14" ht="14.25"/>
    <row r="140" spans="2:14" ht="14.25"/>
  </sheetData>
  <conditionalFormatting sqref="C70:I73 D74:I74 C75:I76 C77:E77 H77:I77 C78:I99">
    <cfRule type="cellIs" dxfId="43" priority="17" operator="lessThan">
      <formula>0</formula>
    </cfRule>
  </conditionalFormatting>
  <conditionalFormatting sqref="C109:N126">
    <cfRule type="cellIs" dxfId="42" priority="2" operator="lessThan">
      <formula>0</formula>
    </cfRule>
  </conditionalFormatting>
  <conditionalFormatting sqref="C130:N136">
    <cfRule type="cellIs" dxfId="41" priority="1" operator="lessThan">
      <formula>0</formula>
    </cfRule>
  </conditionalFormatting>
  <conditionalFormatting sqref="J70:N99 C101:N105">
    <cfRule type="cellIs" dxfId="40" priority="3" operator="lessThan">
      <formula>0</formula>
    </cfRule>
  </conditionalFormatting>
  <pageMargins left="0.7" right="0.7" top="0.75" bottom="0.75" header="0.3" footer="0.3"/>
  <pageSetup paperSize="9" orientation="portrait" r:id="rId1"/>
  <legacy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3CA69-F825-48F7-AB2F-9D0555E600F1}">
  <dimension ref="B2:P144"/>
  <sheetViews>
    <sheetView zoomScale="80" zoomScaleNormal="80" workbookViewId="0">
      <pane xSplit="2" ySplit="6" topLeftCell="G7" activePane="bottomRight" state="frozen"/>
      <selection pane="bottomRight" activeCell="G1" sqref="G1"/>
      <selection pane="bottomLeft" activeCell="A7" sqref="A7"/>
      <selection pane="topRight" activeCell="C1" sqref="C1"/>
    </sheetView>
  </sheetViews>
  <sheetFormatPr defaultColWidth="10.7109375" defaultRowHeight="14.25"/>
  <cols>
    <col min="1" max="1" width="4.42578125" customWidth="1"/>
    <col min="2" max="2" width="47.28515625" customWidth="1"/>
    <col min="3" max="3" width="33.7109375" bestFit="1" customWidth="1"/>
    <col min="4" max="6" width="35.5703125" bestFit="1" customWidth="1"/>
    <col min="7" max="7" width="36.28515625" customWidth="1"/>
    <col min="8" max="8" width="35.7109375" customWidth="1"/>
    <col min="9" max="9" width="37.5703125" customWidth="1"/>
    <col min="10" max="14" width="25.42578125" bestFit="1" customWidth="1"/>
  </cols>
  <sheetData>
    <row r="2" spans="2:14" ht="21">
      <c r="B2" s="313">
        <f ca="1">TODAY()-1</f>
        <v>46105</v>
      </c>
      <c r="C2" s="314"/>
      <c r="D2" s="344" t="s">
        <v>518</v>
      </c>
      <c r="E2" s="345" t="s">
        <v>266</v>
      </c>
      <c r="G2" t="s">
        <v>584</v>
      </c>
      <c r="H2" s="524">
        <v>1000000</v>
      </c>
    </row>
    <row r="3" spans="2:14" ht="25.5">
      <c r="B3" s="376" cm="1">
        <f t="array" aca="1" ref="B3" ca="1">_FV(B6,"Precio")</f>
        <v>1300</v>
      </c>
      <c r="C3" s="316"/>
      <c r="D3" s="365">
        <f>AVERAGE(C45:J45)</f>
        <v>17.282499999999999</v>
      </c>
      <c r="E3" s="365">
        <f>AVERAGE(C44:J44)</f>
        <v>17.282499999999999</v>
      </c>
    </row>
    <row r="4" spans="2:14" ht="28.5">
      <c r="B4" s="319"/>
      <c r="C4" s="320"/>
      <c r="D4" s="328"/>
      <c r="E4" s="328"/>
    </row>
    <row r="6" spans="2:14" ht="33.4">
      <c r="B6" s="3" t="e" vm="52">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379464310000</v>
      </c>
      <c r="D7" s="5">
        <f t="shared" ref="D7:N7" si="0">+D61</f>
        <v>441407120000</v>
      </c>
      <c r="E7" s="5">
        <f t="shared" si="0"/>
        <v>378463560000</v>
      </c>
      <c r="F7" s="5">
        <f t="shared" si="0"/>
        <v>335320300000</v>
      </c>
      <c r="G7" s="5">
        <f t="shared" si="0"/>
        <v>449877020000</v>
      </c>
      <c r="H7" s="5">
        <f t="shared" si="0"/>
        <v>555601120000</v>
      </c>
      <c r="I7" s="5">
        <f>+I61</f>
        <v>572109550000</v>
      </c>
      <c r="J7" s="5">
        <f t="shared" si="0"/>
        <v>0</v>
      </c>
      <c r="K7" s="5">
        <f t="shared" si="0"/>
        <v>0</v>
      </c>
      <c r="L7" s="5">
        <f t="shared" si="0"/>
        <v>0</v>
      </c>
      <c r="M7" s="5">
        <f t="shared" si="0"/>
        <v>0</v>
      </c>
      <c r="N7" s="5">
        <f t="shared" si="0"/>
        <v>0</v>
      </c>
    </row>
    <row r="8" spans="2:14" ht="25.5">
      <c r="B8" s="146" t="s">
        <v>377</v>
      </c>
      <c r="C8" s="147">
        <f>+C65</f>
        <v>172221160000</v>
      </c>
      <c r="D8" s="147">
        <f t="shared" ref="D8:N8" si="1">+D65</f>
        <v>196962500000</v>
      </c>
      <c r="E8" s="147">
        <f t="shared" si="1"/>
        <v>145793010000</v>
      </c>
      <c r="F8" s="147">
        <f t="shared" si="1"/>
        <v>100771590000</v>
      </c>
      <c r="G8" s="147">
        <f t="shared" si="1"/>
        <v>183700880000</v>
      </c>
      <c r="H8" s="147">
        <f t="shared" si="1"/>
        <v>213031640000</v>
      </c>
      <c r="I8" s="147">
        <f t="shared" si="1"/>
        <v>227892110000</v>
      </c>
      <c r="J8" s="147">
        <f t="shared" si="1"/>
        <v>0</v>
      </c>
      <c r="K8" s="147">
        <f t="shared" si="1"/>
        <v>0</v>
      </c>
      <c r="L8" s="147">
        <f t="shared" si="1"/>
        <v>0</v>
      </c>
      <c r="M8" s="147">
        <f t="shared" si="1"/>
        <v>0</v>
      </c>
      <c r="N8" s="147">
        <f t="shared" si="1"/>
        <v>0</v>
      </c>
    </row>
    <row r="9" spans="2:14" ht="25.5">
      <c r="B9" s="146" t="s">
        <v>378</v>
      </c>
      <c r="C9" s="147">
        <f>+C67</f>
        <v>107528140000</v>
      </c>
      <c r="D9" s="147">
        <f t="shared" ref="D9:N9" si="2">+D67</f>
        <v>102044080000</v>
      </c>
      <c r="E9" s="147">
        <f t="shared" si="2"/>
        <v>82914440000</v>
      </c>
      <c r="F9" s="147">
        <f t="shared" si="2"/>
        <v>83401240000</v>
      </c>
      <c r="G9" s="147">
        <f t="shared" si="2"/>
        <v>78988330000</v>
      </c>
      <c r="H9" s="147">
        <f t="shared" si="2"/>
        <v>138379190000</v>
      </c>
      <c r="I9" s="147">
        <f t="shared" si="2"/>
        <v>134226470000</v>
      </c>
      <c r="J9" s="147">
        <f t="shared" si="2"/>
        <v>0</v>
      </c>
      <c r="K9" s="147">
        <f t="shared" si="2"/>
        <v>0</v>
      </c>
      <c r="L9" s="147">
        <f t="shared" si="2"/>
        <v>0</v>
      </c>
      <c r="M9" s="147">
        <f t="shared" si="2"/>
        <v>0</v>
      </c>
      <c r="N9" s="147">
        <f t="shared" si="2"/>
        <v>0</v>
      </c>
    </row>
    <row r="10" spans="2:14" ht="25.5">
      <c r="B10" s="4" t="s">
        <v>379</v>
      </c>
      <c r="C10" s="5">
        <f>+C70</f>
        <v>612967760000</v>
      </c>
      <c r="D10" s="5">
        <f t="shared" ref="D10:N10" si="3">+D70</f>
        <v>654361450000.00012</v>
      </c>
      <c r="E10" s="5">
        <f t="shared" si="3"/>
        <v>706614679999.99988</v>
      </c>
      <c r="F10" s="5">
        <f t="shared" si="3"/>
        <v>736623720000</v>
      </c>
      <c r="G10" s="5">
        <f t="shared" si="3"/>
        <v>783560790000</v>
      </c>
      <c r="H10" s="5">
        <f t="shared" si="3"/>
        <v>799027870000</v>
      </c>
      <c r="I10" s="5">
        <f t="shared" si="3"/>
        <v>854941179999.99988</v>
      </c>
      <c r="J10" s="5">
        <f t="shared" si="3"/>
        <v>0</v>
      </c>
      <c r="K10" s="5">
        <f t="shared" si="3"/>
        <v>0</v>
      </c>
      <c r="L10" s="5">
        <f t="shared" si="3"/>
        <v>0</v>
      </c>
      <c r="M10" s="5">
        <f t="shared" si="3"/>
        <v>0</v>
      </c>
      <c r="N10" s="5">
        <f t="shared" si="3"/>
        <v>0</v>
      </c>
    </row>
    <row r="11" spans="2:14" ht="25.5">
      <c r="B11" s="8" t="s">
        <v>272</v>
      </c>
      <c r="C11" s="9">
        <f>+C10+C7</f>
        <v>992432070000</v>
      </c>
      <c r="D11" s="9">
        <f t="shared" ref="D11:N11" si="4">+D10+D7</f>
        <v>1095768570000.0001</v>
      </c>
      <c r="E11" s="9">
        <f t="shared" si="4"/>
        <v>1085078239999.9999</v>
      </c>
      <c r="F11" s="9">
        <f t="shared" si="4"/>
        <v>1071944020000</v>
      </c>
      <c r="G11" s="9">
        <f t="shared" si="4"/>
        <v>1233437810000</v>
      </c>
      <c r="H11" s="9">
        <f t="shared" si="4"/>
        <v>1354628990000</v>
      </c>
      <c r="I11" s="9">
        <f t="shared" si="4"/>
        <v>1427050730000</v>
      </c>
      <c r="J11" s="9">
        <f t="shared" si="4"/>
        <v>0</v>
      </c>
      <c r="K11" s="9">
        <f t="shared" si="4"/>
        <v>0</v>
      </c>
      <c r="L11" s="9">
        <f t="shared" si="4"/>
        <v>0</v>
      </c>
      <c r="M11" s="9">
        <f t="shared" si="4"/>
        <v>0</v>
      </c>
      <c r="N11" s="9">
        <f t="shared" si="4"/>
        <v>0</v>
      </c>
    </row>
    <row r="12" spans="2:14" ht="25.5">
      <c r="B12" s="10" t="s">
        <v>273</v>
      </c>
      <c r="C12" s="11">
        <f>+C84</f>
        <v>407115940000</v>
      </c>
      <c r="D12" s="11">
        <f t="shared" ref="D12:N12" si="5">+D84</f>
        <v>421826470000</v>
      </c>
      <c r="E12" s="11">
        <f t="shared" si="5"/>
        <v>399089010000</v>
      </c>
      <c r="F12" s="11">
        <f t="shared" si="5"/>
        <v>366576120000</v>
      </c>
      <c r="G12" s="11">
        <f t="shared" si="5"/>
        <v>504370360000</v>
      </c>
      <c r="H12" s="11">
        <f t="shared" si="5"/>
        <v>600764690000</v>
      </c>
      <c r="I12" s="11">
        <f>+I84</f>
        <v>636209680000</v>
      </c>
      <c r="J12" s="11">
        <f t="shared" si="5"/>
        <v>0</v>
      </c>
      <c r="K12" s="11">
        <f t="shared" si="5"/>
        <v>0</v>
      </c>
      <c r="L12" s="11">
        <f t="shared" si="5"/>
        <v>0</v>
      </c>
      <c r="M12" s="11">
        <f t="shared" si="5"/>
        <v>0</v>
      </c>
      <c r="N12" s="11">
        <f t="shared" si="5"/>
        <v>0</v>
      </c>
    </row>
    <row r="13" spans="2:14" ht="25.5">
      <c r="B13" s="10" t="s">
        <v>274</v>
      </c>
      <c r="C13" s="11">
        <f>+C94</f>
        <v>220565860000.00003</v>
      </c>
      <c r="D13" s="11">
        <f t="shared" ref="D13:N13" si="6">+D94</f>
        <v>298759860000</v>
      </c>
      <c r="E13" s="11">
        <f t="shared" si="6"/>
        <v>305749030000</v>
      </c>
      <c r="F13" s="11">
        <f t="shared" si="6"/>
        <v>322804440000.00006</v>
      </c>
      <c r="G13" s="11">
        <f t="shared" si="6"/>
        <v>322885030000</v>
      </c>
      <c r="H13" s="11">
        <f t="shared" si="6"/>
        <v>326200570000.00006</v>
      </c>
      <c r="I13" s="11">
        <f t="shared" si="6"/>
        <v>308685620000</v>
      </c>
      <c r="J13" s="11">
        <f t="shared" si="6"/>
        <v>0</v>
      </c>
      <c r="K13" s="11">
        <f t="shared" si="6"/>
        <v>0</v>
      </c>
      <c r="L13" s="11">
        <f t="shared" si="6"/>
        <v>0</v>
      </c>
      <c r="M13" s="11">
        <f t="shared" si="6"/>
        <v>0</v>
      </c>
      <c r="N13" s="11">
        <f t="shared" si="6"/>
        <v>0</v>
      </c>
    </row>
    <row r="14" spans="2:14" ht="25.5">
      <c r="B14" s="12" t="s">
        <v>275</v>
      </c>
      <c r="C14" s="13">
        <f>+C12+C13</f>
        <v>627681800000</v>
      </c>
      <c r="D14" s="13">
        <f t="shared" ref="D14:N14" si="7">+D12+D13</f>
        <v>720586330000</v>
      </c>
      <c r="E14" s="13">
        <f t="shared" si="7"/>
        <v>704838040000</v>
      </c>
      <c r="F14" s="13">
        <f t="shared" si="7"/>
        <v>689380560000</v>
      </c>
      <c r="G14" s="13">
        <f t="shared" si="7"/>
        <v>827255390000</v>
      </c>
      <c r="H14" s="13">
        <f t="shared" si="7"/>
        <v>926965260000</v>
      </c>
      <c r="I14" s="13">
        <f t="shared" si="7"/>
        <v>944895300000</v>
      </c>
      <c r="J14" s="13">
        <f t="shared" si="7"/>
        <v>0</v>
      </c>
      <c r="K14" s="13">
        <f t="shared" si="7"/>
        <v>0</v>
      </c>
      <c r="L14" s="13">
        <f t="shared" si="7"/>
        <v>0</v>
      </c>
      <c r="M14" s="13">
        <f t="shared" si="7"/>
        <v>0</v>
      </c>
      <c r="N14" s="13">
        <f t="shared" si="7"/>
        <v>0</v>
      </c>
    </row>
    <row r="15" spans="2:14" ht="25.5">
      <c r="B15" s="14" t="s">
        <v>276</v>
      </c>
      <c r="C15" s="15">
        <f>+C108</f>
        <v>363577720000</v>
      </c>
      <c r="D15" s="15">
        <f t="shared" ref="D15:N15" si="8">+D108</f>
        <v>374142170000</v>
      </c>
      <c r="E15" s="15">
        <f t="shared" si="8"/>
        <v>379185650000</v>
      </c>
      <c r="F15" s="15">
        <f t="shared" si="8"/>
        <v>381406440000</v>
      </c>
      <c r="G15" s="15">
        <f t="shared" si="8"/>
        <v>404539040000</v>
      </c>
      <c r="H15" s="15">
        <f t="shared" si="8"/>
        <v>427700640000</v>
      </c>
      <c r="I15" s="15">
        <f t="shared" si="8"/>
        <v>482196310000</v>
      </c>
      <c r="J15" s="15">
        <f t="shared" si="8"/>
        <v>0</v>
      </c>
      <c r="K15" s="15">
        <f t="shared" si="8"/>
        <v>0</v>
      </c>
      <c r="L15" s="15">
        <f t="shared" si="8"/>
        <v>0</v>
      </c>
      <c r="M15" s="15">
        <f t="shared" si="8"/>
        <v>0</v>
      </c>
      <c r="N15" s="15">
        <f t="shared" si="8"/>
        <v>0</v>
      </c>
    </row>
    <row r="16" spans="2:14" ht="25.5">
      <c r="B16" s="79" t="s">
        <v>278</v>
      </c>
      <c r="C16" s="180">
        <v>449900787</v>
      </c>
      <c r="D16" s="180">
        <v>449900787</v>
      </c>
      <c r="E16" s="180">
        <v>449900787</v>
      </c>
      <c r="F16" s="180">
        <v>449900787</v>
      </c>
      <c r="G16" s="180">
        <v>449900787</v>
      </c>
      <c r="H16" s="180">
        <v>449900787</v>
      </c>
      <c r="I16" s="530">
        <v>549900787</v>
      </c>
      <c r="J16" s="80"/>
      <c r="K16" s="80"/>
      <c r="L16" s="80"/>
      <c r="M16" s="80"/>
      <c r="N16" s="80"/>
    </row>
    <row r="18" spans="2:14" ht="25.5">
      <c r="B18" s="18" t="s">
        <v>279</v>
      </c>
      <c r="C18" s="19">
        <f t="shared" ref="C18:N18" si="9">(C15/C16)</f>
        <v>808.12865970825692</v>
      </c>
      <c r="D18" s="19">
        <f t="shared" si="9"/>
        <v>831.61039235968258</v>
      </c>
      <c r="E18" s="19">
        <f t="shared" si="9"/>
        <v>842.82059724425426</v>
      </c>
      <c r="F18" s="19">
        <f t="shared" si="9"/>
        <v>847.7567744285808</v>
      </c>
      <c r="G18" s="19">
        <f t="shared" si="9"/>
        <v>899.17388830884624</v>
      </c>
      <c r="H18" s="19">
        <f t="shared" si="9"/>
        <v>950.65546084497066</v>
      </c>
      <c r="I18" s="19">
        <f t="shared" si="9"/>
        <v>876.87874140103747</v>
      </c>
      <c r="J18" s="19" t="e">
        <f t="shared" si="9"/>
        <v>#DIV/0!</v>
      </c>
      <c r="K18" s="19" t="e">
        <f t="shared" si="9"/>
        <v>#DIV/0!</v>
      </c>
      <c r="L18" s="19" t="e">
        <f t="shared" si="9"/>
        <v>#DIV/0!</v>
      </c>
      <c r="M18" s="19" t="e">
        <f t="shared" si="9"/>
        <v>#DIV/0!</v>
      </c>
      <c r="N18" s="19" t="e">
        <f t="shared" si="9"/>
        <v>#DIV/0!</v>
      </c>
    </row>
    <row r="19" spans="2:14" ht="25.5">
      <c r="B19" s="76" t="s">
        <v>282</v>
      </c>
      <c r="C19" s="77">
        <v>1130</v>
      </c>
      <c r="D19" s="77">
        <v>985</v>
      </c>
      <c r="E19" s="77">
        <v>429</v>
      </c>
      <c r="F19" s="77">
        <v>407</v>
      </c>
      <c r="G19" s="77">
        <v>320</v>
      </c>
      <c r="H19" s="101">
        <v>261</v>
      </c>
      <c r="I19" s="101">
        <v>447</v>
      </c>
      <c r="J19" s="78"/>
      <c r="K19" s="78"/>
      <c r="L19" s="78"/>
      <c r="M19" s="78"/>
      <c r="N19" s="78"/>
    </row>
    <row r="20" spans="2:14" ht="25.5">
      <c r="B20" s="18" t="s">
        <v>283</v>
      </c>
      <c r="C20" s="22">
        <f>+C19/C40</f>
        <v>20.564149226569608</v>
      </c>
      <c r="D20" s="22">
        <f t="shared" ref="D20:N20" si="10">+D19/D40</f>
        <v>17.470734302944305</v>
      </c>
      <c r="E20" s="22">
        <f t="shared" si="10"/>
        <v>8.3042973286875732</v>
      </c>
      <c r="F20" s="22">
        <f t="shared" si="10"/>
        <v>13.318062827225132</v>
      </c>
      <c r="G20" s="22">
        <f t="shared" si="10"/>
        <v>4.6722149218864075</v>
      </c>
      <c r="H20" s="22">
        <f t="shared" si="10"/>
        <v>3.2950385052392379</v>
      </c>
      <c r="I20" s="22">
        <f t="shared" si="10"/>
        <v>5.7337095946639307</v>
      </c>
      <c r="J20" s="22" t="e">
        <f t="shared" si="10"/>
        <v>#DIV/0!</v>
      </c>
      <c r="K20" s="22" t="e">
        <f t="shared" si="10"/>
        <v>#DIV/0!</v>
      </c>
      <c r="L20" s="22" t="e">
        <f t="shared" si="10"/>
        <v>#DIV/0!</v>
      </c>
      <c r="M20" s="22" t="e">
        <f t="shared" si="10"/>
        <v>#DIV/0!</v>
      </c>
      <c r="N20" s="22" t="e">
        <f t="shared" si="10"/>
        <v>#DIV/0!</v>
      </c>
    </row>
    <row r="21" spans="2:14" ht="25.5">
      <c r="B21" s="18" t="s">
        <v>380</v>
      </c>
      <c r="C21" s="22">
        <f t="shared" ref="C21:N21" si="11">+C19/C18</f>
        <v>1.3982921981853014</v>
      </c>
      <c r="D21" s="22">
        <f t="shared" si="11"/>
        <v>1.1844488826132591</v>
      </c>
      <c r="E21" s="22">
        <f t="shared" si="11"/>
        <v>0.50900512090317762</v>
      </c>
      <c r="F21" s="22">
        <f t="shared" si="11"/>
        <v>0.48009053100676541</v>
      </c>
      <c r="G21" s="22">
        <f t="shared" si="11"/>
        <v>0.35588222051448976</v>
      </c>
      <c r="H21" s="22">
        <f t="shared" si="11"/>
        <v>0.27454741570412428</v>
      </c>
      <c r="I21" s="22">
        <f t="shared" si="11"/>
        <v>0.50976261470976414</v>
      </c>
      <c r="J21" s="22" t="e">
        <f t="shared" si="11"/>
        <v>#DIV/0!</v>
      </c>
      <c r="K21" s="22" t="e">
        <f t="shared" si="11"/>
        <v>#DIV/0!</v>
      </c>
      <c r="L21" s="22" t="e">
        <f t="shared" si="11"/>
        <v>#DIV/0!</v>
      </c>
      <c r="M21" s="22" t="e">
        <f t="shared" si="11"/>
        <v>#DIV/0!</v>
      </c>
      <c r="N21" s="22" t="e">
        <f t="shared" si="11"/>
        <v>#DIV/0!</v>
      </c>
    </row>
    <row r="22" spans="2:14" ht="25.5">
      <c r="B22" s="18" t="s">
        <v>285</v>
      </c>
      <c r="C22" s="22">
        <f>+C20*C21</f>
        <v>28.754689425830581</v>
      </c>
      <c r="D22" s="22">
        <f t="shared" ref="D22:N22" si="12">+D20*D21</f>
        <v>20.693191723555518</v>
      </c>
      <c r="E22" s="22">
        <f t="shared" si="12"/>
        <v>4.2269298658045535</v>
      </c>
      <c r="F22" s="22">
        <f t="shared" si="12"/>
        <v>6.3938758547039773</v>
      </c>
      <c r="G22" s="22">
        <f t="shared" si="12"/>
        <v>1.6627582211218681</v>
      </c>
      <c r="H22" s="22">
        <f t="shared" si="12"/>
        <v>0.90464430625901338</v>
      </c>
      <c r="I22" s="22">
        <f t="shared" si="12"/>
        <v>2.9228307949623473</v>
      </c>
      <c r="J22" s="22" t="e">
        <f t="shared" si="12"/>
        <v>#DIV/0!</v>
      </c>
      <c r="K22" s="22" t="e">
        <f t="shared" si="12"/>
        <v>#DIV/0!</v>
      </c>
      <c r="L22" s="22" t="e">
        <f t="shared" si="12"/>
        <v>#DIV/0!</v>
      </c>
      <c r="M22" s="22" t="e">
        <f t="shared" si="12"/>
        <v>#DIV/0!</v>
      </c>
      <c r="N22" s="22" t="e">
        <f t="shared" si="12"/>
        <v>#DIV/0!</v>
      </c>
    </row>
    <row r="23" spans="2:14" ht="25.5">
      <c r="B23" s="23" t="s">
        <v>286</v>
      </c>
      <c r="C23" s="24">
        <f>IF(C41&lt;10%,0,IF(15%&lt;C41,2,1))</f>
        <v>0</v>
      </c>
      <c r="D23" s="24">
        <f>IF(D41&lt;10%,0,IF(15%&lt;D41,2,1))</f>
        <v>0</v>
      </c>
      <c r="E23" s="24">
        <f t="shared" ref="E23:N23" si="13">IF(E41&lt;10%,0,IF(15%&lt;E41,2,1))</f>
        <v>0</v>
      </c>
      <c r="F23" s="24">
        <f t="shared" si="13"/>
        <v>0</v>
      </c>
      <c r="G23" s="24">
        <f t="shared" si="13"/>
        <v>0</v>
      </c>
      <c r="H23" s="24">
        <f t="shared" si="13"/>
        <v>0</v>
      </c>
      <c r="I23" s="24">
        <f t="shared" si="13"/>
        <v>0</v>
      </c>
      <c r="J23" s="24" t="e">
        <f t="shared" si="13"/>
        <v>#DIV/0!</v>
      </c>
      <c r="K23" s="24" t="e">
        <f t="shared" si="13"/>
        <v>#DIV/0!</v>
      </c>
      <c r="L23" s="24" t="e">
        <f t="shared" si="13"/>
        <v>#DIV/0!</v>
      </c>
      <c r="M23" s="24" t="e">
        <f t="shared" si="13"/>
        <v>#DIV/0!</v>
      </c>
      <c r="N23" s="24" t="e">
        <f t="shared" si="13"/>
        <v>#DIV/0!</v>
      </c>
    </row>
    <row r="24" spans="2:14" ht="25.5">
      <c r="B24" s="23" t="s">
        <v>287</v>
      </c>
      <c r="C24" s="24">
        <f>IF(C41&lt;10%,1,IF(15%&lt;C41,2.5,2))</f>
        <v>1</v>
      </c>
      <c r="D24" s="24">
        <f t="shared" ref="D24:N24" si="14">IF(D41&lt;10%,1,IF(15%&lt;D41,2.5,2))</f>
        <v>1</v>
      </c>
      <c r="E24" s="24">
        <f t="shared" si="14"/>
        <v>1</v>
      </c>
      <c r="F24" s="24">
        <f t="shared" si="14"/>
        <v>1</v>
      </c>
      <c r="G24" s="24">
        <f t="shared" si="14"/>
        <v>1</v>
      </c>
      <c r="H24" s="24">
        <f t="shared" si="14"/>
        <v>1</v>
      </c>
      <c r="I24" s="24">
        <f t="shared" si="14"/>
        <v>1</v>
      </c>
      <c r="J24" s="24" t="e">
        <f t="shared" si="14"/>
        <v>#DIV/0!</v>
      </c>
      <c r="K24" s="24" t="e">
        <f t="shared" si="14"/>
        <v>#DIV/0!</v>
      </c>
      <c r="L24" s="24" t="e">
        <f t="shared" si="14"/>
        <v>#DIV/0!</v>
      </c>
      <c r="M24" s="24" t="e">
        <f t="shared" si="14"/>
        <v>#DIV/0!</v>
      </c>
      <c r="N24" s="24" t="e">
        <f t="shared" si="14"/>
        <v>#DIV/0!</v>
      </c>
    </row>
    <row r="25" spans="2:14" ht="25.5">
      <c r="B25" s="25" t="s">
        <v>288</v>
      </c>
      <c r="C25" s="26">
        <f t="shared" ref="C25:N25" si="15">+C23*C18</f>
        <v>0</v>
      </c>
      <c r="D25" s="26">
        <f t="shared" si="15"/>
        <v>0</v>
      </c>
      <c r="E25" s="26">
        <f t="shared" si="15"/>
        <v>0</v>
      </c>
      <c r="F25" s="26">
        <f t="shared" si="15"/>
        <v>0</v>
      </c>
      <c r="G25" s="26">
        <f t="shared" si="15"/>
        <v>0</v>
      </c>
      <c r="H25" s="26">
        <f t="shared" si="15"/>
        <v>0</v>
      </c>
      <c r="I25" s="26">
        <f t="shared" si="15"/>
        <v>0</v>
      </c>
      <c r="J25" s="26" t="e">
        <f t="shared" si="15"/>
        <v>#DIV/0!</v>
      </c>
      <c r="K25" s="26" t="e">
        <f t="shared" si="15"/>
        <v>#DIV/0!</v>
      </c>
      <c r="L25" s="26" t="e">
        <f t="shared" si="15"/>
        <v>#DIV/0!</v>
      </c>
      <c r="M25" s="26" t="e">
        <f t="shared" si="15"/>
        <v>#DIV/0!</v>
      </c>
      <c r="N25" s="26" t="e">
        <f t="shared" si="15"/>
        <v>#DIV/0!</v>
      </c>
    </row>
    <row r="26" spans="2:14" ht="25.5">
      <c r="B26" s="25" t="s">
        <v>289</v>
      </c>
      <c r="C26" s="26">
        <f>AVERAGE(C25,C27)</f>
        <v>404.06432985412846</v>
      </c>
      <c r="D26" s="26">
        <f t="shared" ref="D26:N26" si="16">AVERAGE(D25,D27)</f>
        <v>415.80519617984129</v>
      </c>
      <c r="E26" s="26">
        <f t="shared" si="16"/>
        <v>421.41029862212713</v>
      </c>
      <c r="F26" s="26">
        <f t="shared" si="16"/>
        <v>423.8783872142904</v>
      </c>
      <c r="G26" s="26">
        <f t="shared" si="16"/>
        <v>449.58694415442312</v>
      </c>
      <c r="H26" s="26">
        <f t="shared" si="16"/>
        <v>475.32773042248533</v>
      </c>
      <c r="I26" s="26">
        <f t="shared" si="16"/>
        <v>438.43937070051874</v>
      </c>
      <c r="J26" s="26" t="e">
        <f t="shared" si="16"/>
        <v>#DIV/0!</v>
      </c>
      <c r="K26" s="26" t="e">
        <f t="shared" si="16"/>
        <v>#DIV/0!</v>
      </c>
      <c r="L26" s="26" t="e">
        <f t="shared" si="16"/>
        <v>#DIV/0!</v>
      </c>
      <c r="M26" s="26" t="e">
        <f t="shared" si="16"/>
        <v>#DIV/0!</v>
      </c>
      <c r="N26" s="26" t="e">
        <f t="shared" si="16"/>
        <v>#DIV/0!</v>
      </c>
    </row>
    <row r="27" spans="2:14" ht="25.5">
      <c r="B27" s="25" t="s">
        <v>290</v>
      </c>
      <c r="C27" s="26">
        <f t="shared" ref="C27:N27" si="17">+C18*C24</f>
        <v>808.12865970825692</v>
      </c>
      <c r="D27" s="26">
        <f t="shared" si="17"/>
        <v>831.61039235968258</v>
      </c>
      <c r="E27" s="26">
        <f t="shared" si="17"/>
        <v>842.82059724425426</v>
      </c>
      <c r="F27" s="26">
        <f t="shared" si="17"/>
        <v>847.7567744285808</v>
      </c>
      <c r="G27" s="26">
        <f t="shared" si="17"/>
        <v>899.17388830884624</v>
      </c>
      <c r="H27" s="26">
        <f t="shared" si="17"/>
        <v>950.65546084497066</v>
      </c>
      <c r="I27" s="26">
        <f t="shared" si="17"/>
        <v>876.87874140103747</v>
      </c>
      <c r="J27" s="26" t="e">
        <f t="shared" si="17"/>
        <v>#DIV/0!</v>
      </c>
      <c r="K27" s="26" t="e">
        <f t="shared" si="17"/>
        <v>#DIV/0!</v>
      </c>
      <c r="L27" s="26" t="e">
        <f t="shared" si="17"/>
        <v>#DIV/0!</v>
      </c>
      <c r="M27" s="26" t="e">
        <f t="shared" si="17"/>
        <v>#DIV/0!</v>
      </c>
      <c r="N27" s="26" t="e">
        <f t="shared" si="17"/>
        <v>#DIV/0!</v>
      </c>
    </row>
    <row r="29" spans="2:14" ht="25.5">
      <c r="B29" s="243" t="s">
        <v>291</v>
      </c>
      <c r="C29" s="81">
        <f t="shared" ref="C29:N29" si="18">C7-C12</f>
        <v>-27651630000</v>
      </c>
      <c r="D29" s="81">
        <f t="shared" si="18"/>
        <v>19580650000</v>
      </c>
      <c r="E29" s="81">
        <f t="shared" si="18"/>
        <v>-20625450000</v>
      </c>
      <c r="F29" s="81">
        <f t="shared" si="18"/>
        <v>-31255820000</v>
      </c>
      <c r="G29" s="81">
        <f t="shared" si="18"/>
        <v>-54493340000</v>
      </c>
      <c r="H29" s="81">
        <f t="shared" si="18"/>
        <v>-45163570000</v>
      </c>
      <c r="I29" s="81">
        <f t="shared" si="18"/>
        <v>-64100130000</v>
      </c>
      <c r="J29" s="81">
        <f t="shared" si="18"/>
        <v>0</v>
      </c>
      <c r="K29" s="81">
        <f t="shared" si="18"/>
        <v>0</v>
      </c>
      <c r="L29" s="81">
        <f t="shared" si="18"/>
        <v>0</v>
      </c>
      <c r="M29" s="81">
        <f t="shared" si="18"/>
        <v>0</v>
      </c>
      <c r="N29" s="81">
        <f t="shared" si="18"/>
        <v>0</v>
      </c>
    </row>
    <row r="30" spans="2:14" ht="25.5">
      <c r="B30" s="30" t="s">
        <v>149</v>
      </c>
      <c r="C30" s="241">
        <f t="shared" ref="C30:N30" si="19">C7/C12</f>
        <v>0.93207922539215737</v>
      </c>
      <c r="D30" s="241">
        <f t="shared" si="19"/>
        <v>1.0464187323284857</v>
      </c>
      <c r="E30" s="241">
        <f t="shared" si="19"/>
        <v>0.94831867206766729</v>
      </c>
      <c r="F30" s="241">
        <f t="shared" si="19"/>
        <v>0.91473579893856694</v>
      </c>
      <c r="G30" s="241">
        <f t="shared" si="19"/>
        <v>0.8919576876008336</v>
      </c>
      <c r="H30" s="242">
        <f t="shared" si="19"/>
        <v>0.92482319491846299</v>
      </c>
      <c r="I30" s="242">
        <f t="shared" si="19"/>
        <v>0.89924684893194329</v>
      </c>
      <c r="J30" s="242" t="e">
        <f t="shared" si="19"/>
        <v>#DIV/0!</v>
      </c>
      <c r="K30" s="242" t="e">
        <f t="shared" si="19"/>
        <v>#DIV/0!</v>
      </c>
      <c r="L30" s="242" t="e">
        <f t="shared" si="19"/>
        <v>#DIV/0!</v>
      </c>
      <c r="M30" s="242" t="e">
        <f t="shared" si="19"/>
        <v>#DIV/0!</v>
      </c>
      <c r="N30" s="242" t="e">
        <f t="shared" si="19"/>
        <v>#DIV/0!</v>
      </c>
    </row>
    <row r="31" spans="2:14" ht="25.5">
      <c r="B31" s="30" t="s">
        <v>292</v>
      </c>
      <c r="C31" s="241">
        <f t="shared" ref="C31:N31" si="20">+(C7-C9)/C12</f>
        <v>0.66795756019771668</v>
      </c>
      <c r="D31" s="241">
        <f t="shared" si="20"/>
        <v>0.80450864072138484</v>
      </c>
      <c r="E31" s="241">
        <f t="shared" si="20"/>
        <v>0.7405594055321143</v>
      </c>
      <c r="F31" s="241">
        <f t="shared" si="20"/>
        <v>0.6872216880903208</v>
      </c>
      <c r="G31" s="241">
        <f t="shared" si="20"/>
        <v>0.73534989248773464</v>
      </c>
      <c r="H31" s="241">
        <f t="shared" si="20"/>
        <v>0.69448477406353559</v>
      </c>
      <c r="I31" s="241">
        <f t="shared" si="20"/>
        <v>0.68826849663777512</v>
      </c>
      <c r="J31" s="241" t="e">
        <f t="shared" si="20"/>
        <v>#DIV/0!</v>
      </c>
      <c r="K31" s="241" t="e">
        <f t="shared" si="20"/>
        <v>#DIV/0!</v>
      </c>
      <c r="L31" s="241" t="e">
        <f t="shared" si="20"/>
        <v>#DIV/0!</v>
      </c>
      <c r="M31" s="241" t="e">
        <f t="shared" si="20"/>
        <v>#DIV/0!</v>
      </c>
      <c r="N31" s="241" t="e">
        <f t="shared" si="20"/>
        <v>#DIV/0!</v>
      </c>
    </row>
    <row r="32" spans="2:14" ht="25.5">
      <c r="B32" s="32" t="s">
        <v>153</v>
      </c>
      <c r="C32" s="33">
        <f t="shared" ref="C32:N32" si="21">C14/C11</f>
        <v>0.63246827563724339</v>
      </c>
      <c r="D32" s="33">
        <f t="shared" si="21"/>
        <v>0.65760813891568359</v>
      </c>
      <c r="E32" s="33">
        <f t="shared" si="21"/>
        <v>0.64957347223182738</v>
      </c>
      <c r="F32" s="33">
        <f t="shared" si="21"/>
        <v>0.6431124640258733</v>
      </c>
      <c r="G32" s="33">
        <f t="shared" si="21"/>
        <v>0.67069079875214788</v>
      </c>
      <c r="H32" s="33">
        <f t="shared" si="21"/>
        <v>0.68429456836000535</v>
      </c>
      <c r="I32" s="33">
        <f t="shared" si="21"/>
        <v>0.66213154174273814</v>
      </c>
      <c r="J32" s="33" t="e">
        <f t="shared" si="21"/>
        <v>#DIV/0!</v>
      </c>
      <c r="K32" s="33" t="e">
        <f t="shared" si="21"/>
        <v>#DIV/0!</v>
      </c>
      <c r="L32" s="33" t="e">
        <f t="shared" si="21"/>
        <v>#DIV/0!</v>
      </c>
      <c r="M32" s="33" t="e">
        <f t="shared" si="21"/>
        <v>#DIV/0!</v>
      </c>
      <c r="N32" s="33" t="e">
        <f t="shared" si="21"/>
        <v>#DIV/0!</v>
      </c>
    </row>
    <row r="35" spans="2:14" ht="25.5">
      <c r="B35" s="35" t="s">
        <v>293</v>
      </c>
      <c r="C35" s="36">
        <f>+C113</f>
        <v>667919540000</v>
      </c>
      <c r="D35" s="36">
        <f t="shared" ref="D35:N35" si="22">+D113</f>
        <v>718383030000</v>
      </c>
      <c r="E35" s="36">
        <f t="shared" si="22"/>
        <v>749599570000</v>
      </c>
      <c r="F35" s="36">
        <f t="shared" si="22"/>
        <v>400211370000</v>
      </c>
      <c r="G35" s="36">
        <f t="shared" si="22"/>
        <v>712763840000</v>
      </c>
      <c r="H35" s="36">
        <f t="shared" si="22"/>
        <v>829373870000</v>
      </c>
      <c r="I35" s="36">
        <f t="shared" si="22"/>
        <v>1040368980000</v>
      </c>
      <c r="J35" s="36">
        <f t="shared" si="22"/>
        <v>0</v>
      </c>
      <c r="K35" s="36">
        <f t="shared" si="22"/>
        <v>0</v>
      </c>
      <c r="L35" s="36">
        <f t="shared" si="22"/>
        <v>0</v>
      </c>
      <c r="M35" s="36">
        <f t="shared" si="22"/>
        <v>0</v>
      </c>
      <c r="N35" s="36">
        <f t="shared" si="22"/>
        <v>0</v>
      </c>
    </row>
    <row r="36" spans="2:14" ht="25.5">
      <c r="B36" s="39" t="s">
        <v>156</v>
      </c>
      <c r="C36" s="40">
        <f>+C120</f>
        <v>30565810000</v>
      </c>
      <c r="D36" s="40">
        <f t="shared" ref="D36:N36" si="23">+D120</f>
        <v>27284090000</v>
      </c>
      <c r="E36" s="40">
        <f t="shared" si="23"/>
        <v>23862900000</v>
      </c>
      <c r="F36" s="40">
        <f t="shared" si="23"/>
        <v>10579780000</v>
      </c>
      <c r="G36" s="40">
        <f t="shared" si="23"/>
        <v>37262630000</v>
      </c>
      <c r="H36" s="40">
        <f t="shared" si="23"/>
        <v>56087200000</v>
      </c>
      <c r="I36" s="40">
        <f t="shared" si="23"/>
        <v>80831720000</v>
      </c>
      <c r="J36" s="40">
        <f t="shared" si="23"/>
        <v>0</v>
      </c>
      <c r="K36" s="40">
        <f t="shared" si="23"/>
        <v>0</v>
      </c>
      <c r="L36" s="40">
        <f t="shared" si="23"/>
        <v>0</v>
      </c>
      <c r="M36" s="40">
        <f t="shared" si="23"/>
        <v>0</v>
      </c>
      <c r="N36" s="40">
        <f t="shared" si="23"/>
        <v>0</v>
      </c>
    </row>
    <row r="37" spans="2:14" ht="25.5">
      <c r="B37" s="35" t="s">
        <v>381</v>
      </c>
      <c r="C37" s="41">
        <f>C36/C35</f>
        <v>4.576271267644004E-2</v>
      </c>
      <c r="D37" s="41">
        <f t="shared" ref="D37:N37" si="24">D36/D35</f>
        <v>3.79798643072067E-2</v>
      </c>
      <c r="E37" s="41">
        <f t="shared" si="24"/>
        <v>3.1834196489733846E-2</v>
      </c>
      <c r="F37" s="41">
        <f t="shared" si="24"/>
        <v>2.6435480831041858E-2</v>
      </c>
      <c r="G37" s="41">
        <f t="shared" si="24"/>
        <v>5.2279069039192563E-2</v>
      </c>
      <c r="H37" s="41">
        <f t="shared" si="24"/>
        <v>6.7625954986983136E-2</v>
      </c>
      <c r="I37" s="41">
        <f t="shared" si="24"/>
        <v>7.7695242316817251E-2</v>
      </c>
      <c r="J37" s="41" t="e">
        <f t="shared" si="24"/>
        <v>#DIV/0!</v>
      </c>
      <c r="K37" s="41" t="e">
        <f t="shared" si="24"/>
        <v>#DIV/0!</v>
      </c>
      <c r="L37" s="41" t="e">
        <f t="shared" si="24"/>
        <v>#DIV/0!</v>
      </c>
      <c r="M37" s="41" t="e">
        <f t="shared" si="24"/>
        <v>#DIV/0!</v>
      </c>
      <c r="N37" s="41" t="e">
        <f t="shared" si="24"/>
        <v>#DIV/0!</v>
      </c>
    </row>
    <row r="38" spans="2:14" ht="25.5">
      <c r="B38" s="43" t="s">
        <v>295</v>
      </c>
      <c r="C38" s="44">
        <f>+C130</f>
        <v>24724290000</v>
      </c>
      <c r="D38" s="44">
        <f t="shared" ref="D38:N38" si="25">+D130</f>
        <v>25365070000</v>
      </c>
      <c r="E38" s="44">
        <f t="shared" si="25"/>
        <v>23241600000</v>
      </c>
      <c r="F38" s="44">
        <f t="shared" si="25"/>
        <v>13747040000</v>
      </c>
      <c r="G38" s="44">
        <f t="shared" si="25"/>
        <v>30813440000</v>
      </c>
      <c r="H38" s="44">
        <f t="shared" si="25"/>
        <v>35635150000</v>
      </c>
      <c r="I38" s="44">
        <f t="shared" si="25"/>
        <v>42870370000</v>
      </c>
      <c r="J38" s="44">
        <f t="shared" si="25"/>
        <v>0</v>
      </c>
      <c r="K38" s="44">
        <f t="shared" si="25"/>
        <v>0</v>
      </c>
      <c r="L38" s="44">
        <f t="shared" si="25"/>
        <v>0</v>
      </c>
      <c r="M38" s="44">
        <f t="shared" si="25"/>
        <v>0</v>
      </c>
      <c r="N38" s="44">
        <f t="shared" si="25"/>
        <v>0</v>
      </c>
    </row>
    <row r="39" spans="2:14" ht="25.5">
      <c r="B39" s="30" t="s">
        <v>296</v>
      </c>
      <c r="C39" s="45">
        <f>C38/C35</f>
        <v>3.7016868828242393E-2</v>
      </c>
      <c r="D39" s="45">
        <f t="shared" ref="D39:N39" si="26">D38/D35</f>
        <v>3.5308559557705586E-2</v>
      </c>
      <c r="E39" s="45">
        <f t="shared" si="26"/>
        <v>3.1005353965184373E-2</v>
      </c>
      <c r="F39" s="45">
        <f t="shared" si="26"/>
        <v>3.4349448892468999E-2</v>
      </c>
      <c r="G39" s="45">
        <f t="shared" si="26"/>
        <v>4.3230924846019127E-2</v>
      </c>
      <c r="H39" s="45">
        <f t="shared" si="26"/>
        <v>4.2966328321870084E-2</v>
      </c>
      <c r="I39" s="45">
        <f t="shared" si="26"/>
        <v>4.1206889886317065E-2</v>
      </c>
      <c r="J39" s="45" t="e">
        <f t="shared" si="26"/>
        <v>#DIV/0!</v>
      </c>
      <c r="K39" s="45" t="e">
        <f t="shared" si="26"/>
        <v>#DIV/0!</v>
      </c>
      <c r="L39" s="45" t="e">
        <f t="shared" si="26"/>
        <v>#DIV/0!</v>
      </c>
      <c r="M39" s="45" t="e">
        <f t="shared" si="26"/>
        <v>#DIV/0!</v>
      </c>
      <c r="N39" s="45" t="e">
        <f t="shared" si="26"/>
        <v>#DIV/0!</v>
      </c>
    </row>
    <row r="40" spans="2:14" ht="25.5">
      <c r="B40" s="46" t="s">
        <v>159</v>
      </c>
      <c r="C40" s="121">
        <f>+C131</f>
        <v>54.95</v>
      </c>
      <c r="D40" s="121">
        <f t="shared" ref="D40:N40" si="27">+D131</f>
        <v>56.38</v>
      </c>
      <c r="E40" s="121">
        <f t="shared" si="27"/>
        <v>51.66</v>
      </c>
      <c r="F40" s="121">
        <f t="shared" si="27"/>
        <v>30.56</v>
      </c>
      <c r="G40" s="121">
        <f t="shared" si="27"/>
        <v>68.489999999999995</v>
      </c>
      <c r="H40" s="121">
        <f t="shared" si="27"/>
        <v>79.209999999999994</v>
      </c>
      <c r="I40" s="121">
        <f t="shared" si="27"/>
        <v>77.959999999999994</v>
      </c>
      <c r="J40" s="121">
        <f t="shared" si="27"/>
        <v>0</v>
      </c>
      <c r="K40" s="121">
        <f t="shared" si="27"/>
        <v>0</v>
      </c>
      <c r="L40" s="121">
        <f t="shared" si="27"/>
        <v>0</v>
      </c>
      <c r="M40" s="121">
        <f t="shared" si="27"/>
        <v>0</v>
      </c>
      <c r="N40" s="121">
        <f t="shared" si="27"/>
        <v>0</v>
      </c>
    </row>
    <row r="41" spans="2:14" ht="25.5">
      <c r="B41" s="48" t="s">
        <v>160</v>
      </c>
      <c r="C41" s="49">
        <f t="shared" ref="C41:N41" si="28">C38/C15</f>
        <v>6.8002764305799601E-2</v>
      </c>
      <c r="D41" s="49">
        <f t="shared" si="28"/>
        <v>6.7795271514034361E-2</v>
      </c>
      <c r="E41" s="49">
        <f t="shared" si="28"/>
        <v>6.1293458758262608E-2</v>
      </c>
      <c r="F41" s="49">
        <f t="shared" si="28"/>
        <v>3.6043020144075177E-2</v>
      </c>
      <c r="G41" s="49">
        <f>G38/G15</f>
        <v>7.6169261686090908E-2</v>
      </c>
      <c r="H41" s="49">
        <f t="shared" si="28"/>
        <v>8.3317972121809317E-2</v>
      </c>
      <c r="I41" s="49">
        <f>I38/I15</f>
        <v>8.8906466331109005E-2</v>
      </c>
      <c r="J41" s="49" t="e">
        <f t="shared" si="28"/>
        <v>#DIV/0!</v>
      </c>
      <c r="K41" s="49" t="e">
        <f t="shared" si="28"/>
        <v>#DIV/0!</v>
      </c>
      <c r="L41" s="49" t="e">
        <f t="shared" si="28"/>
        <v>#DIV/0!</v>
      </c>
      <c r="M41" s="49" t="e">
        <f t="shared" si="28"/>
        <v>#DIV/0!</v>
      </c>
      <c r="N41" s="49" t="e">
        <f t="shared" si="28"/>
        <v>#DIV/0!</v>
      </c>
    </row>
    <row r="42" spans="2:14" ht="25.5">
      <c r="B42" s="48" t="s">
        <v>382</v>
      </c>
      <c r="C42" s="49">
        <f>AVERAGE(C41:I41)</f>
        <v>6.878974498016871E-2</v>
      </c>
      <c r="D42" s="49"/>
      <c r="E42" s="49"/>
      <c r="F42" s="49"/>
      <c r="G42" s="49"/>
      <c r="H42" s="49"/>
      <c r="I42" s="49"/>
      <c r="J42" s="49"/>
      <c r="K42" s="49"/>
      <c r="L42" s="49"/>
      <c r="M42" s="49"/>
      <c r="N42" s="49"/>
    </row>
    <row r="43" spans="2:14" ht="25.5">
      <c r="B43" s="48" t="s">
        <v>298</v>
      </c>
      <c r="C43" s="50">
        <f t="shared" ref="C43:H43" si="29">+C144</f>
        <v>46219490000</v>
      </c>
      <c r="D43" s="50">
        <f t="shared" si="29"/>
        <v>6948230000</v>
      </c>
      <c r="E43" s="50">
        <f t="shared" si="29"/>
        <v>55237300000</v>
      </c>
      <c r="F43" s="50">
        <f t="shared" si="29"/>
        <v>44569750000</v>
      </c>
      <c r="G43" s="50">
        <f t="shared" si="29"/>
        <v>93488700000</v>
      </c>
      <c r="H43" s="50">
        <f t="shared" si="29"/>
        <v>60764340000</v>
      </c>
      <c r="I43" s="50">
        <f>+I144</f>
        <v>68359200000</v>
      </c>
      <c r="J43" s="50">
        <f t="shared" ref="J43:N43" si="30">+J144</f>
        <v>0</v>
      </c>
      <c r="K43" s="50">
        <f t="shared" si="30"/>
        <v>0</v>
      </c>
      <c r="L43" s="50">
        <f t="shared" si="30"/>
        <v>0</v>
      </c>
      <c r="M43" s="50">
        <f t="shared" si="30"/>
        <v>0</v>
      </c>
      <c r="N43" s="50">
        <f t="shared" si="30"/>
        <v>0</v>
      </c>
    </row>
    <row r="44" spans="2:14" ht="25.5">
      <c r="B44" s="51" t="s">
        <v>119</v>
      </c>
      <c r="C44" s="51">
        <f>SUM(C46:C49)</f>
        <v>16.78</v>
      </c>
      <c r="D44" s="51">
        <f t="shared" ref="D44:F44" si="31">SUM(D46:D49)</f>
        <v>16.489999999999998</v>
      </c>
      <c r="E44" s="51">
        <f t="shared" si="31"/>
        <v>16.920000000000002</v>
      </c>
      <c r="F44" s="51">
        <f t="shared" si="31"/>
        <v>15.5</v>
      </c>
      <c r="G44" s="51">
        <f>SUM(G46:G49)</f>
        <v>9.17</v>
      </c>
      <c r="H44" s="51">
        <f>SUM(H46:H49)</f>
        <v>20.55</v>
      </c>
      <c r="I44" s="51">
        <f t="shared" ref="I44:N44" si="32">SUM(I46:I48)</f>
        <v>19.45</v>
      </c>
      <c r="J44" s="51">
        <f t="shared" si="32"/>
        <v>23.4</v>
      </c>
      <c r="K44" s="51">
        <f t="shared" si="32"/>
        <v>0</v>
      </c>
      <c r="L44" s="51">
        <f t="shared" si="32"/>
        <v>0</v>
      </c>
      <c r="M44" s="51">
        <f t="shared" si="32"/>
        <v>0</v>
      </c>
      <c r="N44" s="51">
        <f t="shared" si="32"/>
        <v>0</v>
      </c>
    </row>
    <row r="45" spans="2:14" ht="25.5">
      <c r="B45" s="51" t="s">
        <v>383</v>
      </c>
      <c r="C45" s="51">
        <f>+C46+C47</f>
        <v>16.78</v>
      </c>
      <c r="D45" s="51">
        <f t="shared" ref="D45:N45" si="33">+D46+D47</f>
        <v>16.489999999999998</v>
      </c>
      <c r="E45" s="51">
        <f t="shared" si="33"/>
        <v>16.920000000000002</v>
      </c>
      <c r="F45" s="51">
        <f t="shared" si="33"/>
        <v>15.5</v>
      </c>
      <c r="G45" s="51">
        <f t="shared" si="33"/>
        <v>9.17</v>
      </c>
      <c r="H45" s="51">
        <f t="shared" si="33"/>
        <v>20.55</v>
      </c>
      <c r="I45" s="51">
        <f t="shared" si="33"/>
        <v>19.45</v>
      </c>
      <c r="J45" s="51">
        <f t="shared" si="33"/>
        <v>23.4</v>
      </c>
      <c r="K45" s="51">
        <f t="shared" si="33"/>
        <v>0</v>
      </c>
      <c r="L45" s="51">
        <f t="shared" si="33"/>
        <v>0</v>
      </c>
      <c r="M45" s="51">
        <f t="shared" si="33"/>
        <v>0</v>
      </c>
      <c r="N45" s="51">
        <f t="shared" si="33"/>
        <v>0</v>
      </c>
    </row>
    <row r="46" spans="2:14" ht="18">
      <c r="B46" s="135" t="s">
        <v>121</v>
      </c>
      <c r="C46" s="94">
        <v>16.78</v>
      </c>
      <c r="D46" s="94">
        <v>16.489999999999998</v>
      </c>
      <c r="E46" s="94">
        <v>16.920000000000002</v>
      </c>
      <c r="F46" s="94">
        <v>15.5</v>
      </c>
      <c r="G46" s="94">
        <v>9.17</v>
      </c>
      <c r="H46" s="94">
        <v>20.55</v>
      </c>
      <c r="I46" s="155">
        <v>19.45</v>
      </c>
      <c r="J46" s="155">
        <v>23.4</v>
      </c>
      <c r="K46" s="155"/>
      <c r="L46" s="155"/>
      <c r="M46" s="155"/>
      <c r="N46" s="155"/>
    </row>
    <row r="47" spans="2:14" ht="18">
      <c r="B47" s="135" t="s">
        <v>122</v>
      </c>
      <c r="C47" s="94"/>
      <c r="D47" s="94"/>
      <c r="E47" s="94"/>
      <c r="F47" s="94"/>
      <c r="G47" s="94"/>
      <c r="H47" s="94"/>
      <c r="I47" s="155"/>
      <c r="J47" s="155"/>
      <c r="K47" s="155"/>
      <c r="L47" s="155"/>
      <c r="M47" s="155"/>
      <c r="N47" s="155"/>
    </row>
    <row r="48" spans="2:14" ht="18">
      <c r="B48" s="135" t="s">
        <v>123</v>
      </c>
      <c r="C48" s="94"/>
      <c r="D48" s="94"/>
      <c r="E48" s="94"/>
      <c r="F48" s="94"/>
      <c r="G48" s="94"/>
      <c r="H48" s="94"/>
      <c r="I48" s="155"/>
      <c r="J48" s="155"/>
      <c r="K48" s="155"/>
      <c r="L48" s="155"/>
      <c r="M48" s="155"/>
      <c r="N48" s="155"/>
    </row>
    <row r="49" spans="2:16" ht="18">
      <c r="B49" s="135" t="s">
        <v>124</v>
      </c>
      <c r="C49" s="94"/>
      <c r="D49" s="94"/>
      <c r="E49" s="94"/>
      <c r="F49" s="94"/>
      <c r="G49" s="94"/>
      <c r="H49" s="94"/>
      <c r="I49" s="94"/>
      <c r="J49" s="94"/>
      <c r="K49" s="94"/>
      <c r="L49" s="94"/>
      <c r="M49" s="94"/>
      <c r="N49" s="94"/>
    </row>
    <row r="50" spans="2:16" ht="25.5">
      <c r="B50" s="541" t="s">
        <v>167</v>
      </c>
      <c r="C50" s="99">
        <f>(C47+C48+D46)/C40</f>
        <v>0.30009099181073701</v>
      </c>
      <c r="D50" s="99">
        <f t="shared" ref="D50:N50" si="34">(D47+D48+E46)/D40</f>
        <v>0.30010642071656618</v>
      </c>
      <c r="E50" s="99">
        <f t="shared" si="34"/>
        <v>0.30003871467286103</v>
      </c>
      <c r="F50" s="99">
        <f t="shared" si="34"/>
        <v>0.30006544502617805</v>
      </c>
      <c r="G50" s="99">
        <f t="shared" si="34"/>
        <v>0.30004380201489272</v>
      </c>
      <c r="H50" s="99">
        <f t="shared" si="34"/>
        <v>0.24554980431763668</v>
      </c>
      <c r="I50" s="99">
        <f t="shared" si="34"/>
        <v>0.30015392508978966</v>
      </c>
      <c r="J50" s="99" t="e">
        <f t="shared" si="34"/>
        <v>#DIV/0!</v>
      </c>
      <c r="K50" s="99" t="e">
        <f t="shared" si="34"/>
        <v>#DIV/0!</v>
      </c>
      <c r="L50" s="99" t="e">
        <f t="shared" si="34"/>
        <v>#DIV/0!</v>
      </c>
      <c r="M50" s="99" t="e">
        <f t="shared" si="34"/>
        <v>#DIV/0!</v>
      </c>
      <c r="N50" s="99" t="e">
        <f t="shared" si="34"/>
        <v>#DIV/0!</v>
      </c>
    </row>
    <row r="51" spans="2:16" ht="28.5">
      <c r="B51" s="540" t="s">
        <v>585</v>
      </c>
      <c r="C51" s="54">
        <f>AVERAGE(C50:I50)</f>
        <v>0.29229272909266596</v>
      </c>
      <c r="D51" s="54"/>
      <c r="E51" s="54"/>
      <c r="F51" s="54"/>
      <c r="G51" s="54"/>
      <c r="H51" s="54"/>
      <c r="I51" s="54"/>
      <c r="J51" s="54"/>
      <c r="K51" s="54"/>
      <c r="L51" s="54"/>
      <c r="M51" s="54"/>
      <c r="N51" s="54"/>
    </row>
    <row r="52" spans="2:16" ht="25.5">
      <c r="B52" s="541" t="s">
        <v>299</v>
      </c>
      <c r="C52" s="99">
        <f t="shared" ref="C52:N52" si="35">+C44/C19</f>
        <v>1.4849557522123896E-2</v>
      </c>
      <c r="D52" s="99">
        <f t="shared" si="35"/>
        <v>1.6741116751269033E-2</v>
      </c>
      <c r="E52" s="99">
        <f t="shared" si="35"/>
        <v>3.9440559440559443E-2</v>
      </c>
      <c r="F52" s="99">
        <f t="shared" si="35"/>
        <v>3.8083538083538086E-2</v>
      </c>
      <c r="G52" s="99">
        <f t="shared" si="35"/>
        <v>2.8656250000000001E-2</v>
      </c>
      <c r="H52" s="99">
        <f t="shared" si="35"/>
        <v>7.8735632183908055E-2</v>
      </c>
      <c r="I52" s="99">
        <f t="shared" si="35"/>
        <v>4.3512304250559283E-2</v>
      </c>
      <c r="J52" s="99" t="e">
        <f t="shared" si="35"/>
        <v>#DIV/0!</v>
      </c>
      <c r="K52" s="99" t="e">
        <f t="shared" si="35"/>
        <v>#DIV/0!</v>
      </c>
      <c r="L52" s="99" t="e">
        <f t="shared" si="35"/>
        <v>#DIV/0!</v>
      </c>
      <c r="M52" s="99" t="e">
        <f t="shared" si="35"/>
        <v>#DIV/0!</v>
      </c>
      <c r="N52" s="99" t="e">
        <f t="shared" si="35"/>
        <v>#DIV/0!</v>
      </c>
    </row>
    <row r="53" spans="2:16" ht="25.5">
      <c r="B53" s="542" t="s">
        <v>586</v>
      </c>
      <c r="C53" s="534">
        <f>AVERAGE(C52:I52)</f>
        <v>3.714556546170826E-2</v>
      </c>
      <c r="D53" s="534"/>
      <c r="E53" s="534"/>
      <c r="F53" s="534"/>
      <c r="G53" s="534"/>
      <c r="H53" s="534"/>
      <c r="I53" s="534"/>
      <c r="J53" s="534"/>
      <c r="K53" s="534"/>
      <c r="L53" s="534"/>
      <c r="M53" s="534"/>
      <c r="N53" s="534"/>
      <c r="O53" s="534"/>
      <c r="P53" s="534"/>
    </row>
    <row r="54" spans="2:16" ht="25.5">
      <c r="B54" s="543" t="s">
        <v>176</v>
      </c>
      <c r="C54" s="355">
        <f>+C41*(100%-C50)</f>
        <v>4.759574731940041E-2</v>
      </c>
      <c r="D54" s="355">
        <f t="shared" ref="D54:N54" si="36">+D41*(100%-D50)</f>
        <v>4.7449475238449723E-2</v>
      </c>
      <c r="E54" s="355">
        <f t="shared" si="36"/>
        <v>4.2903048174579475E-2</v>
      </c>
      <c r="F54" s="549">
        <f t="shared" si="36"/>
        <v>2.522775526445576E-2</v>
      </c>
      <c r="G54" s="355">
        <f t="shared" si="36"/>
        <v>5.3315146813128891E-2</v>
      </c>
      <c r="H54" s="355">
        <f t="shared" si="36"/>
        <v>6.285926037115673E-2</v>
      </c>
      <c r="I54" s="355">
        <f t="shared" si="36"/>
        <v>6.2220841495963408E-2</v>
      </c>
      <c r="J54" s="355" t="e">
        <f t="shared" si="36"/>
        <v>#DIV/0!</v>
      </c>
      <c r="K54" s="355" t="e">
        <f t="shared" si="36"/>
        <v>#DIV/0!</v>
      </c>
      <c r="L54" s="355" t="e">
        <f t="shared" si="36"/>
        <v>#DIV/0!</v>
      </c>
      <c r="M54" s="355" t="e">
        <f t="shared" si="36"/>
        <v>#DIV/0!</v>
      </c>
      <c r="N54" s="355" t="e">
        <f t="shared" si="36"/>
        <v>#DIV/0!</v>
      </c>
    </row>
    <row r="55" spans="2:16" ht="25.5">
      <c r="B55" s="542" t="s">
        <v>587</v>
      </c>
      <c r="C55" s="534">
        <f>AVERAGE(C54:I54)</f>
        <v>4.8795896382447766E-2</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v>379464310000</v>
      </c>
      <c r="D61" s="64">
        <v>441407120000</v>
      </c>
      <c r="E61" s="64">
        <v>378463560000</v>
      </c>
      <c r="F61" s="64">
        <v>335320300000</v>
      </c>
      <c r="G61" s="64">
        <v>449877020000</v>
      </c>
      <c r="H61" s="64">
        <v>555601120000</v>
      </c>
      <c r="I61" s="64">
        <v>572109550000</v>
      </c>
      <c r="J61" s="64"/>
      <c r="K61" s="64"/>
      <c r="L61" s="64"/>
      <c r="M61" s="64"/>
      <c r="N61" s="64"/>
    </row>
    <row r="62" spans="2:16">
      <c r="B62" s="59" t="s">
        <v>386</v>
      </c>
      <c r="C62" s="66">
        <v>51468480000</v>
      </c>
      <c r="D62" s="66">
        <v>76581920000</v>
      </c>
      <c r="E62" s="66">
        <v>69787220000</v>
      </c>
      <c r="F62" s="66">
        <v>70100160000</v>
      </c>
      <c r="G62" s="66">
        <v>94071270000</v>
      </c>
      <c r="H62" s="66">
        <v>86221600000</v>
      </c>
      <c r="I62" s="66">
        <v>76282930000</v>
      </c>
      <c r="J62" s="66"/>
      <c r="K62" s="66"/>
      <c r="L62" s="66"/>
      <c r="M62" s="66"/>
      <c r="N62" s="66"/>
    </row>
    <row r="63" spans="2:16">
      <c r="B63" s="59"/>
      <c r="C63" s="66"/>
      <c r="D63" s="66"/>
      <c r="E63" s="66"/>
      <c r="F63" s="66"/>
      <c r="G63" s="66"/>
      <c r="H63" s="160"/>
      <c r="I63" s="66"/>
      <c r="J63" s="66"/>
      <c r="K63" s="66"/>
      <c r="L63" s="66"/>
      <c r="M63" s="66"/>
      <c r="N63" s="66"/>
    </row>
    <row r="64" spans="2:16">
      <c r="B64" s="59"/>
      <c r="C64" s="66"/>
      <c r="D64" s="66"/>
      <c r="E64" s="66"/>
      <c r="F64" s="66"/>
      <c r="G64" s="66"/>
      <c r="H64" s="160"/>
      <c r="I64" s="66"/>
      <c r="J64" s="66"/>
      <c r="K64" s="66"/>
      <c r="L64" s="66"/>
      <c r="M64" s="66"/>
      <c r="N64" s="66"/>
    </row>
    <row r="65" spans="2:14">
      <c r="B65" s="59" t="s">
        <v>588</v>
      </c>
      <c r="C65" s="66">
        <v>172221160000</v>
      </c>
      <c r="D65" s="66">
        <v>196962500000</v>
      </c>
      <c r="E65" s="66">
        <v>145793010000</v>
      </c>
      <c r="F65" s="66">
        <v>100771590000</v>
      </c>
      <c r="G65" s="66">
        <v>183700880000</v>
      </c>
      <c r="H65" s="66">
        <v>213031640000</v>
      </c>
      <c r="I65" s="66">
        <v>227892110000</v>
      </c>
      <c r="J65" s="66"/>
      <c r="K65" s="66"/>
      <c r="L65" s="66"/>
      <c r="M65" s="66"/>
      <c r="N65" s="66"/>
    </row>
    <row r="66" spans="2:14">
      <c r="B66" s="59" t="s">
        <v>589</v>
      </c>
      <c r="C66" s="66">
        <v>32406430000</v>
      </c>
      <c r="D66" s="66">
        <v>38671770000</v>
      </c>
      <c r="E66" s="66">
        <v>65798090000</v>
      </c>
      <c r="F66" s="66">
        <v>58793360000</v>
      </c>
      <c r="G66" s="66">
        <v>68506990000.000008</v>
      </c>
      <c r="H66" s="66">
        <v>77004070000</v>
      </c>
      <c r="I66" s="66">
        <v>94736170000</v>
      </c>
      <c r="J66" s="66"/>
      <c r="K66" s="66"/>
      <c r="L66" s="66"/>
      <c r="M66" s="66"/>
      <c r="N66" s="66"/>
    </row>
    <row r="67" spans="2:14">
      <c r="B67" s="59" t="s">
        <v>391</v>
      </c>
      <c r="C67" s="66">
        <v>107528140000</v>
      </c>
      <c r="D67" s="66">
        <v>102044080000</v>
      </c>
      <c r="E67" s="66">
        <v>82914440000</v>
      </c>
      <c r="F67" s="66">
        <v>83401240000</v>
      </c>
      <c r="G67" s="66">
        <v>78988330000</v>
      </c>
      <c r="H67" s="66">
        <v>138379190000</v>
      </c>
      <c r="I67" s="66">
        <v>134226470000</v>
      </c>
      <c r="J67" s="66"/>
      <c r="K67" s="66"/>
      <c r="L67" s="66"/>
      <c r="M67" s="66"/>
      <c r="N67" s="66"/>
    </row>
    <row r="68" spans="2:14">
      <c r="B68" s="59"/>
      <c r="C68" s="66"/>
      <c r="D68" s="66"/>
      <c r="E68" s="66"/>
      <c r="F68" s="66"/>
      <c r="G68" s="66"/>
      <c r="H68" s="160"/>
      <c r="I68" s="66"/>
      <c r="J68" s="66"/>
      <c r="K68" s="66"/>
      <c r="L68" s="66"/>
      <c r="M68" s="66"/>
      <c r="N68" s="66"/>
    </row>
    <row r="69" spans="2:14">
      <c r="B69" s="59" t="s">
        <v>318</v>
      </c>
      <c r="C69" s="66">
        <v>15840100000</v>
      </c>
      <c r="D69" s="66">
        <v>27146850000</v>
      </c>
      <c r="E69" s="66">
        <v>14170800000</v>
      </c>
      <c r="F69" s="66">
        <v>22253950000</v>
      </c>
      <c r="G69" s="66">
        <v>24609550000</v>
      </c>
      <c r="H69" s="66">
        <v>40964620000</v>
      </c>
      <c r="I69" s="66">
        <v>38971870000</v>
      </c>
      <c r="J69" s="66"/>
      <c r="K69" s="66"/>
      <c r="L69" s="66"/>
      <c r="M69" s="66"/>
      <c r="N69" s="66"/>
    </row>
    <row r="70" spans="2:14">
      <c r="B70" s="58" t="s">
        <v>319</v>
      </c>
      <c r="C70" s="64">
        <v>612967760000</v>
      </c>
      <c r="D70" s="64">
        <v>654361450000.00012</v>
      </c>
      <c r="E70" s="64">
        <v>706614679999.99988</v>
      </c>
      <c r="F70" s="64">
        <v>736623720000</v>
      </c>
      <c r="G70" s="64">
        <v>783560790000</v>
      </c>
      <c r="H70" s="64">
        <v>799027870000</v>
      </c>
      <c r="I70" s="64">
        <v>854941179999.99988</v>
      </c>
      <c r="J70" s="64"/>
      <c r="K70" s="64"/>
      <c r="L70" s="64"/>
      <c r="M70" s="64"/>
      <c r="N70" s="64"/>
    </row>
    <row r="71" spans="2:14">
      <c r="B71" s="59" t="s">
        <v>393</v>
      </c>
      <c r="C71" s="66"/>
      <c r="D71" s="66"/>
      <c r="E71" s="66"/>
      <c r="F71" s="66"/>
      <c r="G71" s="66"/>
      <c r="H71" s="160"/>
      <c r="I71" s="66"/>
      <c r="J71" s="66"/>
      <c r="K71" s="66"/>
      <c r="L71" s="66"/>
      <c r="M71" s="66"/>
      <c r="N71" s="66"/>
    </row>
    <row r="72" spans="2:14">
      <c r="B72" s="59" t="s">
        <v>394</v>
      </c>
      <c r="C72" s="66"/>
      <c r="D72" s="66"/>
      <c r="E72" s="66"/>
      <c r="F72" s="66"/>
      <c r="G72" s="66"/>
      <c r="H72" s="160"/>
      <c r="I72" s="66"/>
      <c r="J72" s="66"/>
      <c r="K72" s="66"/>
      <c r="L72" s="66"/>
      <c r="M72" s="66"/>
      <c r="N72" s="66"/>
    </row>
    <row r="73" spans="2:14">
      <c r="B73" s="59" t="s">
        <v>590</v>
      </c>
      <c r="C73" s="66"/>
      <c r="D73" s="66"/>
      <c r="E73" s="66"/>
      <c r="F73" s="66"/>
      <c r="G73" s="66"/>
      <c r="H73" s="160"/>
      <c r="I73" s="66"/>
      <c r="J73" s="66"/>
      <c r="K73" s="66"/>
      <c r="L73" s="66"/>
      <c r="M73" s="66"/>
      <c r="N73" s="66"/>
    </row>
    <row r="74" spans="2:14">
      <c r="B74" s="59" t="s">
        <v>396</v>
      </c>
      <c r="C74" s="66"/>
      <c r="D74" s="66"/>
      <c r="E74" s="66"/>
      <c r="F74" s="66"/>
      <c r="G74" s="66"/>
      <c r="H74" s="160"/>
      <c r="I74" s="66"/>
      <c r="J74" s="66"/>
      <c r="K74" s="66"/>
      <c r="L74" s="66"/>
      <c r="M74" s="66"/>
      <c r="N74" s="66"/>
    </row>
    <row r="75" spans="2:14">
      <c r="B75" s="59" t="s">
        <v>397</v>
      </c>
      <c r="C75" s="66"/>
      <c r="D75" s="66"/>
      <c r="E75" s="66"/>
      <c r="F75" s="66"/>
      <c r="G75" s="66"/>
      <c r="H75" s="160"/>
      <c r="I75" s="66"/>
      <c r="J75" s="66"/>
      <c r="K75" s="66"/>
      <c r="L75" s="66"/>
      <c r="M75" s="66"/>
      <c r="N75" s="66"/>
    </row>
    <row r="76" spans="2:14">
      <c r="B76" s="59" t="s">
        <v>398</v>
      </c>
      <c r="C76" s="66"/>
      <c r="D76" s="66"/>
      <c r="E76" s="66"/>
      <c r="F76" s="66"/>
      <c r="G76" s="66"/>
      <c r="H76" s="160"/>
      <c r="I76" s="66"/>
      <c r="J76" s="66"/>
      <c r="K76" s="66"/>
      <c r="L76" s="66"/>
      <c r="M76" s="66"/>
      <c r="N76" s="66"/>
    </row>
    <row r="77" spans="2:14">
      <c r="B77" s="59" t="s">
        <v>399</v>
      </c>
      <c r="C77" s="66"/>
      <c r="D77" s="66"/>
      <c r="E77" s="66"/>
      <c r="F77" s="66"/>
      <c r="G77" s="66"/>
      <c r="H77" s="160"/>
      <c r="I77" s="66"/>
      <c r="J77" s="66"/>
      <c r="K77" s="66"/>
      <c r="L77" s="66"/>
      <c r="M77" s="66"/>
      <c r="N77" s="66"/>
    </row>
    <row r="78" spans="2:14">
      <c r="B78" s="59" t="s">
        <v>400</v>
      </c>
      <c r="C78" s="66"/>
      <c r="D78" s="66"/>
      <c r="E78" s="66"/>
      <c r="F78" s="161"/>
      <c r="G78" s="66"/>
      <c r="H78" s="160"/>
      <c r="I78" s="66"/>
      <c r="J78" s="66"/>
      <c r="K78" s="66"/>
      <c r="L78" s="66"/>
      <c r="M78" s="66"/>
      <c r="N78" s="66"/>
    </row>
    <row r="79" spans="2:14">
      <c r="B79" s="59" t="s">
        <v>401</v>
      </c>
      <c r="C79" s="66"/>
      <c r="D79" s="66"/>
      <c r="E79" s="66"/>
      <c r="F79" s="66"/>
      <c r="G79" s="66"/>
      <c r="H79" s="160"/>
      <c r="I79" s="66"/>
      <c r="J79" s="66"/>
      <c r="K79" s="66"/>
      <c r="L79" s="66"/>
      <c r="M79" s="66"/>
      <c r="N79" s="66"/>
    </row>
    <row r="80" spans="2:14">
      <c r="B80" s="59" t="s">
        <v>328</v>
      </c>
      <c r="C80" s="66">
        <v>612967760000</v>
      </c>
      <c r="D80" s="66">
        <v>654361450000.00012</v>
      </c>
      <c r="E80" s="66">
        <v>706614679999.99988</v>
      </c>
      <c r="F80" s="66">
        <v>736623720000</v>
      </c>
      <c r="G80" s="66">
        <v>783560790000</v>
      </c>
      <c r="H80" s="66">
        <v>799027870000</v>
      </c>
      <c r="I80" s="66">
        <v>854941179999.99988</v>
      </c>
      <c r="J80" s="66">
        <f t="shared" ref="J80:N80" si="37">+J70-J77-J78-J76-J71-J79-J75-J74-J73-J72</f>
        <v>0</v>
      </c>
      <c r="K80" s="66">
        <f t="shared" si="37"/>
        <v>0</v>
      </c>
      <c r="L80" s="66">
        <f t="shared" si="37"/>
        <v>0</v>
      </c>
      <c r="M80" s="66">
        <f t="shared" si="37"/>
        <v>0</v>
      </c>
      <c r="N80" s="66">
        <f t="shared" si="37"/>
        <v>0</v>
      </c>
    </row>
    <row r="81" spans="2:14" ht="14.65" thickBot="1">
      <c r="B81" s="60" t="s">
        <v>329</v>
      </c>
      <c r="C81" s="70">
        <v>992432070000</v>
      </c>
      <c r="D81" s="70">
        <v>1095768570000.0001</v>
      </c>
      <c r="E81" s="70">
        <v>1085078239999.9999</v>
      </c>
      <c r="F81" s="70">
        <v>1071944020000</v>
      </c>
      <c r="G81" s="70">
        <v>1233437810000</v>
      </c>
      <c r="H81" s="162">
        <v>1354628990000</v>
      </c>
      <c r="I81" s="162">
        <v>1427050730000</v>
      </c>
      <c r="J81" s="162">
        <f t="shared" ref="J81:N81" si="38">+J70+J61</f>
        <v>0</v>
      </c>
      <c r="K81" s="162">
        <f t="shared" si="38"/>
        <v>0</v>
      </c>
      <c r="L81" s="162">
        <f t="shared" si="38"/>
        <v>0</v>
      </c>
      <c r="M81" s="162">
        <f t="shared" si="38"/>
        <v>0</v>
      </c>
      <c r="N81" s="162">
        <f t="shared" si="38"/>
        <v>0</v>
      </c>
    </row>
    <row r="82" spans="2:14" ht="14.65" thickBot="1">
      <c r="B82" s="61"/>
      <c r="C82" s="72"/>
      <c r="D82" s="72"/>
      <c r="E82" s="72"/>
      <c r="F82" s="72"/>
      <c r="G82" s="72"/>
      <c r="H82" s="163"/>
      <c r="I82" s="72"/>
      <c r="J82" s="72"/>
      <c r="K82" s="72"/>
      <c r="L82" s="72"/>
      <c r="M82" s="72"/>
      <c r="N82" s="72"/>
    </row>
    <row r="83" spans="2:14">
      <c r="B83" s="57" t="s">
        <v>330</v>
      </c>
      <c r="C83" s="62"/>
      <c r="D83" s="62"/>
      <c r="E83" s="62"/>
      <c r="F83" s="62"/>
      <c r="G83" s="62"/>
      <c r="H83" s="164"/>
      <c r="I83" s="62"/>
      <c r="J83" s="62"/>
      <c r="K83" s="62"/>
      <c r="L83" s="62"/>
      <c r="M83" s="62"/>
      <c r="N83" s="62"/>
    </row>
    <row r="84" spans="2:14">
      <c r="B84" s="58" t="s">
        <v>310</v>
      </c>
      <c r="C84" s="64">
        <v>407115940000</v>
      </c>
      <c r="D84" s="64">
        <v>421826470000</v>
      </c>
      <c r="E84" s="64">
        <v>399089010000</v>
      </c>
      <c r="F84" s="64">
        <v>366576120000</v>
      </c>
      <c r="G84" s="64">
        <v>504370360000</v>
      </c>
      <c r="H84" s="64">
        <v>600764690000</v>
      </c>
      <c r="I84" s="64">
        <v>636209680000</v>
      </c>
      <c r="J84" s="64"/>
      <c r="K84" s="64"/>
      <c r="L84" s="64"/>
      <c r="M84" s="64"/>
      <c r="N84" s="64"/>
    </row>
    <row r="85" spans="2:14">
      <c r="B85" s="59" t="s">
        <v>402</v>
      </c>
      <c r="C85" s="66"/>
      <c r="D85" s="66"/>
      <c r="E85" s="66"/>
      <c r="F85" s="66"/>
      <c r="G85" s="66"/>
      <c r="H85" s="160"/>
      <c r="I85" s="66"/>
      <c r="J85" s="66"/>
      <c r="K85" s="66"/>
      <c r="L85" s="66"/>
      <c r="M85" s="66"/>
      <c r="N85" s="66"/>
    </row>
    <row r="86" spans="2:14">
      <c r="B86" s="59" t="s">
        <v>403</v>
      </c>
      <c r="C86" s="66"/>
      <c r="D86" s="66"/>
      <c r="E86" s="66"/>
      <c r="F86" s="66"/>
      <c r="G86" s="66"/>
      <c r="H86" s="160"/>
      <c r="I86" s="66"/>
      <c r="J86" s="66"/>
      <c r="K86" s="66"/>
      <c r="L86" s="66"/>
      <c r="M86" s="66"/>
      <c r="N86" s="66"/>
    </row>
    <row r="87" spans="2:14">
      <c r="B87" s="59" t="s">
        <v>404</v>
      </c>
      <c r="C87" s="66"/>
      <c r="D87" s="66"/>
      <c r="E87" s="66"/>
      <c r="F87" s="66"/>
      <c r="G87" s="66"/>
      <c r="H87" s="160"/>
      <c r="I87" s="66"/>
      <c r="J87" s="66"/>
      <c r="K87" s="66"/>
      <c r="L87" s="66"/>
      <c r="M87" s="66"/>
      <c r="N87" s="66"/>
    </row>
    <row r="88" spans="2:14">
      <c r="B88" s="59" t="s">
        <v>405</v>
      </c>
      <c r="C88" s="66"/>
      <c r="D88" s="66"/>
      <c r="E88" s="66"/>
      <c r="F88" s="66"/>
      <c r="G88" s="66"/>
      <c r="H88" s="160"/>
      <c r="I88" s="66"/>
      <c r="J88" s="66"/>
      <c r="K88" s="66"/>
      <c r="L88" s="66"/>
      <c r="M88" s="66"/>
      <c r="N88" s="66"/>
    </row>
    <row r="89" spans="2:14">
      <c r="B89" s="59" t="s">
        <v>406</v>
      </c>
      <c r="C89" s="66"/>
      <c r="D89" s="66"/>
      <c r="E89" s="66"/>
      <c r="F89" s="66"/>
      <c r="G89" s="66"/>
      <c r="H89" s="160"/>
      <c r="I89" s="66"/>
      <c r="J89" s="66"/>
      <c r="K89" s="66"/>
      <c r="L89" s="66"/>
      <c r="M89" s="66"/>
      <c r="N89" s="66"/>
    </row>
    <row r="90" spans="2:14">
      <c r="B90" s="59" t="s">
        <v>407</v>
      </c>
      <c r="C90" s="66"/>
      <c r="D90" s="66"/>
      <c r="E90" s="66"/>
      <c r="F90" s="66"/>
      <c r="G90" s="66"/>
      <c r="H90" s="160"/>
      <c r="I90" s="66"/>
      <c r="J90" s="66"/>
      <c r="K90" s="66"/>
      <c r="L90" s="66"/>
      <c r="M90" s="66"/>
      <c r="N90" s="66"/>
    </row>
    <row r="91" spans="2:14">
      <c r="B91" s="59" t="s">
        <v>408</v>
      </c>
      <c r="C91" s="66"/>
      <c r="D91" s="66"/>
      <c r="E91" s="66"/>
      <c r="F91" s="66"/>
      <c r="G91" s="66"/>
      <c r="H91" s="160"/>
      <c r="I91" s="66"/>
      <c r="J91" s="66"/>
      <c r="K91" s="66"/>
      <c r="L91" s="66"/>
      <c r="M91" s="66"/>
      <c r="N91" s="66"/>
    </row>
    <row r="92" spans="2:14">
      <c r="B92" s="59" t="s">
        <v>409</v>
      </c>
      <c r="C92" s="66"/>
      <c r="D92" s="66"/>
      <c r="E92" s="66"/>
      <c r="F92" s="66"/>
      <c r="G92" s="66"/>
      <c r="H92" s="160"/>
      <c r="I92" s="66"/>
      <c r="J92" s="66"/>
      <c r="K92" s="66"/>
      <c r="L92" s="66"/>
      <c r="M92" s="66"/>
      <c r="N92" s="66"/>
    </row>
    <row r="93" spans="2:14">
      <c r="B93" s="59" t="s">
        <v>410</v>
      </c>
      <c r="C93" s="66">
        <v>407115940000</v>
      </c>
      <c r="D93" s="66">
        <v>421826470000</v>
      </c>
      <c r="E93" s="66">
        <v>399089010000</v>
      </c>
      <c r="F93" s="66">
        <v>366576120000</v>
      </c>
      <c r="G93" s="66">
        <v>504370360000</v>
      </c>
      <c r="H93" s="66">
        <v>600764690000</v>
      </c>
      <c r="I93" s="66">
        <v>636209680000</v>
      </c>
      <c r="J93" s="66">
        <f t="shared" ref="J93:N93" si="39">+J84-J85-J91-J92-J90-J89-J88-J87-J86</f>
        <v>0</v>
      </c>
      <c r="K93" s="66">
        <f t="shared" si="39"/>
        <v>0</v>
      </c>
      <c r="L93" s="66">
        <f t="shared" si="39"/>
        <v>0</v>
      </c>
      <c r="M93" s="66">
        <f t="shared" si="39"/>
        <v>0</v>
      </c>
      <c r="N93" s="66">
        <f t="shared" si="39"/>
        <v>0</v>
      </c>
    </row>
    <row r="94" spans="2:14">
      <c r="B94" s="58" t="s">
        <v>319</v>
      </c>
      <c r="C94" s="141">
        <v>220565860000.00003</v>
      </c>
      <c r="D94" s="141">
        <v>298759860000</v>
      </c>
      <c r="E94" s="141">
        <v>305749030000</v>
      </c>
      <c r="F94" s="141">
        <v>322804440000.00006</v>
      </c>
      <c r="G94" s="141">
        <v>322885030000</v>
      </c>
      <c r="H94" s="141">
        <v>326200570000.00006</v>
      </c>
      <c r="I94" s="141">
        <v>308685620000</v>
      </c>
      <c r="J94" s="141"/>
      <c r="K94" s="141"/>
      <c r="L94" s="141"/>
      <c r="M94" s="141"/>
      <c r="N94" s="141"/>
    </row>
    <row r="95" spans="2:14">
      <c r="B95" s="59" t="s">
        <v>411</v>
      </c>
      <c r="C95" s="66"/>
      <c r="D95" s="66"/>
      <c r="E95" s="66"/>
      <c r="F95" s="66"/>
      <c r="G95" s="66"/>
      <c r="H95" s="160"/>
      <c r="I95" s="160"/>
      <c r="J95" s="160"/>
      <c r="K95" s="160"/>
      <c r="L95" s="160"/>
      <c r="M95" s="160"/>
      <c r="N95" s="160"/>
    </row>
    <row r="96" spans="2:14">
      <c r="B96" s="59" t="s">
        <v>412</v>
      </c>
      <c r="C96" s="66"/>
      <c r="D96" s="66"/>
      <c r="E96" s="66"/>
      <c r="F96" s="66"/>
      <c r="G96" s="66"/>
      <c r="H96" s="160"/>
      <c r="I96" s="160"/>
      <c r="J96" s="160"/>
      <c r="K96" s="160"/>
      <c r="L96" s="160"/>
      <c r="M96" s="160"/>
      <c r="N96" s="160"/>
    </row>
    <row r="97" spans="2:14">
      <c r="B97" s="59" t="s">
        <v>413</v>
      </c>
      <c r="C97" s="66"/>
      <c r="D97" s="66"/>
      <c r="E97" s="66"/>
      <c r="F97" s="66"/>
      <c r="G97" s="66"/>
      <c r="H97" s="160"/>
      <c r="I97" s="160"/>
      <c r="J97" s="160"/>
      <c r="K97" s="160"/>
      <c r="L97" s="160"/>
      <c r="M97" s="160"/>
      <c r="N97" s="160"/>
    </row>
    <row r="98" spans="2:14">
      <c r="B98" s="59" t="s">
        <v>414</v>
      </c>
      <c r="C98" s="66"/>
      <c r="D98" s="66"/>
      <c r="E98" s="66"/>
      <c r="F98" s="66"/>
      <c r="G98" s="66"/>
      <c r="H98" s="160"/>
      <c r="I98" s="160"/>
      <c r="J98" s="160"/>
      <c r="K98" s="160"/>
      <c r="L98" s="160"/>
      <c r="M98" s="160"/>
      <c r="N98" s="160"/>
    </row>
    <row r="99" spans="2:14">
      <c r="B99" s="59" t="s">
        <v>341</v>
      </c>
      <c r="C99" s="66">
        <v>220565860000.00003</v>
      </c>
      <c r="D99" s="66">
        <v>298759860000</v>
      </c>
      <c r="E99" s="66">
        <v>305749030000</v>
      </c>
      <c r="F99" s="66">
        <v>322804440000.00006</v>
      </c>
      <c r="G99" s="66">
        <v>322885030000</v>
      </c>
      <c r="H99" s="66">
        <v>326200570000.00006</v>
      </c>
      <c r="I99" s="66">
        <v>308685620000</v>
      </c>
      <c r="J99" s="66">
        <f t="shared" ref="J99:N99" si="40">+J94-J95-J97-J98-J96</f>
        <v>0</v>
      </c>
      <c r="K99" s="66">
        <f t="shared" si="40"/>
        <v>0</v>
      </c>
      <c r="L99" s="66">
        <f t="shared" si="40"/>
        <v>0</v>
      </c>
      <c r="M99" s="66">
        <f t="shared" si="40"/>
        <v>0</v>
      </c>
      <c r="N99" s="66">
        <f t="shared" si="40"/>
        <v>0</v>
      </c>
    </row>
    <row r="100" spans="2:14" ht="14.65" thickBot="1">
      <c r="B100" s="60" t="s">
        <v>342</v>
      </c>
      <c r="C100" s="70">
        <v>627681800000</v>
      </c>
      <c r="D100" s="70">
        <v>720586330000</v>
      </c>
      <c r="E100" s="70">
        <v>704838040000</v>
      </c>
      <c r="F100" s="70">
        <v>689380560000</v>
      </c>
      <c r="G100" s="70">
        <v>827255390000</v>
      </c>
      <c r="H100" s="162">
        <v>926965260000</v>
      </c>
      <c r="I100" s="162">
        <v>944895300000</v>
      </c>
      <c r="J100" s="162">
        <f t="shared" ref="J100:N100" si="41">+J94+J84</f>
        <v>0</v>
      </c>
      <c r="K100" s="162">
        <f t="shared" si="41"/>
        <v>0</v>
      </c>
      <c r="L100" s="162">
        <f t="shared" si="41"/>
        <v>0</v>
      </c>
      <c r="M100" s="162">
        <f t="shared" si="41"/>
        <v>0</v>
      </c>
      <c r="N100" s="162">
        <f t="shared" si="41"/>
        <v>0</v>
      </c>
    </row>
    <row r="101" spans="2:14" ht="14.65" thickBot="1">
      <c r="B101" s="61"/>
      <c r="C101" s="61"/>
      <c r="D101" s="61"/>
      <c r="E101" s="61"/>
      <c r="F101" s="61"/>
      <c r="G101" s="61"/>
      <c r="H101" s="61"/>
      <c r="I101" s="61"/>
      <c r="J101" s="61"/>
      <c r="K101" s="61"/>
      <c r="L101" s="61"/>
      <c r="M101" s="61"/>
      <c r="N101" s="61"/>
    </row>
    <row r="102" spans="2:14">
      <c r="B102" s="57" t="s">
        <v>343</v>
      </c>
      <c r="C102" s="62"/>
      <c r="D102" s="62"/>
      <c r="E102" s="62"/>
      <c r="F102" s="62"/>
      <c r="G102" s="62"/>
      <c r="H102" s="164"/>
      <c r="I102" s="62"/>
      <c r="J102" s="62"/>
      <c r="K102" s="62"/>
      <c r="L102" s="62"/>
      <c r="M102" s="62"/>
      <c r="N102" s="62"/>
    </row>
    <row r="103" spans="2:14">
      <c r="B103" s="59" t="s">
        <v>415</v>
      </c>
      <c r="C103" s="160">
        <v>183973410000</v>
      </c>
      <c r="D103" s="160">
        <v>183973410000</v>
      </c>
      <c r="E103" s="160">
        <v>183973410000</v>
      </c>
      <c r="F103" s="160">
        <v>183973410000</v>
      </c>
      <c r="G103" s="160">
        <v>183973410000</v>
      </c>
      <c r="H103" s="160">
        <v>183973410000</v>
      </c>
      <c r="I103" s="160">
        <v>208973410000</v>
      </c>
      <c r="J103" s="160"/>
      <c r="K103" s="160"/>
      <c r="L103" s="160"/>
      <c r="M103" s="160"/>
      <c r="N103" s="160"/>
    </row>
    <row r="104" spans="2:14">
      <c r="B104" s="59" t="s">
        <v>591</v>
      </c>
      <c r="C104" s="160">
        <v>0</v>
      </c>
      <c r="D104" s="160">
        <v>0</v>
      </c>
      <c r="E104" s="160">
        <v>0</v>
      </c>
      <c r="F104" s="160">
        <v>0</v>
      </c>
      <c r="G104" s="160">
        <v>0</v>
      </c>
      <c r="H104" s="160">
        <v>0</v>
      </c>
      <c r="I104" s="160">
        <v>108330000</v>
      </c>
      <c r="J104" s="160"/>
      <c r="K104" s="160"/>
      <c r="L104" s="160"/>
      <c r="M104" s="160"/>
      <c r="N104" s="160"/>
    </row>
    <row r="105" spans="2:14">
      <c r="B105" s="59" t="s">
        <v>416</v>
      </c>
      <c r="C105" s="66">
        <v>188821940000</v>
      </c>
      <c r="D105" s="66">
        <v>198136790000</v>
      </c>
      <c r="E105" s="66">
        <v>200190310000</v>
      </c>
      <c r="F105" s="66">
        <v>204618500000</v>
      </c>
      <c r="G105" s="66">
        <v>226186430000</v>
      </c>
      <c r="H105" s="66">
        <v>251129610000</v>
      </c>
      <c r="I105" s="66">
        <v>281133830000</v>
      </c>
      <c r="J105" s="66"/>
      <c r="K105" s="66"/>
      <c r="L105" s="66"/>
      <c r="M105" s="66"/>
      <c r="N105" s="66"/>
    </row>
    <row r="106" spans="2:14">
      <c r="B106" s="59" t="s">
        <v>345</v>
      </c>
      <c r="C106" s="66">
        <v>-9217630000</v>
      </c>
      <c r="D106" s="66">
        <v>-7968030000</v>
      </c>
      <c r="E106" s="66">
        <v>-4978070000</v>
      </c>
      <c r="F106" s="66">
        <v>-7185470000</v>
      </c>
      <c r="G106" s="66">
        <v>-5620800000</v>
      </c>
      <c r="H106" s="66">
        <v>-7402380000</v>
      </c>
      <c r="I106" s="66">
        <v>-8019260000</v>
      </c>
      <c r="J106" s="66"/>
      <c r="K106" s="66"/>
      <c r="L106" s="66"/>
      <c r="M106" s="66"/>
      <c r="N106" s="66"/>
    </row>
    <row r="107" spans="2:14">
      <c r="B107" s="59" t="s">
        <v>419</v>
      </c>
      <c r="C107" s="66">
        <v>1172550000</v>
      </c>
      <c r="D107" s="66">
        <v>1040069999.9999999</v>
      </c>
      <c r="E107" s="66">
        <v>1054550000</v>
      </c>
      <c r="F107" s="66">
        <v>1157020000</v>
      </c>
      <c r="G107" s="66">
        <v>1643380000</v>
      </c>
      <c r="H107" s="66">
        <v>-36910000</v>
      </c>
      <c r="I107" s="66">
        <v>-40870000</v>
      </c>
      <c r="J107" s="66"/>
      <c r="K107" s="66"/>
      <c r="L107" s="66"/>
      <c r="M107" s="66"/>
      <c r="N107" s="66"/>
    </row>
    <row r="108" spans="2:14" ht="14.65" thickBot="1">
      <c r="B108" s="60" t="s">
        <v>420</v>
      </c>
      <c r="C108" s="70">
        <v>363577720000</v>
      </c>
      <c r="D108" s="70">
        <v>374142170000</v>
      </c>
      <c r="E108" s="70">
        <v>379185650000</v>
      </c>
      <c r="F108" s="70">
        <v>381406440000</v>
      </c>
      <c r="G108" s="70">
        <v>404539040000</v>
      </c>
      <c r="H108" s="70">
        <v>427700640000</v>
      </c>
      <c r="I108" s="70">
        <v>482196310000</v>
      </c>
      <c r="J108" s="70">
        <f t="shared" ref="J108:N108" si="42">+J103+J106+J105+J104</f>
        <v>0</v>
      </c>
      <c r="K108" s="70">
        <f t="shared" si="42"/>
        <v>0</v>
      </c>
      <c r="L108" s="70">
        <f t="shared" si="42"/>
        <v>0</v>
      </c>
      <c r="M108" s="70">
        <f t="shared" si="42"/>
        <v>0</v>
      </c>
      <c r="N108" s="70">
        <f t="shared" si="42"/>
        <v>0</v>
      </c>
    </row>
    <row r="109" spans="2:14" ht="14.65" thickBot="1">
      <c r="B109" s="60" t="s">
        <v>347</v>
      </c>
      <c r="C109" s="70">
        <v>364750270000</v>
      </c>
      <c r="D109" s="70">
        <v>375182240000</v>
      </c>
      <c r="E109" s="70">
        <v>380240200000</v>
      </c>
      <c r="F109" s="70">
        <v>382563460000</v>
      </c>
      <c r="G109" s="70">
        <v>406182420000</v>
      </c>
      <c r="H109" s="70">
        <v>427663730000</v>
      </c>
      <c r="I109" s="70">
        <v>482155440000</v>
      </c>
      <c r="J109" s="70">
        <f t="shared" ref="J109:N109" si="43">+J108+J107</f>
        <v>0</v>
      </c>
      <c r="K109" s="70">
        <f t="shared" si="43"/>
        <v>0</v>
      </c>
      <c r="L109" s="70">
        <f t="shared" si="43"/>
        <v>0</v>
      </c>
      <c r="M109" s="70">
        <f t="shared" si="43"/>
        <v>0</v>
      </c>
      <c r="N109" s="70">
        <f t="shared" si="43"/>
        <v>0</v>
      </c>
    </row>
    <row r="111" spans="2:14" ht="14.65" thickBot="1">
      <c r="B111" s="75" t="s">
        <v>348</v>
      </c>
    </row>
    <row r="112" spans="2:14" ht="14.65" thickBot="1">
      <c r="B112" s="82" t="s">
        <v>308</v>
      </c>
      <c r="C112" s="88">
        <v>2017</v>
      </c>
      <c r="D112" s="88">
        <v>2018</v>
      </c>
      <c r="E112" s="88">
        <v>2019</v>
      </c>
      <c r="F112" s="88">
        <v>2020</v>
      </c>
      <c r="G112" s="88">
        <v>2021</v>
      </c>
      <c r="H112" s="88">
        <v>2022</v>
      </c>
      <c r="I112" s="88">
        <v>2023</v>
      </c>
      <c r="J112" s="88">
        <v>2024</v>
      </c>
      <c r="K112" s="88">
        <v>2025</v>
      </c>
      <c r="L112" s="88">
        <v>2026</v>
      </c>
      <c r="M112" s="88">
        <v>2027</v>
      </c>
      <c r="N112" s="88">
        <v>2028</v>
      </c>
    </row>
    <row r="113" spans="2:14">
      <c r="B113" s="525" t="s">
        <v>349</v>
      </c>
      <c r="C113" s="90">
        <v>667919540000</v>
      </c>
      <c r="D113" s="90">
        <v>718383030000</v>
      </c>
      <c r="E113" s="90">
        <v>749599570000</v>
      </c>
      <c r="F113" s="90">
        <v>400211370000</v>
      </c>
      <c r="G113" s="90">
        <v>712763840000</v>
      </c>
      <c r="H113" s="90">
        <v>829373870000</v>
      </c>
      <c r="I113" s="90">
        <v>1040368980000</v>
      </c>
      <c r="J113" s="90"/>
      <c r="K113" s="90"/>
      <c r="L113" s="90"/>
      <c r="M113" s="90"/>
      <c r="N113" s="90"/>
    </row>
    <row r="114" spans="2:14">
      <c r="B114" s="85" t="s">
        <v>534</v>
      </c>
      <c r="C114" s="66"/>
      <c r="D114" s="66"/>
      <c r="E114" s="66"/>
      <c r="F114" s="66"/>
      <c r="G114" s="66"/>
      <c r="H114" s="66"/>
      <c r="I114" s="66"/>
      <c r="J114" s="66"/>
      <c r="K114" s="66"/>
      <c r="L114" s="66"/>
      <c r="M114" s="66"/>
      <c r="N114" s="66"/>
    </row>
    <row r="115" spans="2:14">
      <c r="B115" s="86" t="s">
        <v>422</v>
      </c>
      <c r="C115" s="64"/>
      <c r="D115" s="64"/>
      <c r="E115" s="64"/>
      <c r="F115" s="64"/>
      <c r="G115" s="64"/>
      <c r="H115" s="64"/>
      <c r="I115" s="64"/>
      <c r="J115" s="64">
        <f t="shared" ref="J115:N115" si="44">+J113+J114</f>
        <v>0</v>
      </c>
      <c r="K115" s="64">
        <f t="shared" si="44"/>
        <v>0</v>
      </c>
      <c r="L115" s="64">
        <f t="shared" si="44"/>
        <v>0</v>
      </c>
      <c r="M115" s="64">
        <f t="shared" si="44"/>
        <v>0</v>
      </c>
      <c r="N115" s="64">
        <f t="shared" si="44"/>
        <v>0</v>
      </c>
    </row>
    <row r="116" spans="2:14">
      <c r="B116" s="85" t="s">
        <v>592</v>
      </c>
      <c r="C116" s="64"/>
      <c r="D116" s="64"/>
      <c r="E116" s="64"/>
      <c r="F116" s="117"/>
      <c r="G116" s="117"/>
      <c r="H116" s="117"/>
      <c r="I116" s="117"/>
      <c r="J116" s="117"/>
      <c r="K116" s="117"/>
      <c r="L116" s="117"/>
      <c r="M116" s="117"/>
      <c r="N116" s="117"/>
    </row>
    <row r="117" spans="2:14">
      <c r="B117" s="85" t="s">
        <v>536</v>
      </c>
      <c r="C117" s="64"/>
      <c r="D117" s="64"/>
      <c r="E117" s="64"/>
      <c r="F117" s="117"/>
      <c r="G117" s="117"/>
      <c r="H117" s="117"/>
      <c r="I117" s="117"/>
      <c r="J117" s="117"/>
      <c r="K117" s="117"/>
      <c r="L117" s="117"/>
      <c r="M117" s="117"/>
      <c r="N117" s="117"/>
    </row>
    <row r="118" spans="2:14">
      <c r="B118" s="85" t="s">
        <v>537</v>
      </c>
      <c r="C118" s="64"/>
      <c r="D118" s="64"/>
      <c r="E118" s="64"/>
      <c r="F118" s="117"/>
      <c r="G118" s="117"/>
      <c r="H118" s="117"/>
      <c r="I118" s="117"/>
      <c r="J118" s="117"/>
      <c r="K118" s="117"/>
      <c r="L118" s="117"/>
      <c r="M118" s="117"/>
      <c r="N118" s="117"/>
    </row>
    <row r="119" spans="2:14">
      <c r="B119" s="85" t="s">
        <v>593</v>
      </c>
      <c r="C119" s="66"/>
      <c r="D119" s="66"/>
      <c r="E119" s="66"/>
      <c r="F119" s="117"/>
      <c r="G119" s="117"/>
      <c r="H119" s="117"/>
      <c r="I119" s="117"/>
      <c r="J119" s="117"/>
      <c r="K119" s="117"/>
      <c r="L119" s="117"/>
      <c r="M119" s="117"/>
      <c r="N119" s="117"/>
    </row>
    <row r="120" spans="2:14">
      <c r="B120" s="526" t="s">
        <v>594</v>
      </c>
      <c r="C120" s="64">
        <v>30565810000</v>
      </c>
      <c r="D120" s="64">
        <v>27284090000</v>
      </c>
      <c r="E120" s="64">
        <v>23862900000</v>
      </c>
      <c r="F120" s="64">
        <v>10579780000</v>
      </c>
      <c r="G120" s="64">
        <v>37262630000</v>
      </c>
      <c r="H120" s="64">
        <v>56087200000</v>
      </c>
      <c r="I120" s="64">
        <v>80831720000</v>
      </c>
      <c r="J120" s="64">
        <f t="shared" ref="J120:N120" si="45">+J115+J119+J116+J117+J118</f>
        <v>0</v>
      </c>
      <c r="K120" s="64">
        <f t="shared" si="45"/>
        <v>0</v>
      </c>
      <c r="L120" s="64">
        <f t="shared" si="45"/>
        <v>0</v>
      </c>
      <c r="M120" s="64">
        <f t="shared" si="45"/>
        <v>0</v>
      </c>
      <c r="N120" s="64">
        <f t="shared" si="45"/>
        <v>0</v>
      </c>
    </row>
    <row r="121" spans="2:14">
      <c r="B121" s="85" t="s">
        <v>429</v>
      </c>
      <c r="C121" s="66"/>
      <c r="D121" s="66"/>
      <c r="E121" s="66"/>
      <c r="F121" s="66"/>
      <c r="G121" s="131"/>
      <c r="H121" s="131"/>
      <c r="I121" s="131"/>
      <c r="J121" s="131"/>
      <c r="K121" s="131"/>
      <c r="L121" s="131"/>
      <c r="M121" s="131"/>
      <c r="N121" s="131"/>
    </row>
    <row r="122" spans="2:14">
      <c r="B122" s="85" t="s">
        <v>430</v>
      </c>
      <c r="C122" s="66"/>
      <c r="D122" s="66"/>
      <c r="E122" s="66"/>
      <c r="F122" s="66"/>
      <c r="G122" s="131"/>
      <c r="H122" s="131"/>
      <c r="I122" s="131"/>
      <c r="J122" s="131"/>
      <c r="K122" s="131"/>
      <c r="L122" s="131"/>
      <c r="M122" s="131"/>
      <c r="N122" s="131"/>
    </row>
    <row r="123" spans="2:14">
      <c r="B123" s="85" t="s">
        <v>431</v>
      </c>
      <c r="C123" s="66"/>
      <c r="D123" s="66"/>
      <c r="E123" s="66"/>
      <c r="F123" s="66"/>
      <c r="G123" s="131"/>
      <c r="H123" s="131"/>
      <c r="I123" s="131"/>
      <c r="J123" s="131"/>
      <c r="K123" s="131"/>
      <c r="L123" s="131"/>
      <c r="M123" s="131"/>
      <c r="N123" s="131"/>
    </row>
    <row r="124" spans="2:14">
      <c r="B124" s="85" t="s">
        <v>432</v>
      </c>
      <c r="C124" s="66"/>
      <c r="D124" s="66"/>
      <c r="E124" s="66"/>
      <c r="F124" s="66"/>
      <c r="G124" s="131"/>
      <c r="H124" s="131"/>
      <c r="I124" s="131"/>
      <c r="J124" s="131"/>
      <c r="K124" s="131"/>
      <c r="L124" s="131"/>
      <c r="M124" s="131"/>
      <c r="N124" s="131"/>
    </row>
    <row r="125" spans="2:14">
      <c r="B125" s="85" t="s">
        <v>433</v>
      </c>
      <c r="C125" s="66"/>
      <c r="D125" s="66"/>
      <c r="E125" s="66"/>
      <c r="F125" s="66"/>
      <c r="G125" s="131"/>
      <c r="H125" s="131"/>
      <c r="I125" s="131"/>
      <c r="J125" s="131"/>
      <c r="K125" s="131"/>
      <c r="L125" s="131"/>
      <c r="M125" s="131"/>
      <c r="N125" s="131"/>
    </row>
    <row r="126" spans="2:14">
      <c r="B126" s="86" t="s">
        <v>362</v>
      </c>
      <c r="C126" s="64">
        <v>30754460000</v>
      </c>
      <c r="D126" s="64">
        <v>28659560000</v>
      </c>
      <c r="E126" s="64">
        <v>27633410000</v>
      </c>
      <c r="F126" s="64">
        <v>14071650000</v>
      </c>
      <c r="G126" s="64">
        <v>38303280000</v>
      </c>
      <c r="H126" s="64">
        <v>41239050000</v>
      </c>
      <c r="I126" s="64">
        <v>58150070000</v>
      </c>
      <c r="J126" s="64">
        <f t="shared" ref="J126:N126" si="46">+J120+J121+J122+J123+J124+J125</f>
        <v>0</v>
      </c>
      <c r="K126" s="64">
        <f t="shared" si="46"/>
        <v>0</v>
      </c>
      <c r="L126" s="64">
        <f t="shared" si="46"/>
        <v>0</v>
      </c>
      <c r="M126" s="64">
        <f t="shared" si="46"/>
        <v>0</v>
      </c>
      <c r="N126" s="64">
        <f t="shared" si="46"/>
        <v>0</v>
      </c>
    </row>
    <row r="127" spans="2:14">
      <c r="B127" s="85" t="s">
        <v>363</v>
      </c>
      <c r="C127" s="91">
        <v>-6014980000</v>
      </c>
      <c r="D127" s="91">
        <v>-3320760000</v>
      </c>
      <c r="E127" s="91">
        <v>-4370770000</v>
      </c>
      <c r="F127" s="91">
        <v>-222220000</v>
      </c>
      <c r="G127" s="91">
        <v>-7389140000</v>
      </c>
      <c r="H127" s="91">
        <v>-5582420000</v>
      </c>
      <c r="I127" s="91">
        <v>-15281490000</v>
      </c>
      <c r="J127" s="91"/>
      <c r="K127" s="91"/>
      <c r="L127" s="91"/>
      <c r="M127" s="91"/>
      <c r="N127" s="91"/>
    </row>
    <row r="128" spans="2:14">
      <c r="B128" s="84" t="s">
        <v>365</v>
      </c>
      <c r="C128" s="130">
        <v>24739480000</v>
      </c>
      <c r="D128" s="130">
        <v>25338800000</v>
      </c>
      <c r="E128" s="130">
        <v>23262640000</v>
      </c>
      <c r="F128" s="130">
        <v>13849430000</v>
      </c>
      <c r="G128" s="130">
        <v>30914140000</v>
      </c>
      <c r="H128" s="130">
        <v>35656630000</v>
      </c>
      <c r="I128" s="130">
        <v>42868580000</v>
      </c>
      <c r="J128" s="130">
        <f t="shared" ref="J128:N128" si="47">+J126+J127</f>
        <v>0</v>
      </c>
      <c r="K128" s="130">
        <f t="shared" si="47"/>
        <v>0</v>
      </c>
      <c r="L128" s="130">
        <f t="shared" si="47"/>
        <v>0</v>
      </c>
      <c r="M128" s="130">
        <f t="shared" si="47"/>
        <v>0</v>
      </c>
      <c r="N128" s="130">
        <f t="shared" si="47"/>
        <v>0</v>
      </c>
    </row>
    <row r="129" spans="2:14" ht="28.5">
      <c r="B129" s="87" t="s">
        <v>435</v>
      </c>
      <c r="C129" s="91">
        <v>-15190000</v>
      </c>
      <c r="D129" s="91">
        <v>26270000</v>
      </c>
      <c r="E129" s="91">
        <v>-21040000</v>
      </c>
      <c r="F129" s="91">
        <v>-102390000</v>
      </c>
      <c r="G129" s="91">
        <v>-100700000</v>
      </c>
      <c r="H129" s="91">
        <v>-21480000</v>
      </c>
      <c r="I129" s="91">
        <v>1790000</v>
      </c>
      <c r="J129" s="91"/>
      <c r="K129" s="91"/>
      <c r="L129" s="91"/>
      <c r="M129" s="91"/>
      <c r="N129" s="91"/>
    </row>
    <row r="130" spans="2:14">
      <c r="B130" s="84" t="s">
        <v>436</v>
      </c>
      <c r="C130" s="66">
        <v>24724290000</v>
      </c>
      <c r="D130" s="66">
        <v>25365070000</v>
      </c>
      <c r="E130" s="66">
        <v>23241600000</v>
      </c>
      <c r="F130" s="66">
        <v>13747040000</v>
      </c>
      <c r="G130" s="66">
        <v>30813440000</v>
      </c>
      <c r="H130" s="66">
        <v>35635150000</v>
      </c>
      <c r="I130" s="66">
        <v>42870370000</v>
      </c>
      <c r="J130" s="66">
        <f t="shared" ref="J130:N130" si="48">+J128-J129</f>
        <v>0</v>
      </c>
      <c r="K130" s="66">
        <f t="shared" si="48"/>
        <v>0</v>
      </c>
      <c r="L130" s="66">
        <f t="shared" si="48"/>
        <v>0</v>
      </c>
      <c r="M130" s="66">
        <f t="shared" si="48"/>
        <v>0</v>
      </c>
      <c r="N130" s="66">
        <f t="shared" si="48"/>
        <v>0</v>
      </c>
    </row>
    <row r="131" spans="2:14">
      <c r="B131" s="84" t="s">
        <v>366</v>
      </c>
      <c r="C131" s="134">
        <v>54.95</v>
      </c>
      <c r="D131" s="134">
        <v>56.38</v>
      </c>
      <c r="E131" s="134">
        <v>51.66</v>
      </c>
      <c r="F131" s="134">
        <v>30.56</v>
      </c>
      <c r="G131" s="134">
        <v>68.489999999999995</v>
      </c>
      <c r="H131" s="134">
        <v>79.209999999999994</v>
      </c>
      <c r="I131" s="134">
        <v>77.959999999999994</v>
      </c>
      <c r="J131" s="134"/>
      <c r="K131" s="134"/>
      <c r="L131" s="134"/>
      <c r="M131" s="134"/>
      <c r="N131" s="134"/>
    </row>
    <row r="133" spans="2:14" ht="14.65" thickBot="1">
      <c r="B133" s="75" t="s">
        <v>367</v>
      </c>
    </row>
    <row r="134" spans="2:14" ht="14.65" thickBot="1">
      <c r="B134" s="82" t="s">
        <v>308</v>
      </c>
      <c r="C134" s="88">
        <v>2017</v>
      </c>
      <c r="D134" s="88">
        <v>2018</v>
      </c>
      <c r="E134" s="88">
        <v>2019</v>
      </c>
      <c r="F134" s="88">
        <v>2020</v>
      </c>
      <c r="G134" s="88">
        <v>2021</v>
      </c>
      <c r="H134" s="88">
        <v>2022</v>
      </c>
      <c r="I134" s="88">
        <v>2023</v>
      </c>
      <c r="J134" s="88">
        <v>2024</v>
      </c>
      <c r="K134" s="88">
        <v>2025</v>
      </c>
      <c r="L134" s="88">
        <v>2026</v>
      </c>
      <c r="M134" s="88">
        <v>2027</v>
      </c>
      <c r="N134" s="88">
        <v>2028</v>
      </c>
    </row>
    <row r="135" spans="2:14">
      <c r="B135" s="83" t="s">
        <v>368</v>
      </c>
      <c r="C135" s="90">
        <v>62451090000</v>
      </c>
      <c r="D135" s="90">
        <v>17850890000</v>
      </c>
      <c r="E135" s="90">
        <v>66899890000</v>
      </c>
      <c r="F135" s="90">
        <v>52735590000</v>
      </c>
      <c r="G135" s="90">
        <v>109558120000</v>
      </c>
      <c r="H135" s="90">
        <v>72168730000</v>
      </c>
      <c r="I135" s="90">
        <v>76817320000</v>
      </c>
      <c r="J135" s="90"/>
      <c r="K135" s="90"/>
      <c r="L135" s="90"/>
      <c r="M135" s="90"/>
      <c r="N135" s="90"/>
    </row>
    <row r="136" spans="2:14">
      <c r="B136" s="86" t="s">
        <v>369</v>
      </c>
      <c r="C136" s="66">
        <v>-44850090000</v>
      </c>
      <c r="D136" s="66">
        <v>-46095420000</v>
      </c>
      <c r="E136" s="66">
        <v>-27895470000</v>
      </c>
      <c r="F136" s="66">
        <v>-33767420000</v>
      </c>
      <c r="G136" s="66">
        <v>-63766600000</v>
      </c>
      <c r="H136" s="66">
        <v>-32340090000</v>
      </c>
      <c r="I136" s="66">
        <v>-47734460000</v>
      </c>
      <c r="J136" s="66"/>
      <c r="K136" s="66"/>
      <c r="L136" s="66"/>
      <c r="M136" s="66"/>
      <c r="N136" s="66"/>
    </row>
    <row r="137" spans="2:14">
      <c r="B137" s="85" t="s">
        <v>370</v>
      </c>
      <c r="C137" s="93">
        <v>-16231590000</v>
      </c>
      <c r="D137" s="93">
        <v>-10902650000</v>
      </c>
      <c r="E137" s="93">
        <v>-11662590000</v>
      </c>
      <c r="F137" s="93">
        <v>-8165840000</v>
      </c>
      <c r="G137" s="93">
        <v>-16069420000</v>
      </c>
      <c r="H137" s="93">
        <v>-11404400000</v>
      </c>
      <c r="I137" s="93">
        <v>-8458120000.000001</v>
      </c>
      <c r="J137" s="93"/>
      <c r="K137" s="93"/>
      <c r="L137" s="93"/>
      <c r="M137" s="93"/>
      <c r="N137" s="93"/>
    </row>
    <row r="138" spans="2:14">
      <c r="B138" s="86" t="s">
        <v>372</v>
      </c>
      <c r="C138" s="120">
        <v>-6095380000</v>
      </c>
      <c r="D138" s="120">
        <v>53357970000</v>
      </c>
      <c r="E138" s="120">
        <v>-45799120000</v>
      </c>
      <c r="F138" s="120">
        <v>-18655230000</v>
      </c>
      <c r="G138" s="120">
        <v>-21820410000</v>
      </c>
      <c r="H138" s="120">
        <v>-47678300000</v>
      </c>
      <c r="I138" s="120">
        <v>-39021540000</v>
      </c>
      <c r="J138" s="120"/>
      <c r="K138" s="120"/>
      <c r="L138" s="120"/>
      <c r="M138" s="120"/>
      <c r="N138" s="120"/>
    </row>
    <row r="139" spans="2:14">
      <c r="B139" s="85" t="s">
        <v>373</v>
      </c>
      <c r="C139" s="93">
        <v>-7548250000</v>
      </c>
      <c r="D139" s="93">
        <v>-7418860000</v>
      </c>
      <c r="E139" s="93">
        <v>-7612320000</v>
      </c>
      <c r="F139" s="93">
        <v>-6973460000</v>
      </c>
      <c r="G139" s="93">
        <v>-4125590000</v>
      </c>
      <c r="H139" s="93">
        <v>-9245460000</v>
      </c>
      <c r="I139" s="93">
        <v>-10695570000</v>
      </c>
      <c r="J139" s="93"/>
      <c r="K139" s="93"/>
      <c r="L139" s="93"/>
      <c r="M139" s="93"/>
      <c r="N139" s="93"/>
    </row>
    <row r="140" spans="2:14">
      <c r="B140" s="85" t="s">
        <v>437</v>
      </c>
      <c r="C140" s="93">
        <v>-15420370000</v>
      </c>
      <c r="D140" s="93">
        <v>-14193370000</v>
      </c>
      <c r="E140" s="93">
        <v>-14108850000</v>
      </c>
      <c r="F140" s="93">
        <v>-13108790000</v>
      </c>
      <c r="G140" s="93">
        <v>-13251290000</v>
      </c>
      <c r="H140" s="93">
        <v>-15981860000</v>
      </c>
      <c r="I140" s="93">
        <v>-37229740000</v>
      </c>
      <c r="J140" s="93"/>
      <c r="K140" s="93"/>
      <c r="L140" s="93"/>
      <c r="M140" s="93"/>
      <c r="N140" s="93"/>
    </row>
    <row r="141" spans="2:14">
      <c r="B141" s="86" t="s">
        <v>375</v>
      </c>
      <c r="C141" s="64"/>
      <c r="D141" s="64"/>
      <c r="E141" s="64"/>
      <c r="F141" s="64"/>
      <c r="G141" s="64"/>
      <c r="H141" s="64"/>
      <c r="I141" s="64"/>
      <c r="J141" s="64"/>
      <c r="K141" s="64"/>
      <c r="L141" s="64"/>
      <c r="M141" s="64"/>
      <c r="N141" s="64"/>
    </row>
    <row r="142" spans="2:14">
      <c r="B142" s="85"/>
      <c r="C142" s="66"/>
      <c r="D142" s="66"/>
      <c r="E142" s="66"/>
      <c r="F142" s="66"/>
      <c r="G142" s="66"/>
      <c r="H142" s="66"/>
      <c r="I142" s="66"/>
      <c r="J142" s="66"/>
      <c r="K142" s="66"/>
      <c r="L142" s="66"/>
      <c r="M142" s="66"/>
      <c r="N142" s="66"/>
    </row>
    <row r="143" spans="2:14">
      <c r="B143" s="84" t="s">
        <v>595</v>
      </c>
      <c r="C143" s="131">
        <v>30799130000</v>
      </c>
      <c r="D143" s="131">
        <v>-7245130000</v>
      </c>
      <c r="E143" s="131">
        <v>41128450000</v>
      </c>
      <c r="F143" s="131">
        <v>31460960000</v>
      </c>
      <c r="G143" s="131">
        <v>80237410000</v>
      </c>
      <c r="H143" s="131">
        <v>44782470000</v>
      </c>
      <c r="I143" s="131">
        <v>31129460000</v>
      </c>
      <c r="J143" s="131">
        <f t="shared" ref="J143:N143" si="49">+J135+J137+J140</f>
        <v>0</v>
      </c>
      <c r="K143" s="131">
        <f t="shared" si="49"/>
        <v>0</v>
      </c>
      <c r="L143" s="131">
        <f t="shared" si="49"/>
        <v>0</v>
      </c>
      <c r="M143" s="131">
        <f t="shared" si="49"/>
        <v>0</v>
      </c>
      <c r="N143" s="131">
        <f t="shared" si="49"/>
        <v>0</v>
      </c>
    </row>
    <row r="144" spans="2:14">
      <c r="B144" s="219" t="s">
        <v>596</v>
      </c>
      <c r="C144" s="131">
        <v>46219490000</v>
      </c>
      <c r="D144" s="131">
        <v>6948230000</v>
      </c>
      <c r="E144" s="131">
        <v>55237300000</v>
      </c>
      <c r="F144" s="131">
        <v>44569750000</v>
      </c>
      <c r="G144" s="131">
        <v>93488700000</v>
      </c>
      <c r="H144" s="131">
        <v>60764340000</v>
      </c>
      <c r="I144" s="131">
        <v>68359200000</v>
      </c>
    </row>
  </sheetData>
  <conditionalFormatting sqref="C144:I144">
    <cfRule type="cellIs" dxfId="39" priority="1" operator="lessThan">
      <formula>0</formula>
    </cfRule>
  </conditionalFormatting>
  <conditionalFormatting sqref="C60:N100 C102:N109">
    <cfRule type="cellIs" dxfId="38" priority="4" operator="lessThan">
      <formula>0</formula>
    </cfRule>
  </conditionalFormatting>
  <conditionalFormatting sqref="C113:N131">
    <cfRule type="cellIs" dxfId="37" priority="3" operator="lessThan">
      <formula>0</formula>
    </cfRule>
  </conditionalFormatting>
  <conditionalFormatting sqref="C135:N143">
    <cfRule type="cellIs" dxfId="36" priority="2" operator="lessThan">
      <formula>0</formula>
    </cfRule>
  </conditionalFormatting>
  <pageMargins left="0.7" right="0.7" top="0.75" bottom="0.75" header="0.3" footer="0.3"/>
  <pageSetup paperSize="9" orientation="portrait" r:id="rId1"/>
  <legacy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F5161-3D0A-4D78-AA50-5008804B5288}">
  <dimension ref="B1:O46"/>
  <sheetViews>
    <sheetView workbookViewId="0">
      <pane xSplit="2" ySplit="6" topLeftCell="H7" activePane="bottomRight" state="frozen"/>
      <selection pane="bottomRight" activeCell="J27" sqref="J27"/>
      <selection pane="bottomLeft" activeCell="A7" sqref="A7"/>
      <selection pane="topRight" activeCell="C1" sqref="C1"/>
    </sheetView>
  </sheetViews>
  <sheetFormatPr defaultColWidth="11.42578125" defaultRowHeight="23.25"/>
  <cols>
    <col min="1" max="1" width="11.42578125" style="281"/>
    <col min="2" max="2" width="33.42578125" style="281" bestFit="1" customWidth="1"/>
    <col min="3" max="6" width="28" style="281" bestFit="1" customWidth="1"/>
    <col min="7" max="9" width="32" style="281" bestFit="1" customWidth="1"/>
    <col min="10" max="10" width="31.42578125" style="281" customWidth="1"/>
    <col min="11" max="11" width="29.28515625" style="281" bestFit="1" customWidth="1"/>
    <col min="12" max="13" width="28" style="281" bestFit="1" customWidth="1"/>
    <col min="14" max="16384" width="11.42578125" style="281"/>
  </cols>
  <sheetData>
    <row r="1" spans="2:15" customFormat="1" ht="14.25"/>
    <row r="2" spans="2:15" customFormat="1" ht="21">
      <c r="B2" s="313">
        <f ca="1">TODAY()-1</f>
        <v>46105</v>
      </c>
      <c r="C2" s="786"/>
      <c r="D2" s="314"/>
      <c r="E2" s="344" t="s">
        <v>265</v>
      </c>
      <c r="F2" s="345" t="s">
        <v>266</v>
      </c>
    </row>
    <row r="3" spans="2:15" customFormat="1" ht="25.5">
      <c r="B3" s="376" cm="1">
        <f t="array" aca="1" ref="B3" ca="1">_FV(B6,"Precio")</f>
        <v>74.8</v>
      </c>
      <c r="C3" s="787"/>
      <c r="D3" s="316"/>
      <c r="E3" s="346">
        <f>AVERAGE(H18:J18)</f>
        <v>2.2952999999999997</v>
      </c>
      <c r="F3" s="346">
        <f>AVERAGE(H19:J19)</f>
        <v>2.2952999999999997</v>
      </c>
    </row>
    <row r="4" spans="2:15" customFormat="1" ht="11.25" customHeight="1">
      <c r="B4" s="319"/>
      <c r="C4" s="788"/>
      <c r="D4" s="320"/>
      <c r="E4" s="328"/>
      <c r="F4" s="328"/>
    </row>
    <row r="5" spans="2:15">
      <c r="B5"/>
      <c r="C5"/>
      <c r="D5"/>
      <c r="E5"/>
      <c r="F5"/>
      <c r="G5"/>
      <c r="H5"/>
      <c r="I5"/>
      <c r="J5"/>
      <c r="K5"/>
      <c r="L5"/>
      <c r="M5"/>
      <c r="N5"/>
      <c r="O5"/>
    </row>
    <row r="6" spans="2:15">
      <c r="B6" s="280" t="e" vm="53">
        <v>#VALUE!</v>
      </c>
      <c r="C6" s="280">
        <v>2017</v>
      </c>
      <c r="D6" s="280">
        <v>2018</v>
      </c>
      <c r="E6" s="280">
        <v>2019</v>
      </c>
      <c r="F6" s="280">
        <v>2020</v>
      </c>
      <c r="G6" s="280">
        <v>2021</v>
      </c>
      <c r="H6" s="280">
        <v>2022</v>
      </c>
      <c r="I6" s="280">
        <v>2023</v>
      </c>
      <c r="J6" s="280">
        <v>2024</v>
      </c>
      <c r="K6" s="280">
        <v>2025</v>
      </c>
      <c r="L6" s="280">
        <v>2026</v>
      </c>
      <c r="M6" s="280">
        <v>2027</v>
      </c>
      <c r="N6" s="280">
        <v>2028</v>
      </c>
      <c r="O6"/>
    </row>
    <row r="7" spans="2:15">
      <c r="B7" s="282" t="s">
        <v>272</v>
      </c>
      <c r="C7" s="282">
        <v>35804279</v>
      </c>
      <c r="D7" s="1246">
        <v>39197356</v>
      </c>
      <c r="E7" s="1249">
        <v>50578246</v>
      </c>
      <c r="F7" s="1249">
        <v>55776077</v>
      </c>
      <c r="G7" s="1249">
        <v>63635077</v>
      </c>
      <c r="H7" s="1249">
        <v>68164604</v>
      </c>
      <c r="I7" s="1249">
        <v>70857888</v>
      </c>
      <c r="J7" s="1261">
        <v>68458933</v>
      </c>
      <c r="K7" s="1261">
        <v>68094956</v>
      </c>
      <c r="L7" s="283"/>
      <c r="M7" s="283"/>
      <c r="N7" s="283"/>
      <c r="O7"/>
    </row>
    <row r="8" spans="2:15">
      <c r="B8" s="284" t="s">
        <v>566</v>
      </c>
      <c r="C8" s="284">
        <v>32696216</v>
      </c>
      <c r="D8" s="1247">
        <v>35911647</v>
      </c>
      <c r="E8" s="1250">
        <v>47107929</v>
      </c>
      <c r="F8" s="1250">
        <v>52123478</v>
      </c>
      <c r="G8" s="1250">
        <v>59905800</v>
      </c>
      <c r="H8" s="1250">
        <v>63926232</v>
      </c>
      <c r="I8" s="1250">
        <v>66365995</v>
      </c>
      <c r="J8" s="1262">
        <v>64062099</v>
      </c>
      <c r="K8" s="1262">
        <v>63255316</v>
      </c>
      <c r="L8" s="285"/>
      <c r="M8" s="285"/>
      <c r="N8" s="285"/>
      <c r="O8"/>
    </row>
    <row r="9" spans="2:15">
      <c r="B9" s="286" t="s">
        <v>276</v>
      </c>
      <c r="C9" s="286">
        <v>3108063</v>
      </c>
      <c r="D9" s="1248">
        <v>3285709</v>
      </c>
      <c r="E9" s="1251">
        <v>3470317</v>
      </c>
      <c r="F9" s="1251">
        <v>3652599</v>
      </c>
      <c r="G9" s="1251">
        <v>3729277</v>
      </c>
      <c r="H9" s="1251">
        <v>4238372</v>
      </c>
      <c r="I9" s="1359">
        <v>4491893</v>
      </c>
      <c r="J9" s="1363">
        <v>4396834</v>
      </c>
      <c r="K9" s="1363">
        <v>4839640</v>
      </c>
      <c r="L9" s="1364"/>
      <c r="M9" s="1364"/>
      <c r="N9" s="287"/>
      <c r="O9"/>
    </row>
    <row r="10" spans="2:15">
      <c r="B10" s="288" t="s">
        <v>567</v>
      </c>
      <c r="C10" s="1245">
        <v>188446126794</v>
      </c>
      <c r="D10" s="1245">
        <v>188446126794</v>
      </c>
      <c r="E10" s="1245">
        <v>188446126794</v>
      </c>
      <c r="F10" s="1245">
        <v>188446126794</v>
      </c>
      <c r="G10" s="1245">
        <v>188446126794</v>
      </c>
      <c r="H10" s="1245">
        <v>188446126794</v>
      </c>
      <c r="I10" s="1362">
        <v>188446126794</v>
      </c>
      <c r="J10" s="1358">
        <v>188446126794</v>
      </c>
      <c r="K10" s="1358">
        <v>188446126794</v>
      </c>
      <c r="L10" s="1361"/>
      <c r="M10" s="1361"/>
      <c r="N10" s="289"/>
      <c r="O10"/>
    </row>
    <row r="11" spans="2:15" customFormat="1">
      <c r="B11" s="553" t="s">
        <v>282</v>
      </c>
      <c r="C11" s="1252">
        <v>51.29</v>
      </c>
      <c r="D11" s="1253">
        <v>51.88</v>
      </c>
      <c r="E11" s="1254">
        <v>45.28</v>
      </c>
      <c r="F11" s="1254">
        <v>34.1</v>
      </c>
      <c r="G11" s="1254">
        <v>34.25</v>
      </c>
      <c r="H11" s="1254">
        <v>33.46</v>
      </c>
      <c r="I11" s="1360">
        <v>43.38</v>
      </c>
      <c r="J11" s="1365">
        <v>47.3</v>
      </c>
      <c r="K11" s="1365">
        <v>71.099999999999994</v>
      </c>
      <c r="L11" s="1366"/>
      <c r="M11" s="1366"/>
      <c r="N11" s="554"/>
    </row>
    <row r="12" spans="2:15">
      <c r="B12" s="290"/>
      <c r="C12" s="290"/>
      <c r="D12" s="290"/>
      <c r="E12" s="290"/>
      <c r="F12" s="290"/>
      <c r="G12" s="290"/>
      <c r="H12" s="290"/>
      <c r="O12"/>
    </row>
    <row r="13" spans="2:15">
      <c r="B13" s="291" t="s">
        <v>569</v>
      </c>
      <c r="C13" s="1255">
        <v>1523464</v>
      </c>
      <c r="D13" s="1237">
        <v>1524776</v>
      </c>
      <c r="E13" s="1238">
        <v>1515107</v>
      </c>
      <c r="F13" s="1238">
        <v>1513290</v>
      </c>
      <c r="G13" s="1238">
        <v>2267693</v>
      </c>
      <c r="H13" s="1238">
        <v>2850175</v>
      </c>
      <c r="I13" s="1238">
        <v>3872573</v>
      </c>
      <c r="J13" s="1263">
        <v>3620583</v>
      </c>
      <c r="K13" s="1263">
        <v>3406154</v>
      </c>
      <c r="L13" s="292"/>
      <c r="M13" s="292"/>
      <c r="N13" s="292"/>
      <c r="O13"/>
    </row>
    <row r="14" spans="2:15">
      <c r="B14" s="293" t="s">
        <v>570</v>
      </c>
      <c r="C14" s="1256">
        <v>716913</v>
      </c>
      <c r="D14" s="1239">
        <v>757064</v>
      </c>
      <c r="E14" s="1240">
        <v>701499</v>
      </c>
      <c r="F14" s="1240">
        <v>652298</v>
      </c>
      <c r="G14" s="1240">
        <v>913287</v>
      </c>
      <c r="H14" s="1240">
        <v>913287</v>
      </c>
      <c r="I14" s="1240">
        <v>567155</v>
      </c>
      <c r="J14" s="1264">
        <v>1074320</v>
      </c>
      <c r="K14" s="1264">
        <v>1277546</v>
      </c>
      <c r="L14" s="294"/>
      <c r="M14" s="294"/>
      <c r="N14" s="294"/>
      <c r="O14"/>
    </row>
    <row r="15" spans="2:15">
      <c r="B15" s="295" t="s">
        <v>295</v>
      </c>
      <c r="C15" s="1257">
        <v>564815</v>
      </c>
      <c r="D15" s="1241">
        <v>591902</v>
      </c>
      <c r="E15" s="1242">
        <v>554176</v>
      </c>
      <c r="F15" s="1242">
        <v>522563</v>
      </c>
      <c r="G15" s="1242">
        <v>778933</v>
      </c>
      <c r="H15" s="1242">
        <v>823857</v>
      </c>
      <c r="I15" s="1242">
        <v>510814</v>
      </c>
      <c r="J15" s="1265">
        <v>864509</v>
      </c>
      <c r="K15" s="1265">
        <v>1069612</v>
      </c>
      <c r="L15" s="296"/>
      <c r="M15" s="296"/>
      <c r="N15" s="296"/>
      <c r="O15"/>
    </row>
    <row r="16" spans="2:15">
      <c r="B16" s="295" t="s">
        <v>572</v>
      </c>
      <c r="C16" s="1257">
        <v>2.9969999999999999</v>
      </c>
      <c r="D16" s="1241">
        <v>3.14</v>
      </c>
      <c r="E16" s="1242">
        <v>2.93</v>
      </c>
      <c r="F16" s="1242">
        <v>2.75</v>
      </c>
      <c r="G16" s="1242">
        <v>4.13</v>
      </c>
      <c r="H16" s="1242">
        <v>4.29</v>
      </c>
      <c r="I16" s="1242">
        <v>2.63</v>
      </c>
      <c r="J16" s="1265">
        <v>4.55</v>
      </c>
      <c r="K16" s="1265">
        <v>5.59</v>
      </c>
      <c r="L16" s="297"/>
      <c r="M16" s="297"/>
      <c r="N16" s="297"/>
      <c r="O16"/>
    </row>
    <row r="17" spans="2:15">
      <c r="B17" s="298" t="s">
        <v>573</v>
      </c>
      <c r="C17" s="1258">
        <v>1.7545489999999999</v>
      </c>
      <c r="D17" s="1243">
        <v>2.25</v>
      </c>
      <c r="E17" s="1244">
        <v>1.88</v>
      </c>
      <c r="F17" s="1244">
        <v>1.76</v>
      </c>
      <c r="G17" s="1244">
        <v>1.65</v>
      </c>
      <c r="H17" s="1244">
        <v>2.4700000000000002</v>
      </c>
      <c r="I17" s="1244">
        <v>2.57</v>
      </c>
      <c r="J17" s="300">
        <v>1.84</v>
      </c>
      <c r="K17" s="300">
        <v>3.19</v>
      </c>
      <c r="L17" s="299"/>
      <c r="M17" s="299"/>
      <c r="N17" s="299"/>
      <c r="O17"/>
    </row>
    <row r="18" spans="2:15" ht="25.5">
      <c r="B18" s="51" t="s">
        <v>111</v>
      </c>
      <c r="C18" s="51">
        <f>SUM(C20:C23)</f>
        <v>1.75</v>
      </c>
      <c r="D18" s="51">
        <f>SUM(D20:D23)</f>
        <v>2.2479</v>
      </c>
      <c r="E18" s="51">
        <f t="shared" ref="E18:J18" si="0">SUM(E20:E23)</f>
        <v>1.8845000000000001</v>
      </c>
      <c r="F18" s="51">
        <f t="shared" si="0"/>
        <v>1.7578</v>
      </c>
      <c r="G18" s="51">
        <f t="shared" si="0"/>
        <v>1.6475</v>
      </c>
      <c r="H18" s="51">
        <f t="shared" si="0"/>
        <v>2.4674</v>
      </c>
      <c r="I18" s="508">
        <f t="shared" si="0"/>
        <v>2.5746000000000002</v>
      </c>
      <c r="J18" s="508">
        <f t="shared" si="0"/>
        <v>1.8439000000000001</v>
      </c>
      <c r="K18" s="508">
        <f t="shared" ref="K18" si="1">SUM(K20:K23)</f>
        <v>3.1857150000000001</v>
      </c>
      <c r="L18" s="51"/>
      <c r="M18" s="51"/>
      <c r="N18" s="51"/>
      <c r="O18"/>
    </row>
    <row r="19" spans="2:15" customFormat="1" ht="25.5">
      <c r="B19" s="51" t="s">
        <v>112</v>
      </c>
      <c r="C19" s="51">
        <f>SUM(C20:C22)</f>
        <v>1.75</v>
      </c>
      <c r="D19" s="51">
        <f>SUM(D20:D22)</f>
        <v>2.2479</v>
      </c>
      <c r="E19" s="51">
        <f t="shared" ref="E19:J19" si="2">SUM(E20:E22)</f>
        <v>1.8845000000000001</v>
      </c>
      <c r="F19" s="51">
        <f t="shared" si="2"/>
        <v>0.87890000000000001</v>
      </c>
      <c r="G19" s="51">
        <f t="shared" si="2"/>
        <v>1.6475</v>
      </c>
      <c r="H19" s="51">
        <f t="shared" si="2"/>
        <v>2.4674</v>
      </c>
      <c r="I19" s="508">
        <f t="shared" si="2"/>
        <v>2.5746000000000002</v>
      </c>
      <c r="J19" s="508">
        <f t="shared" si="2"/>
        <v>1.8439000000000001</v>
      </c>
      <c r="K19" s="508">
        <f t="shared" ref="K19" si="3">SUM(K20:K22)</f>
        <v>3.1857150000000001</v>
      </c>
      <c r="L19" s="51"/>
      <c r="M19" s="51"/>
      <c r="N19" s="51"/>
    </row>
    <row r="20" spans="2:15">
      <c r="B20" s="135" t="s">
        <v>114</v>
      </c>
      <c r="C20" s="135">
        <v>1.75</v>
      </c>
      <c r="D20" s="1259">
        <v>2.2479</v>
      </c>
      <c r="E20" s="1259">
        <v>1.8845000000000001</v>
      </c>
      <c r="F20" s="1259">
        <v>0.87890000000000001</v>
      </c>
      <c r="G20" s="1259">
        <v>1.6475</v>
      </c>
      <c r="H20" s="1259">
        <v>2.4674</v>
      </c>
      <c r="I20" s="1259">
        <v>2.5746000000000002</v>
      </c>
      <c r="J20" s="1260">
        <v>1.8439000000000001</v>
      </c>
      <c r="K20" s="1260">
        <v>3.1857150000000001</v>
      </c>
      <c r="L20" s="299"/>
      <c r="M20" s="299"/>
      <c r="N20" s="299"/>
      <c r="O20"/>
    </row>
    <row r="21" spans="2:15">
      <c r="B21" s="135" t="s">
        <v>115</v>
      </c>
      <c r="C21" s="135"/>
      <c r="D21" s="1259"/>
      <c r="E21" s="1259"/>
      <c r="F21" s="1259"/>
      <c r="G21" s="1259"/>
      <c r="H21" s="1259"/>
      <c r="I21" s="1259"/>
      <c r="J21" s="1259"/>
      <c r="K21" s="1259"/>
      <c r="L21" s="299"/>
      <c r="M21" s="299"/>
      <c r="N21" s="299"/>
      <c r="O21"/>
    </row>
    <row r="22" spans="2:15">
      <c r="B22" s="135" t="s">
        <v>116</v>
      </c>
      <c r="C22" s="135"/>
      <c r="D22" s="1259"/>
      <c r="E22" s="1259"/>
      <c r="F22" s="1259"/>
      <c r="G22" s="1259"/>
      <c r="H22" s="1259"/>
      <c r="I22" s="1259"/>
      <c r="J22" s="1259"/>
      <c r="K22" s="1259"/>
      <c r="L22" s="299"/>
      <c r="M22" s="299"/>
      <c r="N22" s="299"/>
      <c r="O22"/>
    </row>
    <row r="23" spans="2:15">
      <c r="B23" s="135" t="s">
        <v>117</v>
      </c>
      <c r="C23" s="135"/>
      <c r="D23" s="1259"/>
      <c r="E23" s="1259"/>
      <c r="F23" s="1259">
        <v>0.87890000000000001</v>
      </c>
      <c r="G23" s="1259"/>
      <c r="H23" s="1259"/>
      <c r="I23" s="1259"/>
      <c r="J23" s="1259"/>
      <c r="K23" s="1259"/>
      <c r="L23" s="299"/>
      <c r="M23" s="299"/>
      <c r="N23" s="299"/>
      <c r="O23"/>
    </row>
    <row r="24" spans="2:15" ht="26.25">
      <c r="B24" s="51" t="s">
        <v>119</v>
      </c>
      <c r="C24" s="51">
        <f>SUM(C26:C29)</f>
        <v>0</v>
      </c>
      <c r="D24" s="51">
        <f>SUM(D26:D29)</f>
        <v>1.8845000000000001</v>
      </c>
      <c r="E24" s="51">
        <f t="shared" ref="E24:J24" si="4">SUM(E26:E29)</f>
        <v>0.87890000000000001</v>
      </c>
      <c r="F24" s="51">
        <f t="shared" si="4"/>
        <v>2.5263999999999998</v>
      </c>
      <c r="G24" s="51">
        <f t="shared" si="4"/>
        <v>2.4674</v>
      </c>
      <c r="H24" s="51">
        <f t="shared" si="4"/>
        <v>2.5746000000000002</v>
      </c>
      <c r="I24" s="51">
        <f t="shared" si="4"/>
        <v>1.8439000000000001</v>
      </c>
      <c r="J24" s="1367">
        <f>SUM(J26:J29)</f>
        <v>3.1857150000000001</v>
      </c>
      <c r="K24" s="51">
        <f t="shared" ref="K24" si="5">SUM(K26:K29)</f>
        <v>0</v>
      </c>
      <c r="L24" s="299"/>
      <c r="M24" s="299"/>
      <c r="N24" s="299"/>
      <c r="O24"/>
    </row>
    <row r="25" spans="2:15" customFormat="1" ht="26.25">
      <c r="B25" s="51" t="s">
        <v>120</v>
      </c>
      <c r="C25" s="51">
        <f>SUM(C26:C28)</f>
        <v>0</v>
      </c>
      <c r="D25" s="51">
        <f>SUM(D26:D28)</f>
        <v>1.8845000000000001</v>
      </c>
      <c r="E25" s="51">
        <f t="shared" ref="E25:J25" si="6">SUM(E26:E28)</f>
        <v>0.87890000000000001</v>
      </c>
      <c r="F25" s="51">
        <f t="shared" si="6"/>
        <v>1.6475</v>
      </c>
      <c r="G25" s="51">
        <f t="shared" si="6"/>
        <v>2.4674</v>
      </c>
      <c r="H25" s="51">
        <f t="shared" si="6"/>
        <v>2.5746000000000002</v>
      </c>
      <c r="I25" s="51">
        <f t="shared" si="6"/>
        <v>1.8439000000000001</v>
      </c>
      <c r="J25" s="51">
        <f t="shared" si="6"/>
        <v>3.1857150000000001</v>
      </c>
      <c r="K25" s="51">
        <f t="shared" ref="K25" si="7">SUM(K26:K28)</f>
        <v>0</v>
      </c>
      <c r="L25" s="299"/>
      <c r="M25" s="299"/>
      <c r="N25" s="299"/>
    </row>
    <row r="26" spans="2:15" customFormat="1">
      <c r="B26" s="135" t="s">
        <v>121</v>
      </c>
      <c r="C26" s="299"/>
      <c r="D26" s="1259">
        <v>1.8845000000000001</v>
      </c>
      <c r="E26" s="1259">
        <v>0.87890000000000001</v>
      </c>
      <c r="F26" s="1259">
        <v>1.6475</v>
      </c>
      <c r="G26" s="1259">
        <v>2.4674</v>
      </c>
      <c r="H26" s="1259">
        <v>2.5746000000000002</v>
      </c>
      <c r="I26" s="1260">
        <v>1.8439000000000001</v>
      </c>
      <c r="J26" s="299">
        <v>3.1857150000000001</v>
      </c>
      <c r="K26" s="299"/>
      <c r="L26" s="299"/>
      <c r="M26" s="299"/>
      <c r="N26" s="299"/>
    </row>
    <row r="27" spans="2:15" customFormat="1">
      <c r="B27" s="135" t="s">
        <v>122</v>
      </c>
      <c r="C27" s="135"/>
      <c r="D27" s="299"/>
      <c r="E27" s="299"/>
      <c r="F27" s="299"/>
      <c r="G27" s="299"/>
      <c r="H27" s="299"/>
      <c r="I27" s="299"/>
      <c r="J27" s="299"/>
      <c r="K27" s="299"/>
      <c r="L27" s="299"/>
      <c r="M27" s="299"/>
      <c r="N27" s="299"/>
    </row>
    <row r="28" spans="2:15" customFormat="1">
      <c r="B28" s="135" t="s">
        <v>123</v>
      </c>
      <c r="C28" s="135"/>
      <c r="D28" s="299"/>
      <c r="E28" s="299"/>
      <c r="F28" s="299"/>
      <c r="G28" s="299"/>
      <c r="H28" s="299"/>
      <c r="I28" s="299"/>
      <c r="J28" s="299"/>
      <c r="K28" s="299"/>
      <c r="L28" s="299"/>
      <c r="M28" s="299"/>
      <c r="N28" s="299"/>
    </row>
    <row r="29" spans="2:15">
      <c r="B29" s="135" t="s">
        <v>124</v>
      </c>
      <c r="C29" s="135"/>
      <c r="D29" s="299"/>
      <c r="E29" s="299"/>
      <c r="F29" s="1259">
        <v>0.87890000000000001</v>
      </c>
      <c r="G29" s="299"/>
      <c r="H29" s="299"/>
      <c r="I29" s="299"/>
      <c r="J29" s="299"/>
      <c r="K29" s="299"/>
      <c r="L29" s="299"/>
      <c r="M29" s="299"/>
      <c r="N29" s="299"/>
      <c r="O29"/>
    </row>
    <row r="30" spans="2:15">
      <c r="B30" s="298" t="s">
        <v>167</v>
      </c>
      <c r="C30" s="301">
        <f>C25/C16</f>
        <v>0</v>
      </c>
      <c r="D30" s="301">
        <f>D25/D16</f>
        <v>0.60015923566878981</v>
      </c>
      <c r="E30" s="301">
        <f t="shared" ref="E30:N30" si="8">E25/E16</f>
        <v>0.2999658703071672</v>
      </c>
      <c r="F30" s="301">
        <f t="shared" si="8"/>
        <v>0.59909090909090912</v>
      </c>
      <c r="G30" s="301">
        <f t="shared" si="8"/>
        <v>0.59743341404358352</v>
      </c>
      <c r="H30" s="301">
        <f t="shared" si="8"/>
        <v>0.6001398601398602</v>
      </c>
      <c r="I30" s="301">
        <f t="shared" si="8"/>
        <v>0.70110266159695822</v>
      </c>
      <c r="J30" s="301">
        <f t="shared" si="8"/>
        <v>0.70015714285714292</v>
      </c>
      <c r="K30" s="301">
        <f t="shared" ref="K30" si="9">K25/K16</f>
        <v>0</v>
      </c>
      <c r="L30" s="301" t="e">
        <f t="shared" si="8"/>
        <v>#DIV/0!</v>
      </c>
      <c r="M30" s="301" t="e">
        <f t="shared" si="8"/>
        <v>#DIV/0!</v>
      </c>
      <c r="N30" s="301" t="e">
        <f t="shared" si="8"/>
        <v>#DIV/0!</v>
      </c>
      <c r="O30"/>
    </row>
    <row r="31" spans="2:15" ht="28.5">
      <c r="B31" s="540" t="s">
        <v>303</v>
      </c>
      <c r="C31" s="540"/>
      <c r="D31" s="54">
        <f>AVERAGE(H30:J30)</f>
        <v>0.66713322153132049</v>
      </c>
      <c r="E31" s="54"/>
      <c r="F31" s="54"/>
      <c r="G31" s="54"/>
      <c r="H31" s="54"/>
      <c r="I31" s="700"/>
      <c r="J31" s="54"/>
      <c r="K31" s="54"/>
      <c r="L31" s="54"/>
      <c r="M31" s="54"/>
      <c r="N31" s="54"/>
      <c r="O31" s="54"/>
    </row>
    <row r="32" spans="2:15" ht="25.5">
      <c r="B32" s="543" t="s">
        <v>300</v>
      </c>
      <c r="C32" s="785">
        <f ca="1">B3</f>
        <v>74.8</v>
      </c>
      <c r="D32"/>
      <c r="E32" s="177"/>
      <c r="F32" s="177"/>
      <c r="G32" s="177"/>
      <c r="H32" s="177"/>
      <c r="I32" s="701"/>
      <c r="J32"/>
      <c r="K32"/>
      <c r="L32"/>
      <c r="M32"/>
      <c r="N32"/>
      <c r="O32"/>
    </row>
    <row r="33" spans="2:15">
      <c r="F33" s="302" t="s">
        <v>575</v>
      </c>
      <c r="I33"/>
      <c r="J33"/>
      <c r="K33"/>
      <c r="L33"/>
      <c r="M33"/>
      <c r="N33"/>
      <c r="O33"/>
    </row>
    <row r="34" spans="2:15">
      <c r="B34" s="303" t="s">
        <v>576</v>
      </c>
      <c r="C34" s="304">
        <f>C14/C13</f>
        <v>0.47058086046010933</v>
      </c>
      <c r="D34" s="304">
        <f>D14/D13</f>
        <v>0.4965083395856178</v>
      </c>
      <c r="E34" s="304">
        <f t="shared" ref="E34:N34" si="10">E14/E13</f>
        <v>0.46300294302646611</v>
      </c>
      <c r="F34" s="304">
        <f t="shared" si="10"/>
        <v>0.4310462634392615</v>
      </c>
      <c r="G34" s="304">
        <f t="shared" si="10"/>
        <v>0.40273837772573273</v>
      </c>
      <c r="H34" s="304">
        <f t="shared" si="10"/>
        <v>0.32043190330418309</v>
      </c>
      <c r="I34" s="304">
        <f t="shared" si="10"/>
        <v>0.14645430828547326</v>
      </c>
      <c r="J34" s="304">
        <f t="shared" si="10"/>
        <v>0.29672569307208257</v>
      </c>
      <c r="K34" s="304">
        <f t="shared" ref="K34" si="11">K14/K13</f>
        <v>0.37506994692547663</v>
      </c>
      <c r="L34" s="304" t="e">
        <f t="shared" si="10"/>
        <v>#DIV/0!</v>
      </c>
      <c r="M34" s="304" t="e">
        <f t="shared" si="10"/>
        <v>#DIV/0!</v>
      </c>
      <c r="N34" s="304" t="e">
        <f t="shared" si="10"/>
        <v>#DIV/0!</v>
      </c>
      <c r="O34"/>
    </row>
    <row r="35" spans="2:15">
      <c r="B35" s="303" t="s">
        <v>296</v>
      </c>
      <c r="C35" s="304">
        <f>C15/C13</f>
        <v>0.37074390993157696</v>
      </c>
      <c r="D35" s="304">
        <f>D15/D13</f>
        <v>0.38818947832337342</v>
      </c>
      <c r="E35" s="304">
        <f t="shared" ref="E35:N35" si="12">E15/E13</f>
        <v>0.3657669062317051</v>
      </c>
      <c r="F35" s="304">
        <f t="shared" si="12"/>
        <v>0.34531583503492391</v>
      </c>
      <c r="G35" s="304">
        <f t="shared" si="12"/>
        <v>0.34349138088797732</v>
      </c>
      <c r="H35" s="304">
        <f t="shared" si="12"/>
        <v>0.2890548825949284</v>
      </c>
      <c r="I35" s="304">
        <f t="shared" si="12"/>
        <v>0.1319055831871988</v>
      </c>
      <c r="J35" s="304">
        <f t="shared" si="12"/>
        <v>0.23877618604517559</v>
      </c>
      <c r="K35" s="304">
        <f t="shared" ref="K35" si="13">K15/K13</f>
        <v>0.31402338238376776</v>
      </c>
      <c r="L35" s="304" t="e">
        <f t="shared" si="12"/>
        <v>#DIV/0!</v>
      </c>
      <c r="M35" s="304" t="e">
        <f t="shared" si="12"/>
        <v>#DIV/0!</v>
      </c>
      <c r="N35" s="304" t="e">
        <f t="shared" si="12"/>
        <v>#DIV/0!</v>
      </c>
      <c r="O35"/>
    </row>
    <row r="36" spans="2:15">
      <c r="B36" s="303" t="s">
        <v>160</v>
      </c>
      <c r="C36" s="304">
        <f>C15/C9</f>
        <v>0.18172572434986034</v>
      </c>
      <c r="D36" s="304">
        <f>D15/D9</f>
        <v>0.18014437675399739</v>
      </c>
      <c r="E36" s="304">
        <f t="shared" ref="E36:N36" si="14">E15/E9</f>
        <v>0.15969031071224907</v>
      </c>
      <c r="F36" s="304">
        <f t="shared" si="14"/>
        <v>0.14306607432132573</v>
      </c>
      <c r="G36" s="304">
        <f t="shared" si="14"/>
        <v>0.20886970852527179</v>
      </c>
      <c r="H36" s="304">
        <f t="shared" si="14"/>
        <v>0.19438053101521055</v>
      </c>
      <c r="I36" s="304">
        <f t="shared" si="14"/>
        <v>0.11371909348686622</v>
      </c>
      <c r="J36" s="304">
        <f>J15/J9</f>
        <v>0.196620795781692</v>
      </c>
      <c r="K36" s="304">
        <f>K15/K9</f>
        <v>0.22101065368498482</v>
      </c>
      <c r="L36" s="304" t="e">
        <f t="shared" si="14"/>
        <v>#DIV/0!</v>
      </c>
      <c r="M36" s="304" t="e">
        <f t="shared" si="14"/>
        <v>#DIV/0!</v>
      </c>
      <c r="N36" s="304" t="e">
        <f t="shared" si="14"/>
        <v>#DIV/0!</v>
      </c>
      <c r="O36"/>
    </row>
    <row r="37" spans="2:15">
      <c r="B37" s="281" t="s">
        <v>382</v>
      </c>
      <c r="D37" s="305">
        <f>AVERAGE(G36:I36)</f>
        <v>0.17232311100911621</v>
      </c>
      <c r="O37"/>
    </row>
    <row r="38" spans="2:15">
      <c r="B38" s="281" t="s">
        <v>176</v>
      </c>
      <c r="D38" s="306"/>
      <c r="E38" s="306">
        <f>E36*(100%-E30)</f>
        <v>0.11178866767982733</v>
      </c>
      <c r="F38" s="306">
        <f>F36*(100%-F30)</f>
        <v>5.7356489796095131E-2</v>
      </c>
      <c r="G38" s="306">
        <f t="shared" ref="G38:N38" si="15">G36*(100%-G30)</f>
        <v>8.4083965470730479E-2</v>
      </c>
      <c r="H38" s="306">
        <f t="shared" si="15"/>
        <v>7.7725026317830334E-2</v>
      </c>
      <c r="I38" s="306">
        <f t="shared" si="15"/>
        <v>3.3990334368830998E-2</v>
      </c>
      <c r="J38" s="306">
        <f t="shared" si="15"/>
        <v>5.8955341180884753E-2</v>
      </c>
      <c r="K38" s="306">
        <f t="shared" ref="K38" si="16">K36*(100%-K30)</f>
        <v>0.22101065368498482</v>
      </c>
      <c r="L38" s="306" t="e">
        <f t="shared" si="15"/>
        <v>#DIV/0!</v>
      </c>
      <c r="M38" s="306" t="e">
        <f t="shared" si="15"/>
        <v>#DIV/0!</v>
      </c>
      <c r="N38" s="306" t="e">
        <f t="shared" si="15"/>
        <v>#DIV/0!</v>
      </c>
      <c r="O38"/>
    </row>
    <row r="39" spans="2:15" ht="25.5">
      <c r="B39" s="542" t="s">
        <v>306</v>
      </c>
      <c r="C39" s="542"/>
      <c r="D39" s="534">
        <f>AVERAGE(G38:I38)</f>
        <v>6.5266442052463944E-2</v>
      </c>
      <c r="E39" s="534"/>
      <c r="F39" s="534"/>
      <c r="G39" s="534"/>
      <c r="H39" s="534"/>
      <c r="I39" s="534"/>
      <c r="J39" s="534"/>
      <c r="K39" s="534"/>
      <c r="L39" s="534"/>
      <c r="M39" s="534"/>
      <c r="N39" s="534"/>
      <c r="O39" s="534"/>
    </row>
    <row r="40" spans="2:15" ht="25.5">
      <c r="B40" s="281" t="s">
        <v>299</v>
      </c>
      <c r="D40" s="534">
        <f>+D17/D11</f>
        <v>4.3369313801079411E-2</v>
      </c>
      <c r="E40" s="534">
        <f t="shared" ref="E40:N40" si="17">+E17/E11</f>
        <v>4.1519434628975262E-2</v>
      </c>
      <c r="F40" s="534">
        <f t="shared" si="17"/>
        <v>5.1612903225806452E-2</v>
      </c>
      <c r="G40" s="534">
        <f t="shared" si="17"/>
        <v>4.8175182481751823E-2</v>
      </c>
      <c r="H40" s="534">
        <f t="shared" si="17"/>
        <v>7.3819485953377173E-2</v>
      </c>
      <c r="I40" s="534">
        <f t="shared" si="17"/>
        <v>5.9243891194098654E-2</v>
      </c>
      <c r="J40" s="534">
        <f>+J17/J11</f>
        <v>3.8900634249471461E-2</v>
      </c>
      <c r="K40" s="534">
        <f>+K17/K11</f>
        <v>4.4866385372714493E-2</v>
      </c>
      <c r="L40" s="534" t="e">
        <f t="shared" si="17"/>
        <v>#DIV/0!</v>
      </c>
      <c r="M40" s="534" t="e">
        <f t="shared" si="17"/>
        <v>#DIV/0!</v>
      </c>
      <c r="N40" s="534" t="e">
        <f t="shared" si="17"/>
        <v>#DIV/0!</v>
      </c>
      <c r="O40"/>
    </row>
    <row r="41" spans="2:15" ht="25.5">
      <c r="B41" s="281" t="s">
        <v>579</v>
      </c>
      <c r="D41" s="534">
        <f>AVERAGE(G40:I40)</f>
        <v>6.0412853209742545E-2</v>
      </c>
      <c r="E41"/>
      <c r="F41"/>
      <c r="G41"/>
      <c r="H41"/>
      <c r="I41"/>
      <c r="J41"/>
      <c r="K41"/>
      <c r="L41"/>
      <c r="M41"/>
      <c r="N41"/>
      <c r="O41"/>
    </row>
    <row r="42" spans="2:15">
      <c r="B42"/>
      <c r="C42"/>
      <c r="D42"/>
      <c r="E42"/>
      <c r="F42"/>
      <c r="G42"/>
      <c r="H42"/>
      <c r="I42"/>
      <c r="J42"/>
      <c r="K42"/>
      <c r="L42"/>
      <c r="M42"/>
      <c r="N42"/>
      <c r="O42"/>
    </row>
    <row r="43" spans="2:15" ht="26.25">
      <c r="B43" s="32" t="s">
        <v>153</v>
      </c>
      <c r="C43" s="731">
        <f>C8/C7</f>
        <v>0.91319297338734284</v>
      </c>
      <c r="D43" s="731">
        <f>D8/D7</f>
        <v>0.91617523896254638</v>
      </c>
      <c r="E43" s="731">
        <f t="shared" ref="E43:J43" si="18">E8/E7</f>
        <v>0.93138716198264371</v>
      </c>
      <c r="F43" s="731">
        <f t="shared" si="18"/>
        <v>0.93451316054372202</v>
      </c>
      <c r="G43" s="731">
        <f t="shared" si="18"/>
        <v>0.9413958908229183</v>
      </c>
      <c r="H43" s="731">
        <f t="shared" si="18"/>
        <v>0.93782151217367893</v>
      </c>
      <c r="I43" s="731">
        <f t="shared" si="18"/>
        <v>0.93660701543912794</v>
      </c>
      <c r="J43" s="731">
        <f t="shared" si="18"/>
        <v>0.93577413775934837</v>
      </c>
      <c r="K43" s="731">
        <f t="shared" ref="K43" si="19">K8/K7</f>
        <v>0.92892806920970772</v>
      </c>
      <c r="L43"/>
      <c r="M43"/>
      <c r="N43"/>
      <c r="O43"/>
    </row>
    <row r="44" spans="2:15">
      <c r="B44"/>
      <c r="C44"/>
      <c r="D44"/>
      <c r="E44"/>
      <c r="F44"/>
      <c r="G44"/>
      <c r="H44"/>
      <c r="I44"/>
      <c r="J44"/>
      <c r="K44"/>
      <c r="L44"/>
      <c r="M44"/>
      <c r="N44"/>
      <c r="O44"/>
    </row>
    <row r="45" spans="2:15">
      <c r="B45"/>
      <c r="C45"/>
      <c r="D45"/>
      <c r="E45"/>
      <c r="F45"/>
      <c r="G45"/>
      <c r="H45"/>
      <c r="I45"/>
      <c r="J45"/>
      <c r="K45"/>
      <c r="L45"/>
      <c r="M45"/>
      <c r="N45"/>
      <c r="O45"/>
    </row>
    <row r="46" spans="2:15" ht="26.25">
      <c r="B46" s="18" t="s">
        <v>283</v>
      </c>
      <c r="C46" s="508">
        <f t="shared" ref="C46:I46" si="20">C11/C16</f>
        <v>17.113780447113779</v>
      </c>
      <c r="D46" s="508">
        <f t="shared" si="20"/>
        <v>16.522292993630572</v>
      </c>
      <c r="E46" s="508">
        <f t="shared" si="20"/>
        <v>15.453924914675767</v>
      </c>
      <c r="F46" s="508">
        <f t="shared" si="20"/>
        <v>12.4</v>
      </c>
      <c r="G46" s="508">
        <f t="shared" si="20"/>
        <v>8.2929782082324461</v>
      </c>
      <c r="H46" s="508">
        <f t="shared" si="20"/>
        <v>7.7995337995337994</v>
      </c>
      <c r="I46" s="508">
        <f t="shared" si="20"/>
        <v>16.49429657794677</v>
      </c>
      <c r="J46" s="508">
        <f>J11/J16</f>
        <v>10.395604395604396</v>
      </c>
      <c r="K46" s="508">
        <f>K11/K16</f>
        <v>12.719141323792487</v>
      </c>
      <c r="L46"/>
      <c r="M46"/>
      <c r="N46"/>
      <c r="O46"/>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48FB3-9872-44A7-AF32-181BB871E9F5}">
  <dimension ref="B2:N28"/>
  <sheetViews>
    <sheetView zoomScale="90" zoomScaleNormal="90" workbookViewId="0">
      <pane xSplit="2" ySplit="6" topLeftCell="D7" activePane="bottomRight" state="frozen"/>
      <selection pane="bottomRight" activeCell="M6" sqref="M6"/>
      <selection pane="bottomLeft" activeCell="A7" sqref="A7"/>
      <selection pane="topRight" activeCell="C1" sqref="C1"/>
    </sheetView>
  </sheetViews>
  <sheetFormatPr defaultColWidth="10.7109375" defaultRowHeight="14.25"/>
  <cols>
    <col min="1" max="1" width="3.7109375" customWidth="1"/>
    <col min="2" max="2" width="33.42578125" bestFit="1" customWidth="1"/>
    <col min="3" max="3" width="28" bestFit="1" customWidth="1"/>
    <col min="4" max="4" width="36.7109375" bestFit="1" customWidth="1"/>
    <col min="5" max="13" width="28" bestFit="1" customWidth="1"/>
  </cols>
  <sheetData>
    <row r="2" spans="2:13" ht="21">
      <c r="B2" s="313">
        <f ca="1">TODAY()-1</f>
        <v>46105</v>
      </c>
      <c r="C2" s="314"/>
      <c r="D2" s="344" t="s">
        <v>265</v>
      </c>
      <c r="E2" s="345" t="s">
        <v>266</v>
      </c>
    </row>
    <row r="3" spans="2:13" ht="25.5">
      <c r="B3" s="376" cm="1">
        <f t="array" aca="1" ref="B3" ca="1">_FV(B6,"Precio")</f>
        <v>334</v>
      </c>
      <c r="C3" s="316"/>
      <c r="D3" s="346">
        <f>AVERAGE(F17:H17)</f>
        <v>14.916666666666666</v>
      </c>
      <c r="E3" s="346">
        <f>AVERAGE(F17:H17)</f>
        <v>14.916666666666666</v>
      </c>
    </row>
    <row r="4" spans="2:13" ht="28.5">
      <c r="B4" s="319"/>
      <c r="C4" s="320"/>
      <c r="D4" s="328"/>
      <c r="E4" s="328"/>
    </row>
    <row r="6" spans="2:13" ht="23.25">
      <c r="B6" s="280" t="e" vm="54">
        <v>#VALUE!</v>
      </c>
      <c r="C6" s="280">
        <v>2018</v>
      </c>
      <c r="D6" s="280">
        <v>2019</v>
      </c>
      <c r="E6" s="280">
        <v>2020</v>
      </c>
      <c r="F6" s="280">
        <v>2021</v>
      </c>
      <c r="G6" s="280">
        <v>2022</v>
      </c>
      <c r="H6" s="280">
        <v>2023</v>
      </c>
      <c r="I6" s="280">
        <v>2024</v>
      </c>
      <c r="J6" s="280">
        <v>2025</v>
      </c>
      <c r="K6" s="280">
        <v>2026</v>
      </c>
      <c r="L6" s="280">
        <v>2027</v>
      </c>
      <c r="M6" s="280">
        <v>2028</v>
      </c>
    </row>
    <row r="7" spans="2:13" ht="23.25">
      <c r="B7" s="282" t="s">
        <v>272</v>
      </c>
      <c r="C7" s="283">
        <v>10542687729</v>
      </c>
      <c r="D7" s="283">
        <v>12121000866</v>
      </c>
      <c r="E7" s="283">
        <v>11921582118</v>
      </c>
      <c r="F7" s="283">
        <v>13691884563</v>
      </c>
      <c r="G7" s="283">
        <v>14766988639</v>
      </c>
      <c r="H7" s="283">
        <v>15771136070</v>
      </c>
      <c r="I7" s="283"/>
      <c r="J7" s="283"/>
      <c r="K7" s="283"/>
      <c r="L7" s="283"/>
      <c r="M7" s="283"/>
    </row>
    <row r="8" spans="2:13" ht="23.25">
      <c r="B8" s="284" t="s">
        <v>566</v>
      </c>
      <c r="C8" s="285">
        <v>9793647387</v>
      </c>
      <c r="D8" s="285">
        <v>11336850704</v>
      </c>
      <c r="E8" s="285">
        <v>11059837803</v>
      </c>
      <c r="F8" s="285">
        <v>12824805818</v>
      </c>
      <c r="G8" s="285">
        <v>13820168625</v>
      </c>
      <c r="H8" s="285">
        <v>14700382091</v>
      </c>
      <c r="I8" s="285"/>
      <c r="J8" s="285"/>
      <c r="K8" s="285"/>
      <c r="L8" s="285"/>
      <c r="M8" s="285"/>
    </row>
    <row r="9" spans="2:13" ht="23.25">
      <c r="B9" s="286" t="s">
        <v>276</v>
      </c>
      <c r="C9" s="287">
        <v>749040342</v>
      </c>
      <c r="D9" s="287">
        <v>784150162</v>
      </c>
      <c r="E9" s="287">
        <v>861744315</v>
      </c>
      <c r="F9" s="287">
        <v>867078745</v>
      </c>
      <c r="G9" s="287">
        <v>946830014</v>
      </c>
      <c r="H9" s="287">
        <v>1070753979</v>
      </c>
      <c r="I9" s="287"/>
      <c r="J9" s="287"/>
      <c r="K9" s="287"/>
      <c r="L9" s="287"/>
      <c r="M9" s="287"/>
    </row>
    <row r="10" spans="2:13" ht="23.25">
      <c r="B10" s="288" t="s">
        <v>567</v>
      </c>
      <c r="C10" s="490"/>
      <c r="D10" s="490">
        <v>3695000000</v>
      </c>
      <c r="E10" s="490">
        <v>4042290725</v>
      </c>
      <c r="F10" s="490">
        <v>4042335913</v>
      </c>
      <c r="G10" s="490">
        <v>4042335913</v>
      </c>
      <c r="H10" s="490">
        <v>4004469919</v>
      </c>
      <c r="I10" s="490"/>
      <c r="J10" s="490"/>
      <c r="K10" s="490"/>
      <c r="L10" s="490"/>
      <c r="M10" s="490"/>
    </row>
    <row r="11" spans="2:13" ht="23.25">
      <c r="B11" s="553" t="s">
        <v>568</v>
      </c>
      <c r="C11" s="554">
        <v>290.67</v>
      </c>
      <c r="D11" s="554">
        <v>194.99</v>
      </c>
      <c r="E11" s="554">
        <v>131.93</v>
      </c>
      <c r="F11" s="554">
        <v>119.7</v>
      </c>
      <c r="G11" s="554">
        <v>172.32</v>
      </c>
      <c r="H11" s="554">
        <v>258</v>
      </c>
      <c r="I11" s="554"/>
      <c r="J11" s="554"/>
      <c r="K11" s="554"/>
      <c r="L11" s="554"/>
      <c r="M11" s="554"/>
    </row>
    <row r="12" spans="2:13" ht="23.25">
      <c r="B12" s="290"/>
      <c r="C12" s="290"/>
      <c r="D12" s="290"/>
      <c r="E12" s="290"/>
      <c r="F12" s="290"/>
      <c r="G12" s="290"/>
      <c r="H12" s="281"/>
      <c r="I12" s="281"/>
      <c r="J12" s="281"/>
      <c r="K12" s="281"/>
      <c r="L12" s="281"/>
      <c r="M12" s="281"/>
    </row>
    <row r="13" spans="2:13" ht="23.25">
      <c r="B13" s="291" t="s">
        <v>569</v>
      </c>
      <c r="C13" s="292">
        <v>1042141420</v>
      </c>
      <c r="D13" s="292">
        <v>1156010469</v>
      </c>
      <c r="E13" s="292">
        <v>1090772598</v>
      </c>
      <c r="F13" s="292">
        <v>1389082968</v>
      </c>
      <c r="G13" s="292">
        <v>2596898738</v>
      </c>
      <c r="H13" s="292">
        <v>2534104670</v>
      </c>
      <c r="I13" s="292"/>
      <c r="J13" s="292"/>
      <c r="K13" s="292"/>
      <c r="L13" s="292"/>
      <c r="M13" s="292"/>
    </row>
    <row r="14" spans="2:13" ht="23.25">
      <c r="B14" s="293" t="s">
        <v>570</v>
      </c>
      <c r="C14" s="294">
        <v>132933636</v>
      </c>
      <c r="D14" s="294">
        <v>124442322</v>
      </c>
      <c r="E14" s="294">
        <v>99726862</v>
      </c>
      <c r="F14" s="294">
        <v>133643925</v>
      </c>
      <c r="G14" s="294">
        <v>231588333</v>
      </c>
      <c r="H14" s="294">
        <v>283851547</v>
      </c>
      <c r="I14" s="294"/>
      <c r="J14" s="294"/>
      <c r="K14" s="294"/>
      <c r="L14" s="294"/>
      <c r="M14" s="294"/>
    </row>
    <row r="15" spans="2:13" ht="23.25">
      <c r="B15" s="295" t="s">
        <v>571</v>
      </c>
      <c r="C15" s="296">
        <v>83158544</v>
      </c>
      <c r="D15" s="296">
        <v>83029037</v>
      </c>
      <c r="E15" s="296">
        <v>64297825</v>
      </c>
      <c r="F15" s="296">
        <v>90684038</v>
      </c>
      <c r="G15" s="296">
        <v>151333243</v>
      </c>
      <c r="H15" s="296">
        <v>196250276</v>
      </c>
      <c r="I15" s="296"/>
      <c r="J15" s="296"/>
      <c r="K15" s="296"/>
      <c r="L15" s="296"/>
      <c r="M15" s="296"/>
    </row>
    <row r="16" spans="2:13" ht="23.25">
      <c r="B16" s="295" t="s">
        <v>572</v>
      </c>
      <c r="C16" s="297">
        <v>21.8111</v>
      </c>
      <c r="D16" s="297">
        <v>21.963699999999999</v>
      </c>
      <c r="E16" s="297">
        <v>16.9514</v>
      </c>
      <c r="F16" s="297">
        <v>21.952500000000001</v>
      </c>
      <c r="G16" s="297">
        <v>36.094799999999999</v>
      </c>
      <c r="H16" s="297">
        <v>49.197699999999998</v>
      </c>
      <c r="I16" s="297"/>
      <c r="J16" s="297"/>
      <c r="K16" s="297"/>
      <c r="L16" s="297"/>
      <c r="M16" s="297"/>
    </row>
    <row r="17" spans="2:14" ht="23.25">
      <c r="B17" s="298" t="s">
        <v>573</v>
      </c>
      <c r="C17" s="299">
        <f>1.9+2.6+7.25</f>
        <v>11.75</v>
      </c>
      <c r="D17" s="299">
        <f>2.2+2.6+7.45</f>
        <v>12.25</v>
      </c>
      <c r="E17" s="299">
        <f>0.75+2.75+7.45</f>
        <v>10.95</v>
      </c>
      <c r="F17" s="299">
        <f>3+2.5+5.25</f>
        <v>10.75</v>
      </c>
      <c r="G17" s="299">
        <f>3.5+3+8.5</f>
        <v>15</v>
      </c>
      <c r="H17" s="299">
        <f>5.5+3+10.5</f>
        <v>19</v>
      </c>
      <c r="I17" s="300"/>
      <c r="J17" s="299"/>
      <c r="K17" s="299"/>
      <c r="L17" s="299"/>
      <c r="M17" s="299"/>
    </row>
    <row r="18" spans="2:14" ht="23.25">
      <c r="B18" s="298" t="s">
        <v>574</v>
      </c>
      <c r="C18" s="301">
        <f>C17/C16</f>
        <v>0.53871652507209633</v>
      </c>
      <c r="D18" s="301">
        <f>D17/C16</f>
        <v>0.56164063252197272</v>
      </c>
      <c r="E18" s="301">
        <f t="shared" ref="E18:M18" si="0">E17/D16</f>
        <v>0.4985498800293211</v>
      </c>
      <c r="F18" s="301">
        <f t="shared" si="0"/>
        <v>0.63416590960038699</v>
      </c>
      <c r="G18" s="301">
        <f t="shared" si="0"/>
        <v>0.68329347454731804</v>
      </c>
      <c r="H18" s="301">
        <f t="shared" si="0"/>
        <v>0.52639161319636074</v>
      </c>
      <c r="I18" s="301">
        <f>I17/H16</f>
        <v>0</v>
      </c>
      <c r="J18" s="301" t="e">
        <f t="shared" si="0"/>
        <v>#DIV/0!</v>
      </c>
      <c r="K18" s="301" t="e">
        <f t="shared" si="0"/>
        <v>#DIV/0!</v>
      </c>
      <c r="L18" s="301" t="e">
        <f t="shared" si="0"/>
        <v>#DIV/0!</v>
      </c>
      <c r="M18" s="301" t="e">
        <f t="shared" si="0"/>
        <v>#DIV/0!</v>
      </c>
    </row>
    <row r="19" spans="2:14" ht="28.5">
      <c r="B19" s="540" t="s">
        <v>303</v>
      </c>
      <c r="C19" s="54">
        <f>AVERAGE(F18:H18)</f>
        <v>0.61461699911468859</v>
      </c>
      <c r="D19" s="54"/>
      <c r="E19" s="54"/>
      <c r="F19" s="54"/>
      <c r="G19" s="54"/>
      <c r="H19" s="54"/>
      <c r="I19" s="54"/>
      <c r="J19" s="54"/>
      <c r="K19" s="54"/>
      <c r="L19" s="54"/>
      <c r="M19" s="54"/>
      <c r="N19" s="54"/>
    </row>
    <row r="20" spans="2:14" ht="23.25">
      <c r="B20" s="281"/>
      <c r="C20" s="281"/>
      <c r="D20" s="281"/>
      <c r="E20" s="302" t="s">
        <v>575</v>
      </c>
      <c r="F20" s="281"/>
      <c r="G20" s="281"/>
    </row>
    <row r="21" spans="2:14" ht="23.25">
      <c r="B21" s="303" t="s">
        <v>576</v>
      </c>
      <c r="C21" s="304">
        <f>C14/C13</f>
        <v>0.12755815424743411</v>
      </c>
      <c r="D21" s="304">
        <f t="shared" ref="D21:M21" si="1">D14/D13</f>
        <v>0.10764809258833798</v>
      </c>
      <c r="E21" s="304">
        <f t="shared" si="1"/>
        <v>9.1427729467035992E-2</v>
      </c>
      <c r="F21" s="304">
        <f t="shared" si="1"/>
        <v>9.6210181881662804E-2</v>
      </c>
      <c r="G21" s="304">
        <f t="shared" si="1"/>
        <v>8.9178807633584364E-2</v>
      </c>
      <c r="H21" s="304">
        <f t="shared" si="1"/>
        <v>0.1120125582657957</v>
      </c>
      <c r="I21" s="304" t="e">
        <f t="shared" si="1"/>
        <v>#DIV/0!</v>
      </c>
      <c r="J21" s="304" t="e">
        <f t="shared" si="1"/>
        <v>#DIV/0!</v>
      </c>
      <c r="K21" s="304" t="e">
        <f t="shared" si="1"/>
        <v>#DIV/0!</v>
      </c>
      <c r="L21" s="304" t="e">
        <f t="shared" si="1"/>
        <v>#DIV/0!</v>
      </c>
      <c r="M21" s="304" t="e">
        <f t="shared" si="1"/>
        <v>#DIV/0!</v>
      </c>
    </row>
    <row r="22" spans="2:14" ht="23.25">
      <c r="B22" s="303" t="s">
        <v>577</v>
      </c>
      <c r="C22" s="304">
        <f>C15/C13</f>
        <v>7.979583423524228E-2</v>
      </c>
      <c r="D22" s="304">
        <f t="shared" ref="D22:M22" si="2">D15/D13</f>
        <v>7.1823776018069954E-2</v>
      </c>
      <c r="E22" s="304">
        <f t="shared" si="2"/>
        <v>5.8947048282927253E-2</v>
      </c>
      <c r="F22" s="304">
        <f t="shared" si="2"/>
        <v>6.5283384858261392E-2</v>
      </c>
      <c r="G22" s="304">
        <f t="shared" si="2"/>
        <v>5.8274603004562747E-2</v>
      </c>
      <c r="H22" s="304">
        <f t="shared" si="2"/>
        <v>7.7443634559893698E-2</v>
      </c>
      <c r="I22" s="304" t="e">
        <f t="shared" si="2"/>
        <v>#DIV/0!</v>
      </c>
      <c r="J22" s="304" t="e">
        <f t="shared" si="2"/>
        <v>#DIV/0!</v>
      </c>
      <c r="K22" s="304" t="e">
        <f t="shared" si="2"/>
        <v>#DIV/0!</v>
      </c>
      <c r="L22" s="304" t="e">
        <f t="shared" si="2"/>
        <v>#DIV/0!</v>
      </c>
      <c r="M22" s="304" t="e">
        <f t="shared" si="2"/>
        <v>#DIV/0!</v>
      </c>
    </row>
    <row r="23" spans="2:14" ht="23.25">
      <c r="B23" s="303" t="s">
        <v>160</v>
      </c>
      <c r="C23" s="304">
        <f>C15/C9</f>
        <v>0.11102011378714233</v>
      </c>
      <c r="D23" s="304">
        <f t="shared" ref="D23:M23" si="3">D15/D9</f>
        <v>0.10588410361126725</v>
      </c>
      <c r="E23" s="304">
        <f t="shared" si="3"/>
        <v>7.4613576069834583E-2</v>
      </c>
      <c r="F23" s="304">
        <f t="shared" si="3"/>
        <v>0.1045857005755573</v>
      </c>
      <c r="G23" s="304">
        <f t="shared" si="3"/>
        <v>0.1598314805850673</v>
      </c>
      <c r="H23" s="304">
        <f t="shared" si="3"/>
        <v>0.18328232240918901</v>
      </c>
      <c r="I23" s="304" t="e">
        <f t="shared" si="3"/>
        <v>#DIV/0!</v>
      </c>
      <c r="J23" s="304" t="e">
        <f t="shared" si="3"/>
        <v>#DIV/0!</v>
      </c>
      <c r="K23" s="304" t="e">
        <f t="shared" si="3"/>
        <v>#DIV/0!</v>
      </c>
      <c r="L23" s="304" t="e">
        <f t="shared" si="3"/>
        <v>#DIV/0!</v>
      </c>
      <c r="M23" s="304" t="e">
        <f t="shared" si="3"/>
        <v>#DIV/0!</v>
      </c>
    </row>
    <row r="24" spans="2:14" s="281" customFormat="1" ht="23.25">
      <c r="B24" s="281" t="s">
        <v>382</v>
      </c>
      <c r="C24" s="305">
        <f>AVERAGE(F23:H23)</f>
        <v>0.14923316785660454</v>
      </c>
    </row>
    <row r="25" spans="2:14" ht="23.25">
      <c r="B25" s="281" t="s">
        <v>176</v>
      </c>
      <c r="C25" s="305"/>
      <c r="D25" s="306">
        <f>D23*(100%-D18)</f>
        <v>4.6415288685013018E-2</v>
      </c>
      <c r="E25" s="306">
        <f t="shared" ref="E25:M25" si="4">E23*(100%-E18)</f>
        <v>3.7414986671659926E-2</v>
      </c>
      <c r="F25" s="306">
        <f t="shared" si="4"/>
        <v>3.826101463886529E-2</v>
      </c>
      <c r="G25" s="306">
        <f t="shared" si="4"/>
        <v>5.0619672874054458E-2</v>
      </c>
      <c r="H25" s="306">
        <f t="shared" si="4"/>
        <v>8.6804045045840508E-2</v>
      </c>
      <c r="I25" s="306" t="e">
        <f t="shared" si="4"/>
        <v>#DIV/0!</v>
      </c>
      <c r="J25" s="306" t="e">
        <f t="shared" si="4"/>
        <v>#DIV/0!</v>
      </c>
      <c r="K25" s="306" t="e">
        <f t="shared" si="4"/>
        <v>#DIV/0!</v>
      </c>
      <c r="L25" s="306" t="e">
        <f t="shared" si="4"/>
        <v>#DIV/0!</v>
      </c>
      <c r="M25" s="306" t="e">
        <f t="shared" si="4"/>
        <v>#DIV/0!</v>
      </c>
    </row>
    <row r="26" spans="2:14" ht="25.5">
      <c r="B26" s="542" t="s">
        <v>306</v>
      </c>
      <c r="C26" s="534">
        <f>AVERAGE(F25:H25)</f>
        <v>5.8561577519586759E-2</v>
      </c>
      <c r="D26" s="534"/>
      <c r="E26" s="534"/>
      <c r="F26" s="534"/>
      <c r="G26" s="534"/>
      <c r="H26" s="534"/>
      <c r="I26" s="534"/>
      <c r="J26" s="535"/>
      <c r="K26" s="534"/>
      <c r="L26" s="534"/>
      <c r="M26" s="534"/>
      <c r="N26" s="534"/>
    </row>
    <row r="27" spans="2:14" ht="25.5">
      <c r="B27" s="281" t="s">
        <v>578</v>
      </c>
      <c r="C27" s="534">
        <f>+C17/C11</f>
        <v>4.0423848350362952E-2</v>
      </c>
      <c r="D27" s="534">
        <f t="shared" ref="D27:M27" si="5">+D17/D11</f>
        <v>6.2823734550489771E-2</v>
      </c>
      <c r="E27" s="534">
        <f t="shared" si="5"/>
        <v>8.2998559842340627E-2</v>
      </c>
      <c r="F27" s="534">
        <f t="shared" si="5"/>
        <v>8.9807852965747698E-2</v>
      </c>
      <c r="G27" s="534">
        <f t="shared" si="5"/>
        <v>8.7047353760445687E-2</v>
      </c>
      <c r="H27" s="534">
        <f t="shared" si="5"/>
        <v>7.3643410852713184E-2</v>
      </c>
      <c r="I27" s="534" t="e">
        <f t="shared" si="5"/>
        <v>#DIV/0!</v>
      </c>
      <c r="J27" s="534" t="e">
        <f t="shared" si="5"/>
        <v>#DIV/0!</v>
      </c>
      <c r="K27" s="534" t="e">
        <f t="shared" si="5"/>
        <v>#DIV/0!</v>
      </c>
      <c r="L27" s="534" t="e">
        <f t="shared" si="5"/>
        <v>#DIV/0!</v>
      </c>
      <c r="M27" s="534" t="e">
        <f t="shared" si="5"/>
        <v>#DIV/0!</v>
      </c>
    </row>
    <row r="28" spans="2:14" ht="25.5">
      <c r="B28" s="281" t="s">
        <v>579</v>
      </c>
      <c r="C28" s="534">
        <f>AVERAGE(F27:H27)</f>
        <v>8.3499539192968861E-2</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67DCF-F8D8-4BBB-ADD8-63A68DC5FCB9}">
  <dimension ref="B2:P142"/>
  <sheetViews>
    <sheetView zoomScale="70" zoomScaleNormal="70" workbookViewId="0">
      <pane xSplit="2" ySplit="6" topLeftCell="H45" activePane="bottomRight" state="frozen"/>
      <selection pane="bottomRight" activeCell="I53" sqref="I53"/>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4" width="33.28515625" customWidth="1"/>
    <col min="5" max="5" width="36.42578125" customWidth="1"/>
    <col min="6" max="6" width="33.28515625" customWidth="1"/>
    <col min="7" max="7" width="36.28515625" customWidth="1"/>
    <col min="8" max="8" width="35.7109375" customWidth="1"/>
    <col min="9" max="9" width="35.7109375" bestFit="1" customWidth="1"/>
    <col min="10" max="14" width="25.42578125" bestFit="1" customWidth="1"/>
  </cols>
  <sheetData>
    <row r="2" spans="2:14" ht="21">
      <c r="B2" s="313">
        <f ca="1">TODAY()-1</f>
        <v>46105</v>
      </c>
      <c r="C2" s="314"/>
      <c r="D2" s="344" t="s">
        <v>265</v>
      </c>
      <c r="E2" s="345" t="s">
        <v>266</v>
      </c>
    </row>
    <row r="3" spans="2:14" ht="25.5">
      <c r="B3" s="376" cm="1">
        <f t="array" aca="1" ref="B3" ca="1">_FV(B6,"Precio")</f>
        <v>290</v>
      </c>
      <c r="C3" s="316"/>
      <c r="D3" s="346">
        <f>AVERAGE(G45:I45)</f>
        <v>20.018000000000001</v>
      </c>
      <c r="E3" s="346">
        <f>AVERAGE(G44:I44)</f>
        <v>20.018000000000001</v>
      </c>
    </row>
    <row r="4" spans="2:14" ht="28.5">
      <c r="B4" s="319"/>
      <c r="C4" s="320"/>
      <c r="D4" s="328"/>
      <c r="E4" s="328"/>
    </row>
    <row r="6" spans="2:14" ht="33.4">
      <c r="B6" s="3" t="e" vm="55">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0</v>
      </c>
      <c r="D7" s="5">
        <f t="shared" ref="D7:I7" si="0">+D61</f>
        <v>413068556000</v>
      </c>
      <c r="E7" s="5">
        <f t="shared" si="0"/>
        <v>525737781000</v>
      </c>
      <c r="F7" s="5">
        <f t="shared" si="0"/>
        <v>490806580000</v>
      </c>
      <c r="G7" s="5">
        <f t="shared" si="0"/>
        <v>556047176000</v>
      </c>
      <c r="H7" s="5">
        <f t="shared" si="0"/>
        <v>593276552000</v>
      </c>
      <c r="I7" s="5">
        <f t="shared" si="0"/>
        <v>799915328000</v>
      </c>
      <c r="J7" s="5">
        <f t="shared" ref="J7:N7" si="1">+J61</f>
        <v>0</v>
      </c>
      <c r="K7" s="5">
        <f t="shared" si="1"/>
        <v>0</v>
      </c>
      <c r="L7" s="5">
        <f t="shared" si="1"/>
        <v>0</v>
      </c>
      <c r="M7" s="5">
        <f t="shared" si="1"/>
        <v>0</v>
      </c>
      <c r="N7" s="5">
        <f t="shared" si="1"/>
        <v>0</v>
      </c>
    </row>
    <row r="8" spans="2:14" ht="25.5">
      <c r="B8" s="146" t="s">
        <v>377</v>
      </c>
      <c r="C8" s="147">
        <f>+C65</f>
        <v>0</v>
      </c>
      <c r="D8" s="147">
        <f t="shared" ref="D8:I8" si="2">+D65</f>
        <v>240001400000</v>
      </c>
      <c r="E8" s="147">
        <f t="shared" si="2"/>
        <v>279004918000</v>
      </c>
      <c r="F8" s="147">
        <f t="shared" si="2"/>
        <v>203127052000</v>
      </c>
      <c r="G8" s="147">
        <f t="shared" si="2"/>
        <v>261354972000</v>
      </c>
      <c r="H8" s="147">
        <f t="shared" si="2"/>
        <v>307154771000</v>
      </c>
      <c r="I8" s="147">
        <f t="shared" si="2"/>
        <v>472209548000</v>
      </c>
      <c r="J8" s="147">
        <f t="shared" ref="J8:N8" si="3">+J65</f>
        <v>0</v>
      </c>
      <c r="K8" s="147">
        <f t="shared" si="3"/>
        <v>0</v>
      </c>
      <c r="L8" s="147">
        <f t="shared" si="3"/>
        <v>0</v>
      </c>
      <c r="M8" s="147">
        <f t="shared" si="3"/>
        <v>0</v>
      </c>
      <c r="N8" s="147">
        <f t="shared" si="3"/>
        <v>0</v>
      </c>
    </row>
    <row r="9" spans="2:14" ht="25.5">
      <c r="B9" s="146" t="s">
        <v>378</v>
      </c>
      <c r="C9" s="147">
        <f>+C67</f>
        <v>0</v>
      </c>
      <c r="D9" s="147">
        <f t="shared" ref="D9:I9" si="4">+D67</f>
        <v>5468461600</v>
      </c>
      <c r="E9" s="147">
        <f t="shared" si="4"/>
        <v>40619089000</v>
      </c>
      <c r="F9" s="147">
        <f t="shared" si="4"/>
        <v>35545834000</v>
      </c>
      <c r="G9" s="147">
        <f t="shared" si="4"/>
        <v>57299109000</v>
      </c>
      <c r="H9" s="147">
        <f t="shared" si="4"/>
        <v>74130184000</v>
      </c>
      <c r="I9" s="147">
        <f t="shared" si="4"/>
        <v>88282398000</v>
      </c>
      <c r="J9" s="147">
        <f t="shared" ref="J9:N9" si="5">+J67</f>
        <v>0</v>
      </c>
      <c r="K9" s="147">
        <f t="shared" si="5"/>
        <v>0</v>
      </c>
      <c r="L9" s="147">
        <f t="shared" si="5"/>
        <v>0</v>
      </c>
      <c r="M9" s="147">
        <f t="shared" si="5"/>
        <v>0</v>
      </c>
      <c r="N9" s="147">
        <f t="shared" si="5"/>
        <v>0</v>
      </c>
    </row>
    <row r="10" spans="2:14" ht="25.5">
      <c r="B10" s="4" t="s">
        <v>379</v>
      </c>
      <c r="C10" s="5">
        <f>+C70</f>
        <v>0</v>
      </c>
      <c r="D10" s="5">
        <f t="shared" ref="D10:I10" si="6">+D70</f>
        <v>484699162000</v>
      </c>
      <c r="E10" s="5">
        <f t="shared" si="6"/>
        <v>568835378000</v>
      </c>
      <c r="F10" s="5">
        <f t="shared" si="6"/>
        <v>475741976000</v>
      </c>
      <c r="G10" s="5">
        <f t="shared" si="6"/>
        <v>500909493000</v>
      </c>
      <c r="H10" s="5">
        <f t="shared" si="6"/>
        <v>531762340000</v>
      </c>
      <c r="I10" s="5">
        <f t="shared" si="6"/>
        <v>642533649000</v>
      </c>
      <c r="J10" s="5">
        <f t="shared" ref="J10:N10" si="7">+J70</f>
        <v>0</v>
      </c>
      <c r="K10" s="5">
        <f t="shared" si="7"/>
        <v>0</v>
      </c>
      <c r="L10" s="5">
        <f t="shared" si="7"/>
        <v>0</v>
      </c>
      <c r="M10" s="5">
        <f t="shared" si="7"/>
        <v>0</v>
      </c>
      <c r="N10" s="5">
        <f t="shared" si="7"/>
        <v>0</v>
      </c>
    </row>
    <row r="11" spans="2:14" ht="25.5">
      <c r="B11" s="8" t="s">
        <v>272</v>
      </c>
      <c r="C11" s="9">
        <f>+C10+C7</f>
        <v>0</v>
      </c>
      <c r="D11" s="9">
        <f t="shared" ref="D11:I11" si="8">+D10+D7</f>
        <v>897767718000</v>
      </c>
      <c r="E11" s="9">
        <f t="shared" si="8"/>
        <v>1094573159000</v>
      </c>
      <c r="F11" s="9">
        <f t="shared" si="8"/>
        <v>966548556000</v>
      </c>
      <c r="G11" s="9">
        <f t="shared" si="8"/>
        <v>1056956669000</v>
      </c>
      <c r="H11" s="9">
        <f t="shared" si="8"/>
        <v>1125038892000</v>
      </c>
      <c r="I11" s="9">
        <f t="shared" si="8"/>
        <v>1442448977000</v>
      </c>
      <c r="J11" s="9">
        <f t="shared" ref="J11:N11" si="9">+J10+J7</f>
        <v>0</v>
      </c>
      <c r="K11" s="9">
        <f t="shared" si="9"/>
        <v>0</v>
      </c>
      <c r="L11" s="9">
        <f t="shared" si="9"/>
        <v>0</v>
      </c>
      <c r="M11" s="9">
        <f t="shared" si="9"/>
        <v>0</v>
      </c>
      <c r="N11" s="9">
        <f t="shared" si="9"/>
        <v>0</v>
      </c>
    </row>
    <row r="12" spans="2:14" ht="25.5">
      <c r="B12" s="10" t="s">
        <v>273</v>
      </c>
      <c r="C12" s="11">
        <f>+C84</f>
        <v>0</v>
      </c>
      <c r="D12" s="11">
        <f t="shared" ref="D12:I12" si="10">+D84</f>
        <v>289200660000</v>
      </c>
      <c r="E12" s="11">
        <f t="shared" si="10"/>
        <v>274515891000</v>
      </c>
      <c r="F12" s="11">
        <f t="shared" si="10"/>
        <v>216561099000</v>
      </c>
      <c r="G12" s="11">
        <f t="shared" si="10"/>
        <v>287664603000</v>
      </c>
      <c r="H12" s="11">
        <f t="shared" si="10"/>
        <v>328840163000</v>
      </c>
      <c r="I12" s="11">
        <f t="shared" si="10"/>
        <v>533911514000</v>
      </c>
      <c r="J12" s="11">
        <f t="shared" ref="J12:N12" si="11">+J84</f>
        <v>0</v>
      </c>
      <c r="K12" s="11">
        <f t="shared" si="11"/>
        <v>0</v>
      </c>
      <c r="L12" s="11">
        <f t="shared" si="11"/>
        <v>0</v>
      </c>
      <c r="M12" s="11">
        <f t="shared" si="11"/>
        <v>0</v>
      </c>
      <c r="N12" s="11">
        <f t="shared" si="11"/>
        <v>0</v>
      </c>
    </row>
    <row r="13" spans="2:14" ht="25.5">
      <c r="B13" s="10" t="s">
        <v>274</v>
      </c>
      <c r="C13" s="11">
        <f>+C94</f>
        <v>0</v>
      </c>
      <c r="D13" s="11">
        <f t="shared" ref="D13:I13" si="12">+D94</f>
        <v>109740174000</v>
      </c>
      <c r="E13" s="11">
        <f t="shared" si="12"/>
        <v>285129386000</v>
      </c>
      <c r="F13" s="11">
        <f t="shared" si="12"/>
        <v>295444217000</v>
      </c>
      <c r="G13" s="11">
        <f t="shared" si="12"/>
        <v>267526659000</v>
      </c>
      <c r="H13" s="11">
        <f t="shared" si="12"/>
        <v>269816458000</v>
      </c>
      <c r="I13" s="11">
        <f t="shared" si="12"/>
        <v>316345690000</v>
      </c>
      <c r="J13" s="11">
        <f t="shared" ref="J13:N13" si="13">+J94</f>
        <v>0</v>
      </c>
      <c r="K13" s="11">
        <f t="shared" si="13"/>
        <v>0</v>
      </c>
      <c r="L13" s="11">
        <f t="shared" si="13"/>
        <v>0</v>
      </c>
      <c r="M13" s="11">
        <f t="shared" si="13"/>
        <v>0</v>
      </c>
      <c r="N13" s="11">
        <f t="shared" si="13"/>
        <v>0</v>
      </c>
    </row>
    <row r="14" spans="2:14" ht="25.5">
      <c r="B14" s="12" t="s">
        <v>275</v>
      </c>
      <c r="C14" s="13">
        <f>+C12+C13</f>
        <v>0</v>
      </c>
      <c r="D14" s="13">
        <f t="shared" ref="D14:I14" si="14">+D12+D13</f>
        <v>398940834000</v>
      </c>
      <c r="E14" s="13">
        <f t="shared" si="14"/>
        <v>559645277000</v>
      </c>
      <c r="F14" s="13">
        <f t="shared" si="14"/>
        <v>512005316000</v>
      </c>
      <c r="G14" s="13">
        <f t="shared" si="14"/>
        <v>555191262000</v>
      </c>
      <c r="H14" s="13">
        <f t="shared" si="14"/>
        <v>598656621000</v>
      </c>
      <c r="I14" s="13">
        <f t="shared" si="14"/>
        <v>850257204000</v>
      </c>
      <c r="J14" s="13">
        <f t="shared" ref="J14:N14" si="15">+J12+J13</f>
        <v>0</v>
      </c>
      <c r="K14" s="13">
        <f t="shared" si="15"/>
        <v>0</v>
      </c>
      <c r="L14" s="13">
        <f t="shared" si="15"/>
        <v>0</v>
      </c>
      <c r="M14" s="13">
        <f t="shared" si="15"/>
        <v>0</v>
      </c>
      <c r="N14" s="13">
        <f t="shared" si="15"/>
        <v>0</v>
      </c>
    </row>
    <row r="15" spans="2:14" ht="25.5">
      <c r="B15" s="14" t="s">
        <v>276</v>
      </c>
      <c r="C15" s="15">
        <f>+C107</f>
        <v>0</v>
      </c>
      <c r="D15" s="15">
        <f t="shared" ref="D15:I15" si="16">+D107</f>
        <v>494788216000</v>
      </c>
      <c r="E15" s="15">
        <f t="shared" si="16"/>
        <v>532155954000</v>
      </c>
      <c r="F15" s="15">
        <f t="shared" si="16"/>
        <v>451731275000</v>
      </c>
      <c r="G15" s="15">
        <f t="shared" si="16"/>
        <v>498574477000</v>
      </c>
      <c r="H15" s="15">
        <f t="shared" si="16"/>
        <v>519903994000</v>
      </c>
      <c r="I15" s="15">
        <f t="shared" si="16"/>
        <v>574932243000</v>
      </c>
      <c r="J15" s="15">
        <f t="shared" ref="J15:N15" si="17">+J107</f>
        <v>0</v>
      </c>
      <c r="K15" s="15">
        <f t="shared" si="17"/>
        <v>0</v>
      </c>
      <c r="L15" s="15">
        <f t="shared" si="17"/>
        <v>0</v>
      </c>
      <c r="M15" s="15">
        <f t="shared" si="17"/>
        <v>0</v>
      </c>
      <c r="N15" s="15">
        <f t="shared" si="17"/>
        <v>0</v>
      </c>
    </row>
    <row r="16" spans="2:14" ht="25.5">
      <c r="B16" s="79" t="s">
        <v>278</v>
      </c>
      <c r="C16" s="80">
        <v>871057175</v>
      </c>
      <c r="D16" s="80">
        <v>871057175</v>
      </c>
      <c r="E16" s="80">
        <v>871057175</v>
      </c>
      <c r="F16" s="80">
        <v>871057175</v>
      </c>
      <c r="G16" s="80">
        <v>871057175</v>
      </c>
      <c r="H16" s="80">
        <v>871057175</v>
      </c>
      <c r="I16" s="80">
        <v>871057175</v>
      </c>
      <c r="J16" s="80"/>
      <c r="K16" s="80"/>
      <c r="L16" s="80"/>
      <c r="M16" s="80"/>
      <c r="N16" s="80"/>
    </row>
    <row r="18" spans="2:14" ht="25.5">
      <c r="B18" s="18" t="s">
        <v>279</v>
      </c>
      <c r="C18" s="19">
        <f t="shared" ref="C18:I18" si="18">(C15/C16)</f>
        <v>0</v>
      </c>
      <c r="D18" s="19">
        <f t="shared" si="18"/>
        <v>568.03184704838691</v>
      </c>
      <c r="E18" s="19">
        <f t="shared" si="18"/>
        <v>610.93114123076941</v>
      </c>
      <c r="F18" s="19">
        <f t="shared" si="18"/>
        <v>518.60117563465337</v>
      </c>
      <c r="G18" s="19">
        <f t="shared" si="18"/>
        <v>572.37858926998683</v>
      </c>
      <c r="H18" s="19">
        <f t="shared" si="18"/>
        <v>596.86552033739918</v>
      </c>
      <c r="I18" s="19">
        <f t="shared" si="18"/>
        <v>660.03961565439147</v>
      </c>
      <c r="J18" s="19" t="e">
        <f t="shared" ref="J18:N18" si="19">(J15/J16)</f>
        <v>#DIV/0!</v>
      </c>
      <c r="K18" s="19" t="e">
        <f t="shared" si="19"/>
        <v>#DIV/0!</v>
      </c>
      <c r="L18" s="19" t="e">
        <f t="shared" si="19"/>
        <v>#DIV/0!</v>
      </c>
      <c r="M18" s="19" t="e">
        <f t="shared" si="19"/>
        <v>#DIV/0!</v>
      </c>
      <c r="N18" s="19" t="e">
        <f t="shared" si="19"/>
        <v>#DIV/0!</v>
      </c>
    </row>
    <row r="19" spans="2:14" ht="25.5">
      <c r="B19" s="76" t="s">
        <v>282</v>
      </c>
      <c r="C19" s="77">
        <v>1224.5999999999999</v>
      </c>
      <c r="D19" s="77">
        <v>1086.5999999999999</v>
      </c>
      <c r="E19" s="77">
        <v>648.29999999999995</v>
      </c>
      <c r="F19" s="77">
        <v>436.6</v>
      </c>
      <c r="G19" s="77">
        <v>250.24</v>
      </c>
      <c r="H19" s="101">
        <v>324.22000000000003</v>
      </c>
      <c r="I19" s="101">
        <v>383.8</v>
      </c>
      <c r="J19" s="101"/>
      <c r="K19" s="101"/>
      <c r="L19" s="101"/>
      <c r="M19" s="101"/>
      <c r="N19" s="101"/>
    </row>
    <row r="20" spans="2:14" ht="25.5">
      <c r="B20" s="18" t="s">
        <v>283</v>
      </c>
      <c r="C20" s="22" t="e">
        <f>+C19/C40</f>
        <v>#DIV/0!</v>
      </c>
      <c r="D20" s="22">
        <f t="shared" ref="D20:I20" si="20">+D19/D40</f>
        <v>88.557457212713928</v>
      </c>
      <c r="E20" s="22">
        <f t="shared" si="20"/>
        <v>24.436486995853748</v>
      </c>
      <c r="F20" s="22">
        <f t="shared" si="20"/>
        <v>823.77358490566041</v>
      </c>
      <c r="G20" s="22">
        <f t="shared" si="20"/>
        <v>6.251311516362728</v>
      </c>
      <c r="H20" s="22">
        <f t="shared" si="20"/>
        <v>7.9543670264965662</v>
      </c>
      <c r="I20" s="22">
        <f t="shared" si="20"/>
        <v>8.762557077625571</v>
      </c>
      <c r="J20" s="22" t="e">
        <f t="shared" ref="J20:N20" si="21">+J19/J40</f>
        <v>#DIV/0!</v>
      </c>
      <c r="K20" s="22" t="e">
        <f t="shared" si="21"/>
        <v>#DIV/0!</v>
      </c>
      <c r="L20" s="22" t="e">
        <f t="shared" si="21"/>
        <v>#DIV/0!</v>
      </c>
      <c r="M20" s="22" t="e">
        <f t="shared" si="21"/>
        <v>#DIV/0!</v>
      </c>
      <c r="N20" s="22" t="e">
        <f t="shared" si="21"/>
        <v>#DIV/0!</v>
      </c>
    </row>
    <row r="21" spans="2:14" ht="25.5">
      <c r="B21" s="18" t="s">
        <v>380</v>
      </c>
      <c r="C21" s="22" t="e">
        <f t="shared" ref="C21:I21" si="22">+C19/C18</f>
        <v>#DIV/0!</v>
      </c>
      <c r="D21" s="22">
        <f t="shared" si="22"/>
        <v>1.9129209139350238</v>
      </c>
      <c r="E21" s="22">
        <f t="shared" si="22"/>
        <v>1.0611670550856975</v>
      </c>
      <c r="F21" s="22">
        <f t="shared" si="22"/>
        <v>0.84188008148207139</v>
      </c>
      <c r="G21" s="22">
        <f t="shared" si="22"/>
        <v>0.43719315273332771</v>
      </c>
      <c r="H21" s="22">
        <f t="shared" si="22"/>
        <v>0.54320443877663316</v>
      </c>
      <c r="I21" s="22">
        <f t="shared" si="22"/>
        <v>0.58148024890821792</v>
      </c>
      <c r="J21" s="22" t="e">
        <f t="shared" ref="J21:N21" si="23">+J19/J18</f>
        <v>#DIV/0!</v>
      </c>
      <c r="K21" s="22" t="e">
        <f t="shared" si="23"/>
        <v>#DIV/0!</v>
      </c>
      <c r="L21" s="22" t="e">
        <f t="shared" si="23"/>
        <v>#DIV/0!</v>
      </c>
      <c r="M21" s="22" t="e">
        <f t="shared" si="23"/>
        <v>#DIV/0!</v>
      </c>
      <c r="N21" s="22" t="e">
        <f t="shared" si="23"/>
        <v>#DIV/0!</v>
      </c>
    </row>
    <row r="22" spans="2:14" ht="25.5">
      <c r="B22" s="18" t="s">
        <v>285</v>
      </c>
      <c r="C22" s="22" t="e">
        <f>+C20*C21</f>
        <v>#DIV/0!</v>
      </c>
      <c r="D22" s="22">
        <f t="shared" ref="D22:I22" si="24">+D20*D21</f>
        <v>169.40341198710649</v>
      </c>
      <c r="E22" s="22">
        <f t="shared" si="24"/>
        <v>25.931194942030064</v>
      </c>
      <c r="F22" s="22">
        <f t="shared" si="24"/>
        <v>693.51857278315549</v>
      </c>
      <c r="G22" s="22">
        <f t="shared" si="24"/>
        <v>2.7330305905567807</v>
      </c>
      <c r="H22" s="22">
        <f t="shared" si="24"/>
        <v>4.3208474764514238</v>
      </c>
      <c r="I22" s="22">
        <f t="shared" si="24"/>
        <v>5.0952538705701835</v>
      </c>
      <c r="J22" s="22" t="e">
        <f t="shared" ref="J22:N22" si="25">+J20*J21</f>
        <v>#DIV/0!</v>
      </c>
      <c r="K22" s="22" t="e">
        <f t="shared" si="25"/>
        <v>#DIV/0!</v>
      </c>
      <c r="L22" s="22" t="e">
        <f t="shared" si="25"/>
        <v>#DIV/0!</v>
      </c>
      <c r="M22" s="22" t="e">
        <f t="shared" si="25"/>
        <v>#DIV/0!</v>
      </c>
      <c r="N22" s="22" t="e">
        <f t="shared" si="25"/>
        <v>#DIV/0!</v>
      </c>
    </row>
    <row r="23" spans="2:14" ht="25.5">
      <c r="B23" s="23" t="s">
        <v>286</v>
      </c>
      <c r="C23" s="24" t="e">
        <f>IF(C41&lt;10%,0,IF(15%&lt;C41,2,1))</f>
        <v>#DIV/0!</v>
      </c>
      <c r="D23" s="24">
        <f>IF(D41&lt;10%,0,IF(15%&lt;D41,2,1))</f>
        <v>0</v>
      </c>
      <c r="E23" s="24">
        <f t="shared" ref="E23:I23" si="26">IF(E41&lt;10%,0,IF(15%&lt;E41,2,1))</f>
        <v>0</v>
      </c>
      <c r="F23" s="24">
        <f t="shared" si="26"/>
        <v>0</v>
      </c>
      <c r="G23" s="24">
        <f t="shared" si="26"/>
        <v>0</v>
      </c>
      <c r="H23" s="24">
        <f t="shared" si="26"/>
        <v>0</v>
      </c>
      <c r="I23" s="24">
        <f t="shared" si="26"/>
        <v>0</v>
      </c>
      <c r="J23" s="24" t="e">
        <f t="shared" ref="J23:N23" si="27">IF(J41&lt;10%,0,IF(15%&lt;J41,2,1))</f>
        <v>#DIV/0!</v>
      </c>
      <c r="K23" s="24" t="e">
        <f t="shared" si="27"/>
        <v>#DIV/0!</v>
      </c>
      <c r="L23" s="24" t="e">
        <f t="shared" si="27"/>
        <v>#DIV/0!</v>
      </c>
      <c r="M23" s="24" t="e">
        <f t="shared" si="27"/>
        <v>#DIV/0!</v>
      </c>
      <c r="N23" s="24" t="e">
        <f t="shared" si="27"/>
        <v>#DIV/0!</v>
      </c>
    </row>
    <row r="24" spans="2:14" ht="25.5">
      <c r="B24" s="23" t="s">
        <v>287</v>
      </c>
      <c r="C24" s="24" t="e">
        <f>IF(C41&lt;10%,1,IF(15%&lt;C41,2.5,2))</f>
        <v>#DIV/0!</v>
      </c>
      <c r="D24" s="24">
        <f t="shared" ref="D24:I24" si="28">IF(D41&lt;10%,1,IF(15%&lt;D41,2.5,2))</f>
        <v>1</v>
      </c>
      <c r="E24" s="24">
        <f t="shared" si="28"/>
        <v>1</v>
      </c>
      <c r="F24" s="24">
        <f t="shared" si="28"/>
        <v>1</v>
      </c>
      <c r="G24" s="24">
        <f t="shared" si="28"/>
        <v>1</v>
      </c>
      <c r="H24" s="24">
        <f t="shared" si="28"/>
        <v>1</v>
      </c>
      <c r="I24" s="24">
        <f t="shared" si="28"/>
        <v>1</v>
      </c>
      <c r="J24" s="24" t="e">
        <f t="shared" ref="J24:N24" si="29">IF(J41&lt;10%,1,IF(15%&lt;J41,2.5,2))</f>
        <v>#DIV/0!</v>
      </c>
      <c r="K24" s="24" t="e">
        <f t="shared" si="29"/>
        <v>#DIV/0!</v>
      </c>
      <c r="L24" s="24" t="e">
        <f t="shared" si="29"/>
        <v>#DIV/0!</v>
      </c>
      <c r="M24" s="24" t="e">
        <f t="shared" si="29"/>
        <v>#DIV/0!</v>
      </c>
      <c r="N24" s="24" t="e">
        <f t="shared" si="29"/>
        <v>#DIV/0!</v>
      </c>
    </row>
    <row r="25" spans="2:14" ht="25.5">
      <c r="B25" s="25" t="s">
        <v>288</v>
      </c>
      <c r="C25" s="26" t="e">
        <f t="shared" ref="C25:I25" si="30">+C23*C18</f>
        <v>#DIV/0!</v>
      </c>
      <c r="D25" s="26">
        <f t="shared" si="30"/>
        <v>0</v>
      </c>
      <c r="E25" s="26">
        <f t="shared" si="30"/>
        <v>0</v>
      </c>
      <c r="F25" s="26">
        <f t="shared" si="30"/>
        <v>0</v>
      </c>
      <c r="G25" s="26">
        <f t="shared" si="30"/>
        <v>0</v>
      </c>
      <c r="H25" s="26">
        <f t="shared" si="30"/>
        <v>0</v>
      </c>
      <c r="I25" s="26">
        <f t="shared" si="30"/>
        <v>0</v>
      </c>
      <c r="J25" s="26" t="e">
        <f t="shared" ref="J25:N25" si="31">+J23*J18</f>
        <v>#DIV/0!</v>
      </c>
      <c r="K25" s="26" t="e">
        <f t="shared" si="31"/>
        <v>#DIV/0!</v>
      </c>
      <c r="L25" s="26" t="e">
        <f t="shared" si="31"/>
        <v>#DIV/0!</v>
      </c>
      <c r="M25" s="26" t="e">
        <f t="shared" si="31"/>
        <v>#DIV/0!</v>
      </c>
      <c r="N25" s="26" t="e">
        <f t="shared" si="31"/>
        <v>#DIV/0!</v>
      </c>
    </row>
    <row r="26" spans="2:14" ht="25.5">
      <c r="B26" s="25" t="s">
        <v>289</v>
      </c>
      <c r="C26" s="26" t="e">
        <f>AVERAGE(C25,C27)</f>
        <v>#DIV/0!</v>
      </c>
      <c r="D26" s="26">
        <f t="shared" ref="D26:I26" si="32">AVERAGE(D25,D27)</f>
        <v>284.01592352419345</v>
      </c>
      <c r="E26" s="26">
        <f t="shared" si="32"/>
        <v>305.46557061538471</v>
      </c>
      <c r="F26" s="26">
        <f t="shared" si="32"/>
        <v>259.30058781732669</v>
      </c>
      <c r="G26" s="26">
        <f t="shared" si="32"/>
        <v>286.18929463499342</v>
      </c>
      <c r="H26" s="26">
        <f t="shared" si="32"/>
        <v>298.43276016869959</v>
      </c>
      <c r="I26" s="26">
        <f t="shared" si="32"/>
        <v>330.01980782719573</v>
      </c>
      <c r="J26" s="26" t="e">
        <f t="shared" ref="J26:N26" si="33">AVERAGE(J25,J27)</f>
        <v>#DIV/0!</v>
      </c>
      <c r="K26" s="26" t="e">
        <f t="shared" si="33"/>
        <v>#DIV/0!</v>
      </c>
      <c r="L26" s="26" t="e">
        <f t="shared" si="33"/>
        <v>#DIV/0!</v>
      </c>
      <c r="M26" s="26" t="e">
        <f t="shared" si="33"/>
        <v>#DIV/0!</v>
      </c>
      <c r="N26" s="26" t="e">
        <f t="shared" si="33"/>
        <v>#DIV/0!</v>
      </c>
    </row>
    <row r="27" spans="2:14" ht="25.5">
      <c r="B27" s="25" t="s">
        <v>290</v>
      </c>
      <c r="C27" s="26" t="e">
        <f t="shared" ref="C27:I27" si="34">+C18*C24</f>
        <v>#DIV/0!</v>
      </c>
      <c r="D27" s="26">
        <f t="shared" si="34"/>
        <v>568.03184704838691</v>
      </c>
      <c r="E27" s="26">
        <f t="shared" si="34"/>
        <v>610.93114123076941</v>
      </c>
      <c r="F27" s="26">
        <f t="shared" si="34"/>
        <v>518.60117563465337</v>
      </c>
      <c r="G27" s="26">
        <f t="shared" si="34"/>
        <v>572.37858926998683</v>
      </c>
      <c r="H27" s="26">
        <f t="shared" si="34"/>
        <v>596.86552033739918</v>
      </c>
      <c r="I27" s="26">
        <f t="shared" si="34"/>
        <v>660.03961565439147</v>
      </c>
      <c r="J27" s="26" t="e">
        <f t="shared" ref="J27:N27" si="35">+J18*J24</f>
        <v>#DIV/0!</v>
      </c>
      <c r="K27" s="26" t="e">
        <f t="shared" si="35"/>
        <v>#DIV/0!</v>
      </c>
      <c r="L27" s="26" t="e">
        <f t="shared" si="35"/>
        <v>#DIV/0!</v>
      </c>
      <c r="M27" s="26" t="e">
        <f t="shared" si="35"/>
        <v>#DIV/0!</v>
      </c>
      <c r="N27" s="26" t="e">
        <f t="shared" si="35"/>
        <v>#DIV/0!</v>
      </c>
    </row>
    <row r="29" spans="2:14" ht="25.5">
      <c r="B29" s="243" t="s">
        <v>291</v>
      </c>
      <c r="C29" s="81">
        <f t="shared" ref="C29:I29" si="36">C7-C12</f>
        <v>0</v>
      </c>
      <c r="D29" s="81">
        <f t="shared" si="36"/>
        <v>123867896000</v>
      </c>
      <c r="E29" s="81">
        <f t="shared" si="36"/>
        <v>251221890000</v>
      </c>
      <c r="F29" s="81">
        <f t="shared" si="36"/>
        <v>274245481000</v>
      </c>
      <c r="G29" s="81">
        <f t="shared" si="36"/>
        <v>268382573000</v>
      </c>
      <c r="H29" s="81">
        <f t="shared" si="36"/>
        <v>264436389000</v>
      </c>
      <c r="I29" s="81">
        <f t="shared" si="36"/>
        <v>266003814000</v>
      </c>
      <c r="J29" s="81">
        <f t="shared" ref="J29:N29" si="37">J7-J12</f>
        <v>0</v>
      </c>
      <c r="K29" s="81">
        <f t="shared" si="37"/>
        <v>0</v>
      </c>
      <c r="L29" s="81">
        <f t="shared" si="37"/>
        <v>0</v>
      </c>
      <c r="M29" s="81">
        <f t="shared" si="37"/>
        <v>0</v>
      </c>
      <c r="N29" s="81">
        <f t="shared" si="37"/>
        <v>0</v>
      </c>
    </row>
    <row r="30" spans="2:14" ht="25.5">
      <c r="B30" s="30" t="s">
        <v>149</v>
      </c>
      <c r="C30" s="241" t="e">
        <f t="shared" ref="C30:I30" si="38">C7/C12</f>
        <v>#DIV/0!</v>
      </c>
      <c r="D30" s="241">
        <f t="shared" si="38"/>
        <v>1.4283112493588361</v>
      </c>
      <c r="E30" s="241">
        <f t="shared" si="38"/>
        <v>1.9151451636728747</v>
      </c>
      <c r="F30" s="241">
        <f t="shared" si="38"/>
        <v>2.2663653918749276</v>
      </c>
      <c r="G30" s="241">
        <f t="shared" si="38"/>
        <v>1.9329704461414046</v>
      </c>
      <c r="H30" s="242">
        <f t="shared" si="38"/>
        <v>1.8041486982233372</v>
      </c>
      <c r="I30" s="242">
        <f t="shared" si="38"/>
        <v>1.4982170397621355</v>
      </c>
      <c r="J30" s="242" t="e">
        <f t="shared" ref="J30:N30" si="39">J7/J12</f>
        <v>#DIV/0!</v>
      </c>
      <c r="K30" s="242" t="e">
        <f t="shared" si="39"/>
        <v>#DIV/0!</v>
      </c>
      <c r="L30" s="242" t="e">
        <f t="shared" si="39"/>
        <v>#DIV/0!</v>
      </c>
      <c r="M30" s="242" t="e">
        <f t="shared" si="39"/>
        <v>#DIV/0!</v>
      </c>
      <c r="N30" s="242" t="e">
        <f t="shared" si="39"/>
        <v>#DIV/0!</v>
      </c>
    </row>
    <row r="31" spans="2:14" ht="25.5">
      <c r="B31" s="30" t="s">
        <v>292</v>
      </c>
      <c r="C31" s="241" t="e">
        <f t="shared" ref="C31:I31" si="40">+(C7-C9)/C12</f>
        <v>#DIV/0!</v>
      </c>
      <c r="D31" s="241">
        <f t="shared" si="40"/>
        <v>1.4094023658175607</v>
      </c>
      <c r="E31" s="241">
        <f t="shared" si="40"/>
        <v>1.7671789062295122</v>
      </c>
      <c r="F31" s="241">
        <f t="shared" si="40"/>
        <v>2.1022277228099955</v>
      </c>
      <c r="G31" s="241">
        <f t="shared" si="40"/>
        <v>1.7337832385307412</v>
      </c>
      <c r="H31" s="241">
        <f t="shared" si="40"/>
        <v>1.5787194704680887</v>
      </c>
      <c r="I31" s="241">
        <f t="shared" si="40"/>
        <v>1.3328667978492033</v>
      </c>
      <c r="J31" s="241" t="e">
        <f t="shared" ref="J31:N31" si="41">+(J7-J9)/J12</f>
        <v>#DIV/0!</v>
      </c>
      <c r="K31" s="241" t="e">
        <f t="shared" si="41"/>
        <v>#DIV/0!</v>
      </c>
      <c r="L31" s="241" t="e">
        <f t="shared" si="41"/>
        <v>#DIV/0!</v>
      </c>
      <c r="M31" s="241" t="e">
        <f t="shared" si="41"/>
        <v>#DIV/0!</v>
      </c>
      <c r="N31" s="241" t="e">
        <f t="shared" si="41"/>
        <v>#DIV/0!</v>
      </c>
    </row>
    <row r="32" spans="2:14" ht="25.5">
      <c r="B32" s="32" t="s">
        <v>153</v>
      </c>
      <c r="C32" s="33" t="e">
        <f t="shared" ref="C32:I32" si="42">C14/C11</f>
        <v>#DIV/0!</v>
      </c>
      <c r="D32" s="33">
        <f t="shared" si="42"/>
        <v>0.444369769597797</v>
      </c>
      <c r="E32" s="33">
        <f t="shared" si="42"/>
        <v>0.5112908830244759</v>
      </c>
      <c r="F32" s="33">
        <f t="shared" si="42"/>
        <v>0.52972539539958718</v>
      </c>
      <c r="G32" s="33">
        <f t="shared" si="42"/>
        <v>0.5252734367296944</v>
      </c>
      <c r="H32" s="33">
        <f t="shared" si="42"/>
        <v>0.53212082289507201</v>
      </c>
      <c r="I32" s="33">
        <f t="shared" si="42"/>
        <v>0.58945392007442909</v>
      </c>
      <c r="J32" s="33" t="e">
        <f t="shared" ref="J32:N32" si="43">J14/J11</f>
        <v>#DIV/0!</v>
      </c>
      <c r="K32" s="33" t="e">
        <f t="shared" si="43"/>
        <v>#DIV/0!</v>
      </c>
      <c r="L32" s="33" t="e">
        <f t="shared" si="43"/>
        <v>#DIV/0!</v>
      </c>
      <c r="M32" s="33" t="e">
        <f t="shared" si="43"/>
        <v>#DIV/0!</v>
      </c>
      <c r="N32" s="33" t="e">
        <f t="shared" si="43"/>
        <v>#DIV/0!</v>
      </c>
    </row>
    <row r="35" spans="2:14" ht="25.5">
      <c r="B35" s="35" t="s">
        <v>293</v>
      </c>
      <c r="C35" s="36">
        <f>+C112</f>
        <v>0</v>
      </c>
      <c r="D35" s="36">
        <f t="shared" ref="D35:I35" si="44">+D112</f>
        <v>800141897000</v>
      </c>
      <c r="E35" s="36">
        <f t="shared" si="44"/>
        <v>846550488000</v>
      </c>
      <c r="F35" s="36">
        <f t="shared" si="44"/>
        <v>780455815000</v>
      </c>
      <c r="G35" s="36">
        <f t="shared" si="44"/>
        <v>897198428000</v>
      </c>
      <c r="H35" s="36">
        <f t="shared" si="44"/>
        <v>1068112142000</v>
      </c>
      <c r="I35" s="36">
        <f t="shared" si="44"/>
        <v>1300157592000</v>
      </c>
      <c r="J35" s="36">
        <f t="shared" ref="J35:N35" si="45">+J112</f>
        <v>0</v>
      </c>
      <c r="K35" s="36">
        <f t="shared" si="45"/>
        <v>0</v>
      </c>
      <c r="L35" s="36">
        <f t="shared" si="45"/>
        <v>0</v>
      </c>
      <c r="M35" s="36">
        <f t="shared" si="45"/>
        <v>0</v>
      </c>
      <c r="N35" s="36">
        <f t="shared" si="45"/>
        <v>0</v>
      </c>
    </row>
    <row r="36" spans="2:14" ht="25.5">
      <c r="B36" s="39" t="s">
        <v>156</v>
      </c>
      <c r="C36" s="40">
        <f>+C119</f>
        <v>0</v>
      </c>
      <c r="D36" s="40">
        <f t="shared" ref="D36:I36" si="46">+D119</f>
        <v>47374121000</v>
      </c>
      <c r="E36" s="40">
        <f t="shared" si="46"/>
        <v>75914283000</v>
      </c>
      <c r="F36" s="40">
        <f t="shared" si="46"/>
        <v>20906522000</v>
      </c>
      <c r="G36" s="40">
        <f t="shared" si="46"/>
        <v>69254199000</v>
      </c>
      <c r="H36" s="40">
        <f t="shared" si="46"/>
        <v>67154283000</v>
      </c>
      <c r="I36" s="40">
        <f t="shared" si="46"/>
        <v>77045880000</v>
      </c>
      <c r="J36" s="40">
        <f t="shared" ref="J36:N36" si="47">+J119</f>
        <v>0</v>
      </c>
      <c r="K36" s="40">
        <f t="shared" si="47"/>
        <v>0</v>
      </c>
      <c r="L36" s="40">
        <f t="shared" si="47"/>
        <v>0</v>
      </c>
      <c r="M36" s="40">
        <f t="shared" si="47"/>
        <v>0</v>
      </c>
      <c r="N36" s="40">
        <f t="shared" si="47"/>
        <v>0</v>
      </c>
    </row>
    <row r="37" spans="2:14" ht="25.5">
      <c r="B37" s="35" t="s">
        <v>381</v>
      </c>
      <c r="C37" s="41" t="e">
        <f>C36/C35</f>
        <v>#DIV/0!</v>
      </c>
      <c r="D37" s="41">
        <f t="shared" ref="D37:I37" si="48">D36/D35</f>
        <v>5.9207149603865826E-2</v>
      </c>
      <c r="E37" s="41">
        <f t="shared" si="48"/>
        <v>8.9674844059625655E-2</v>
      </c>
      <c r="F37" s="41">
        <f t="shared" si="48"/>
        <v>2.6787579255848071E-2</v>
      </c>
      <c r="G37" s="41">
        <f t="shared" si="48"/>
        <v>7.7189389591752602E-2</v>
      </c>
      <c r="H37" s="41">
        <f t="shared" si="48"/>
        <v>6.28719404633451E-2</v>
      </c>
      <c r="I37" s="41">
        <f t="shared" si="48"/>
        <v>5.9258877903779532E-2</v>
      </c>
      <c r="J37" s="41" t="e">
        <f t="shared" ref="J37:N37" si="49">J36/J35</f>
        <v>#DIV/0!</v>
      </c>
      <c r="K37" s="41" t="e">
        <f t="shared" si="49"/>
        <v>#DIV/0!</v>
      </c>
      <c r="L37" s="41" t="e">
        <f t="shared" si="49"/>
        <v>#DIV/0!</v>
      </c>
      <c r="M37" s="41" t="e">
        <f t="shared" si="49"/>
        <v>#DIV/0!</v>
      </c>
      <c r="N37" s="41" t="e">
        <f t="shared" si="49"/>
        <v>#DIV/0!</v>
      </c>
    </row>
    <row r="38" spans="2:14" ht="25.5">
      <c r="B38" s="43" t="s">
        <v>295</v>
      </c>
      <c r="C38" s="44">
        <f>+C129</f>
        <v>0</v>
      </c>
      <c r="D38" s="44">
        <f t="shared" ref="D38:I38" si="50">+D129</f>
        <v>10685472000</v>
      </c>
      <c r="E38" s="44">
        <f t="shared" si="50"/>
        <v>23106793000</v>
      </c>
      <c r="F38" s="44">
        <f t="shared" si="50"/>
        <v>459599000</v>
      </c>
      <c r="G38" s="44">
        <f t="shared" si="50"/>
        <v>34864310000</v>
      </c>
      <c r="H38" s="44">
        <f t="shared" si="50"/>
        <v>35501640000</v>
      </c>
      <c r="I38" s="44">
        <f t="shared" si="50"/>
        <v>38150872000</v>
      </c>
      <c r="J38" s="44">
        <f t="shared" ref="J38:N38" si="51">+J129</f>
        <v>0</v>
      </c>
      <c r="K38" s="44">
        <f t="shared" si="51"/>
        <v>0</v>
      </c>
      <c r="L38" s="44">
        <f t="shared" si="51"/>
        <v>0</v>
      </c>
      <c r="M38" s="44">
        <f t="shared" si="51"/>
        <v>0</v>
      </c>
      <c r="N38" s="44">
        <f t="shared" si="51"/>
        <v>0</v>
      </c>
    </row>
    <row r="39" spans="2:14" ht="25.5">
      <c r="B39" s="30" t="s">
        <v>296</v>
      </c>
      <c r="C39" s="45" t="e">
        <f>C38/C35</f>
        <v>#DIV/0!</v>
      </c>
      <c r="D39" s="45">
        <f t="shared" ref="D39:I39" si="52">D38/D35</f>
        <v>1.33544713007323E-2</v>
      </c>
      <c r="E39" s="45">
        <f t="shared" si="52"/>
        <v>2.7295233217088405E-2</v>
      </c>
      <c r="F39" s="45">
        <f t="shared" si="52"/>
        <v>5.888853554124649E-4</v>
      </c>
      <c r="G39" s="45">
        <f t="shared" si="52"/>
        <v>3.8859085027286737E-2</v>
      </c>
      <c r="H39" s="45">
        <f t="shared" si="52"/>
        <v>3.3237745929490616E-2</v>
      </c>
      <c r="I39" s="45">
        <f t="shared" si="52"/>
        <v>2.9343267489069125E-2</v>
      </c>
      <c r="J39" s="45" t="e">
        <f t="shared" ref="J39:N39" si="53">J38/J35</f>
        <v>#DIV/0!</v>
      </c>
      <c r="K39" s="45" t="e">
        <f t="shared" si="53"/>
        <v>#DIV/0!</v>
      </c>
      <c r="L39" s="45" t="e">
        <f t="shared" si="53"/>
        <v>#DIV/0!</v>
      </c>
      <c r="M39" s="45" t="e">
        <f t="shared" si="53"/>
        <v>#DIV/0!</v>
      </c>
      <c r="N39" s="45" t="e">
        <f t="shared" si="53"/>
        <v>#DIV/0!</v>
      </c>
    </row>
    <row r="40" spans="2:14" ht="25.5">
      <c r="B40" s="46" t="s">
        <v>159</v>
      </c>
      <c r="C40" s="121">
        <f>+C130</f>
        <v>0</v>
      </c>
      <c r="D40" s="121">
        <f t="shared" ref="D40:I40" si="54">+D130</f>
        <v>12.27</v>
      </c>
      <c r="E40" s="121">
        <f t="shared" si="54"/>
        <v>26.53</v>
      </c>
      <c r="F40" s="121">
        <f t="shared" si="54"/>
        <v>0.53</v>
      </c>
      <c r="G40" s="121">
        <f t="shared" si="54"/>
        <v>40.03</v>
      </c>
      <c r="H40" s="121">
        <f t="shared" si="54"/>
        <v>40.76</v>
      </c>
      <c r="I40" s="121">
        <f t="shared" si="54"/>
        <v>43.8</v>
      </c>
      <c r="J40" s="121">
        <f t="shared" ref="J40:N40" si="55">+J130</f>
        <v>0</v>
      </c>
      <c r="K40" s="121">
        <f t="shared" si="55"/>
        <v>0</v>
      </c>
      <c r="L40" s="121">
        <f t="shared" si="55"/>
        <v>0</v>
      </c>
      <c r="M40" s="121">
        <f t="shared" si="55"/>
        <v>0</v>
      </c>
      <c r="N40" s="121">
        <f t="shared" si="55"/>
        <v>0</v>
      </c>
    </row>
    <row r="41" spans="2:14" ht="25.5">
      <c r="B41" s="48" t="s">
        <v>160</v>
      </c>
      <c r="C41" s="49" t="e">
        <f t="shared" ref="C41:I41" si="56">C38/C15</f>
        <v>#DIV/0!</v>
      </c>
      <c r="D41" s="49">
        <f t="shared" si="56"/>
        <v>2.1596051915674565E-2</v>
      </c>
      <c r="E41" s="49">
        <f t="shared" si="56"/>
        <v>4.3421092682165124E-2</v>
      </c>
      <c r="F41" s="49">
        <f t="shared" si="56"/>
        <v>1.0174168259658356E-3</v>
      </c>
      <c r="G41" s="49">
        <f t="shared" si="56"/>
        <v>6.992798791021948E-2</v>
      </c>
      <c r="H41" s="49">
        <f t="shared" si="56"/>
        <v>6.8284991863324679E-2</v>
      </c>
      <c r="I41" s="49">
        <f t="shared" si="56"/>
        <v>6.6357162021264474E-2</v>
      </c>
      <c r="J41" s="49" t="e">
        <f t="shared" ref="J41:N41" si="57">J38/J15</f>
        <v>#DIV/0!</v>
      </c>
      <c r="K41" s="49" t="e">
        <f t="shared" si="57"/>
        <v>#DIV/0!</v>
      </c>
      <c r="L41" s="49" t="e">
        <f t="shared" si="57"/>
        <v>#DIV/0!</v>
      </c>
      <c r="M41" s="49" t="e">
        <f t="shared" si="57"/>
        <v>#DIV/0!</v>
      </c>
      <c r="N41" s="49" t="e">
        <f t="shared" si="57"/>
        <v>#DIV/0!</v>
      </c>
    </row>
    <row r="42" spans="2:14" ht="25.5">
      <c r="B42" s="48" t="s">
        <v>382</v>
      </c>
      <c r="C42" s="49">
        <f>AVERAGE(G41:I41)</f>
        <v>6.8190047264936215E-2</v>
      </c>
      <c r="D42" s="49"/>
      <c r="E42" s="49"/>
      <c r="F42" s="49"/>
      <c r="G42" s="49"/>
      <c r="H42" s="49"/>
      <c r="I42" s="49"/>
      <c r="J42" s="49"/>
      <c r="K42" s="49"/>
      <c r="L42" s="49"/>
      <c r="M42" s="49"/>
      <c r="N42" s="49"/>
    </row>
    <row r="43" spans="2:14" ht="25.5">
      <c r="B43" s="48" t="s">
        <v>298</v>
      </c>
      <c r="C43" s="50">
        <f>+C142</f>
        <v>0</v>
      </c>
      <c r="D43" s="50">
        <f t="shared" ref="D43:I43" si="58">+D142</f>
        <v>5499436000</v>
      </c>
      <c r="E43" s="50">
        <f t="shared" si="58"/>
        <v>-22539289000</v>
      </c>
      <c r="F43" s="50">
        <f t="shared" si="58"/>
        <v>65492777000</v>
      </c>
      <c r="G43" s="50">
        <f t="shared" si="58"/>
        <v>45856037000</v>
      </c>
      <c r="H43" s="50">
        <f t="shared" si="58"/>
        <v>15738439000</v>
      </c>
      <c r="I43" s="50">
        <f t="shared" si="58"/>
        <v>-6198806000</v>
      </c>
      <c r="J43" s="50">
        <f t="shared" ref="J43:N43" si="59">+J142</f>
        <v>0</v>
      </c>
      <c r="K43" s="50">
        <f t="shared" si="59"/>
        <v>0</v>
      </c>
      <c r="L43" s="50">
        <f t="shared" si="59"/>
        <v>0</v>
      </c>
      <c r="M43" s="50">
        <f t="shared" si="59"/>
        <v>0</v>
      </c>
      <c r="N43" s="50">
        <f t="shared" si="59"/>
        <v>0</v>
      </c>
    </row>
    <row r="44" spans="2:14" ht="25.5">
      <c r="B44" s="51" t="s">
        <v>119</v>
      </c>
      <c r="C44" s="51">
        <f>SUM(C46:C49)</f>
        <v>8.706999999999999</v>
      </c>
      <c r="D44" s="51">
        <f t="shared" ref="D44:F44" si="60">SUM(D46:D49)</f>
        <v>31.317</v>
      </c>
      <c r="E44" s="51">
        <f t="shared" si="60"/>
        <v>12.295999999999999</v>
      </c>
      <c r="F44" s="51">
        <f t="shared" si="60"/>
        <v>7.556</v>
      </c>
      <c r="G44" s="51">
        <f>SUM(G46:G49)</f>
        <v>30.265000000000001</v>
      </c>
      <c r="H44" s="51">
        <f>SUM(H46:H49)</f>
        <v>7.0730000000000004</v>
      </c>
      <c r="I44" s="51">
        <f t="shared" ref="I44:N44" si="61">SUM(I46:I48)</f>
        <v>22.716000000000001</v>
      </c>
      <c r="J44" s="51">
        <f t="shared" si="61"/>
        <v>14.84704</v>
      </c>
      <c r="K44" s="51">
        <f t="shared" si="61"/>
        <v>0</v>
      </c>
      <c r="L44" s="51">
        <f t="shared" si="61"/>
        <v>0</v>
      </c>
      <c r="M44" s="51">
        <f t="shared" si="61"/>
        <v>0</v>
      </c>
      <c r="N44" s="51">
        <f t="shared" si="61"/>
        <v>0</v>
      </c>
    </row>
    <row r="45" spans="2:14" ht="25.5">
      <c r="B45" s="51" t="s">
        <v>383</v>
      </c>
      <c r="C45" s="51">
        <f>+C46+C47</f>
        <v>6.7009999999999996</v>
      </c>
      <c r="D45" s="51">
        <f t="shared" ref="D45:I45" si="62">+D46+D47</f>
        <v>31.317</v>
      </c>
      <c r="E45" s="51">
        <f t="shared" si="62"/>
        <v>6.9290000000000003</v>
      </c>
      <c r="F45" s="51">
        <f t="shared" si="62"/>
        <v>7.556</v>
      </c>
      <c r="G45" s="51">
        <f t="shared" si="62"/>
        <v>30.265000000000001</v>
      </c>
      <c r="H45" s="51">
        <f t="shared" si="62"/>
        <v>7.0730000000000004</v>
      </c>
      <c r="I45" s="51">
        <f t="shared" si="62"/>
        <v>22.716000000000001</v>
      </c>
      <c r="J45" s="51">
        <f t="shared" ref="J45:N45" si="63">+J46+J47</f>
        <v>14.84704</v>
      </c>
      <c r="K45" s="51">
        <f t="shared" si="63"/>
        <v>0</v>
      </c>
      <c r="L45" s="51">
        <f t="shared" si="63"/>
        <v>0</v>
      </c>
      <c r="M45" s="51">
        <f t="shared" si="63"/>
        <v>0</v>
      </c>
      <c r="N45" s="51">
        <f t="shared" si="63"/>
        <v>0</v>
      </c>
    </row>
    <row r="46" spans="2:14" ht="18">
      <c r="B46" s="135" t="s">
        <v>121</v>
      </c>
      <c r="C46" s="94"/>
      <c r="D46" s="94">
        <v>30.55</v>
      </c>
      <c r="E46" s="94"/>
      <c r="F46" s="94"/>
      <c r="G46" s="94"/>
      <c r="H46" s="94"/>
      <c r="I46" s="155">
        <v>13.305</v>
      </c>
      <c r="J46" s="155">
        <v>12.489000000000001</v>
      </c>
      <c r="K46" s="155"/>
      <c r="L46" s="155"/>
      <c r="M46" s="155"/>
      <c r="N46" s="155"/>
    </row>
    <row r="47" spans="2:14" ht="18">
      <c r="B47" s="135" t="s">
        <v>122</v>
      </c>
      <c r="C47" s="94">
        <v>6.7009999999999996</v>
      </c>
      <c r="D47" s="94">
        <v>0.76700000000000002</v>
      </c>
      <c r="E47" s="94">
        <v>6.9290000000000003</v>
      </c>
      <c r="F47" s="94">
        <f>1.221+6.335</f>
        <v>7.556</v>
      </c>
      <c r="G47" s="94">
        <f>20+10.265</f>
        <v>30.265000000000001</v>
      </c>
      <c r="H47" s="94">
        <v>7.0730000000000004</v>
      </c>
      <c r="I47" s="155">
        <v>9.4109999999999996</v>
      </c>
      <c r="J47" s="155">
        <v>2.3580399999999999</v>
      </c>
      <c r="K47" s="155"/>
      <c r="L47" s="155"/>
      <c r="M47" s="155"/>
      <c r="N47" s="155"/>
    </row>
    <row r="48" spans="2:14" ht="18">
      <c r="B48" s="135" t="s">
        <v>123</v>
      </c>
      <c r="C48" s="94">
        <v>2.0059999999999998</v>
      </c>
      <c r="D48" s="94"/>
      <c r="E48" s="94">
        <v>5.367</v>
      </c>
      <c r="F48" s="94"/>
      <c r="G48" s="94"/>
      <c r="H48" s="94"/>
      <c r="I48" s="155"/>
      <c r="J48" s="155"/>
      <c r="K48" s="155"/>
      <c r="L48" s="155"/>
      <c r="M48" s="155"/>
      <c r="N48" s="155"/>
    </row>
    <row r="49" spans="2:16" ht="18">
      <c r="B49" s="135" t="s">
        <v>124</v>
      </c>
      <c r="C49" s="94"/>
      <c r="D49" s="94"/>
      <c r="E49" s="94"/>
      <c r="F49" s="94"/>
      <c r="G49" s="94"/>
      <c r="H49" s="94"/>
      <c r="I49" s="94"/>
      <c r="J49" s="94"/>
      <c r="K49" s="94"/>
      <c r="L49" s="94"/>
      <c r="M49" s="94"/>
      <c r="N49" s="94"/>
    </row>
    <row r="50" spans="2:16" ht="25.5">
      <c r="B50" s="541" t="s">
        <v>167</v>
      </c>
      <c r="C50" s="99" t="e">
        <f>(C47+C48+D46)/C40</f>
        <v>#DIV/0!</v>
      </c>
      <c r="D50" s="99">
        <f t="shared" ref="D50:N50" si="64">(D47+D48+E46)/D40</f>
        <v>6.2510187449062754E-2</v>
      </c>
      <c r="E50" s="99">
        <f t="shared" si="64"/>
        <v>0.46347531096871464</v>
      </c>
      <c r="F50" s="99">
        <f t="shared" si="64"/>
        <v>14.256603773584905</v>
      </c>
      <c r="G50" s="99">
        <f t="shared" si="64"/>
        <v>0.75605795653260055</v>
      </c>
      <c r="H50" s="99">
        <f t="shared" si="64"/>
        <v>0.49995093228655546</v>
      </c>
      <c r="I50" s="99">
        <f t="shared" si="64"/>
        <v>0.5</v>
      </c>
      <c r="J50" s="99" t="e">
        <f t="shared" si="64"/>
        <v>#DIV/0!</v>
      </c>
      <c r="K50" s="99" t="e">
        <f t="shared" si="64"/>
        <v>#DIV/0!</v>
      </c>
      <c r="L50" s="99" t="e">
        <f t="shared" si="64"/>
        <v>#DIV/0!</v>
      </c>
      <c r="M50" s="99" t="e">
        <f t="shared" si="64"/>
        <v>#DIV/0!</v>
      </c>
      <c r="N50" s="99" t="e">
        <f t="shared" si="64"/>
        <v>#DIV/0!</v>
      </c>
    </row>
    <row r="51" spans="2:16" ht="28.5">
      <c r="B51" s="540" t="s">
        <v>303</v>
      </c>
      <c r="C51" s="54">
        <f>AVERAGE(G50:I50)</f>
        <v>0.58533629627305206</v>
      </c>
      <c r="D51" s="54"/>
      <c r="E51" s="54"/>
      <c r="F51" s="54"/>
      <c r="G51" s="54"/>
      <c r="H51" s="54"/>
      <c r="I51" s="54"/>
      <c r="J51" s="54"/>
      <c r="K51" s="54"/>
      <c r="L51" s="54"/>
      <c r="M51" s="54"/>
      <c r="N51" s="54"/>
    </row>
    <row r="52" spans="2:16" ht="25.5" customHeight="1">
      <c r="B52" s="541" t="s">
        <v>299</v>
      </c>
      <c r="C52" s="99">
        <f t="shared" ref="C52:I52" si="65">+C44/C19</f>
        <v>7.1100767597582883E-3</v>
      </c>
      <c r="D52" s="99">
        <f t="shared" si="65"/>
        <v>2.8821093318608507E-2</v>
      </c>
      <c r="E52" s="99">
        <f t="shared" si="65"/>
        <v>1.8966527842048435E-2</v>
      </c>
      <c r="F52" s="99">
        <f t="shared" si="65"/>
        <v>1.7306459001374255E-2</v>
      </c>
      <c r="G52" s="99">
        <f t="shared" si="65"/>
        <v>0.12094389386189258</v>
      </c>
      <c r="H52" s="99">
        <f t="shared" si="65"/>
        <v>2.1815433964591943E-2</v>
      </c>
      <c r="I52" s="99">
        <f t="shared" si="65"/>
        <v>5.9187076602397082E-2</v>
      </c>
      <c r="J52" s="99" t="e">
        <f t="shared" ref="J52:N52" si="66">+J44/J19</f>
        <v>#DIV/0!</v>
      </c>
      <c r="K52" s="99" t="e">
        <f t="shared" si="66"/>
        <v>#DIV/0!</v>
      </c>
      <c r="L52" s="99" t="e">
        <f t="shared" si="66"/>
        <v>#DIV/0!</v>
      </c>
      <c r="M52" s="99" t="e">
        <f t="shared" si="66"/>
        <v>#DIV/0!</v>
      </c>
      <c r="N52" s="99" t="e">
        <f t="shared" si="66"/>
        <v>#DIV/0!</v>
      </c>
    </row>
    <row r="53" spans="2:16" ht="25.5">
      <c r="B53" s="542" t="s">
        <v>384</v>
      </c>
      <c r="C53" s="534">
        <f>AVERAGE(G52:I52)</f>
        <v>6.7315468142960536E-2</v>
      </c>
      <c r="D53" s="534"/>
      <c r="E53" s="534"/>
      <c r="F53" s="534"/>
      <c r="G53" s="534"/>
      <c r="H53" s="534"/>
      <c r="I53" s="534"/>
      <c r="J53" s="534"/>
      <c r="K53" s="534"/>
      <c r="L53" s="534"/>
      <c r="M53" s="534"/>
      <c r="N53" s="534"/>
      <c r="O53" s="534"/>
      <c r="P53" s="534"/>
    </row>
    <row r="54" spans="2:16" ht="25.5">
      <c r="B54" s="543" t="s">
        <v>176</v>
      </c>
      <c r="C54" s="355" t="e">
        <f>+C41*(100%-C50)</f>
        <v>#DIV/0!</v>
      </c>
      <c r="D54" s="355">
        <f t="shared" ref="D54:I54" si="67">+D41*(100%-D50)</f>
        <v>2.0246078662266059E-2</v>
      </c>
      <c r="E54" s="355">
        <f t="shared" si="67"/>
        <v>2.3296488248697265E-2</v>
      </c>
      <c r="F54" s="549">
        <f t="shared" si="67"/>
        <v>-1.3487491734407473E-2</v>
      </c>
      <c r="G54" s="355">
        <f t="shared" si="67"/>
        <v>1.7058376266382545E-2</v>
      </c>
      <c r="H54" s="355">
        <f t="shared" si="67"/>
        <v>3.4145846520075657E-2</v>
      </c>
      <c r="I54" s="355">
        <f t="shared" si="67"/>
        <v>3.3178581010632237E-2</v>
      </c>
      <c r="J54" s="355" t="e">
        <f t="shared" ref="J54:N54" si="68">+J41*(100%-J50)</f>
        <v>#DIV/0!</v>
      </c>
      <c r="K54" s="355" t="e">
        <f t="shared" si="68"/>
        <v>#DIV/0!</v>
      </c>
      <c r="L54" s="355" t="e">
        <f t="shared" si="68"/>
        <v>#DIV/0!</v>
      </c>
      <c r="M54" s="355" t="e">
        <f t="shared" si="68"/>
        <v>#DIV/0!</v>
      </c>
      <c r="N54" s="355" t="e">
        <f t="shared" si="68"/>
        <v>#DIV/0!</v>
      </c>
    </row>
    <row r="55" spans="2:16" ht="25.5">
      <c r="B55" s="542" t="s">
        <v>306</v>
      </c>
      <c r="C55" s="534">
        <f>AVERAGE(G54:I54)</f>
        <v>2.812760126569681E-2</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c r="D61" s="64">
        <v>413068556000</v>
      </c>
      <c r="E61" s="64">
        <v>525737781000</v>
      </c>
      <c r="F61" s="159">
        <v>490806580000</v>
      </c>
      <c r="G61" s="64">
        <v>556047176000</v>
      </c>
      <c r="H61" s="141">
        <v>593276552000</v>
      </c>
      <c r="I61" s="64">
        <v>799915328000</v>
      </c>
      <c r="J61" s="64"/>
      <c r="K61" s="64"/>
      <c r="L61" s="64"/>
      <c r="M61" s="64"/>
      <c r="N61" s="64"/>
    </row>
    <row r="62" spans="2:16">
      <c r="B62" s="59" t="s">
        <v>386</v>
      </c>
      <c r="C62" s="66"/>
      <c r="D62" s="66">
        <v>49392706000</v>
      </c>
      <c r="E62" s="66">
        <v>138739365000</v>
      </c>
      <c r="F62" s="66">
        <v>188509524000</v>
      </c>
      <c r="G62" s="66">
        <v>176571455000</v>
      </c>
      <c r="H62" s="160">
        <v>147797309000</v>
      </c>
      <c r="I62" s="66">
        <v>134135348000</v>
      </c>
      <c r="J62" s="66"/>
      <c r="K62" s="66"/>
      <c r="L62" s="66"/>
      <c r="M62" s="66"/>
      <c r="N62" s="66"/>
    </row>
    <row r="63" spans="2:16">
      <c r="B63" s="59" t="s">
        <v>387</v>
      </c>
      <c r="C63" s="66"/>
      <c r="D63" s="66"/>
      <c r="E63" s="66"/>
      <c r="F63" s="66"/>
      <c r="G63" s="66"/>
      <c r="H63" s="160"/>
      <c r="I63" s="66"/>
      <c r="J63" s="66"/>
      <c r="K63" s="66"/>
      <c r="L63" s="66"/>
      <c r="M63" s="66"/>
      <c r="N63" s="66"/>
    </row>
    <row r="64" spans="2:16">
      <c r="B64" s="59" t="s">
        <v>388</v>
      </c>
      <c r="C64" s="66"/>
      <c r="D64" s="66"/>
      <c r="E64" s="66"/>
      <c r="F64" s="66"/>
      <c r="G64" s="66"/>
      <c r="H64" s="160"/>
      <c r="I64" s="66"/>
      <c r="J64" s="66"/>
      <c r="K64" s="66"/>
      <c r="L64" s="66"/>
      <c r="M64" s="66"/>
      <c r="N64" s="66"/>
    </row>
    <row r="65" spans="2:14">
      <c r="B65" s="59" t="s">
        <v>389</v>
      </c>
      <c r="C65" s="66"/>
      <c r="D65" s="66">
        <v>240001400000</v>
      </c>
      <c r="E65" s="66">
        <v>279004918000</v>
      </c>
      <c r="F65" s="66">
        <v>203127052000</v>
      </c>
      <c r="G65" s="66">
        <v>261354972000</v>
      </c>
      <c r="H65" s="160">
        <v>307154771000</v>
      </c>
      <c r="I65" s="66">
        <v>472209548000</v>
      </c>
      <c r="J65" s="66"/>
      <c r="K65" s="66"/>
      <c r="L65" s="66"/>
      <c r="M65" s="66"/>
      <c r="N65" s="66"/>
    </row>
    <row r="66" spans="2:14">
      <c r="B66" s="59" t="s">
        <v>390</v>
      </c>
      <c r="C66" s="66"/>
      <c r="D66" s="66"/>
      <c r="E66" s="66"/>
      <c r="F66" s="66"/>
      <c r="G66" s="66"/>
      <c r="H66" s="160"/>
      <c r="I66" s="66"/>
      <c r="J66" s="66"/>
      <c r="K66" s="66"/>
      <c r="L66" s="66"/>
      <c r="M66" s="66"/>
      <c r="N66" s="66"/>
    </row>
    <row r="67" spans="2:14">
      <c r="B67" s="59" t="s">
        <v>391</v>
      </c>
      <c r="C67" s="161"/>
      <c r="D67" s="66">
        <v>5468461600</v>
      </c>
      <c r="E67" s="66">
        <v>40619089000</v>
      </c>
      <c r="F67" s="66">
        <v>35545834000</v>
      </c>
      <c r="G67" s="66">
        <v>57299109000</v>
      </c>
      <c r="H67" s="160">
        <v>74130184000</v>
      </c>
      <c r="I67" s="66">
        <v>88282398000</v>
      </c>
      <c r="J67" s="66"/>
      <c r="K67" s="66"/>
      <c r="L67" s="66"/>
      <c r="M67" s="66"/>
      <c r="N67" s="66"/>
    </row>
    <row r="68" spans="2:14">
      <c r="B68" s="59" t="s">
        <v>392</v>
      </c>
      <c r="C68" s="66"/>
      <c r="D68" s="66">
        <v>0</v>
      </c>
      <c r="E68" s="66"/>
      <c r="F68" s="66"/>
      <c r="G68" s="66"/>
      <c r="H68" s="160"/>
      <c r="I68" s="66"/>
      <c r="J68" s="66"/>
      <c r="K68" s="66"/>
      <c r="L68" s="66"/>
      <c r="M68" s="66"/>
      <c r="N68" s="66"/>
    </row>
    <row r="69" spans="2:14">
      <c r="B69" s="59" t="s">
        <v>318</v>
      </c>
      <c r="C69" s="66">
        <f t="shared" ref="C69:I69" si="69">+C61-C62-C67-C68-C66-C65-C64-C63</f>
        <v>0</v>
      </c>
      <c r="D69" s="66">
        <f t="shared" si="69"/>
        <v>118205988400</v>
      </c>
      <c r="E69" s="66">
        <f t="shared" si="69"/>
        <v>67374409000</v>
      </c>
      <c r="F69" s="66">
        <f t="shared" si="69"/>
        <v>63624170000</v>
      </c>
      <c r="G69" s="66">
        <f t="shared" si="69"/>
        <v>60821640000</v>
      </c>
      <c r="H69" s="66">
        <f t="shared" si="69"/>
        <v>64194288000</v>
      </c>
      <c r="I69" s="66">
        <f t="shared" si="69"/>
        <v>105288034000</v>
      </c>
      <c r="J69" s="66">
        <f t="shared" ref="J69:N69" si="70">+J61-J62-J67-J68-J66-J65-J64-J63</f>
        <v>0</v>
      </c>
      <c r="K69" s="66">
        <f t="shared" si="70"/>
        <v>0</v>
      </c>
      <c r="L69" s="66">
        <f t="shared" si="70"/>
        <v>0</v>
      </c>
      <c r="M69" s="66">
        <f t="shared" si="70"/>
        <v>0</v>
      </c>
      <c r="N69" s="66">
        <f t="shared" si="70"/>
        <v>0</v>
      </c>
    </row>
    <row r="70" spans="2:14">
      <c r="B70" s="58" t="s">
        <v>319</v>
      </c>
      <c r="C70" s="64"/>
      <c r="D70" s="64">
        <v>484699162000</v>
      </c>
      <c r="E70" s="64">
        <v>568835378000</v>
      </c>
      <c r="F70" s="159">
        <v>475741976000</v>
      </c>
      <c r="G70" s="64">
        <v>500909493000</v>
      </c>
      <c r="H70" s="141">
        <v>531762340000</v>
      </c>
      <c r="I70" s="64">
        <v>642533649000</v>
      </c>
      <c r="J70" s="64"/>
      <c r="K70" s="64"/>
      <c r="L70" s="64"/>
      <c r="M70" s="64"/>
      <c r="N70" s="64"/>
    </row>
    <row r="71" spans="2:14">
      <c r="B71" s="59" t="s">
        <v>393</v>
      </c>
      <c r="C71" s="66"/>
      <c r="D71" s="66"/>
      <c r="E71" s="66"/>
      <c r="F71" s="66"/>
      <c r="G71" s="66"/>
      <c r="H71" s="160"/>
      <c r="I71" s="66"/>
      <c r="J71" s="66"/>
      <c r="K71" s="66"/>
      <c r="L71" s="66"/>
      <c r="M71" s="66"/>
      <c r="N71" s="66"/>
    </row>
    <row r="72" spans="2:14">
      <c r="B72" s="59" t="s">
        <v>394</v>
      </c>
      <c r="C72" s="66"/>
      <c r="D72" s="66"/>
      <c r="E72" s="66"/>
      <c r="F72" s="66"/>
      <c r="G72" s="66"/>
      <c r="H72" s="160"/>
      <c r="I72" s="66"/>
      <c r="J72" s="66"/>
      <c r="K72" s="66"/>
      <c r="L72" s="66"/>
      <c r="M72" s="66"/>
      <c r="N72" s="66"/>
    </row>
    <row r="73" spans="2:14">
      <c r="B73" s="59" t="s">
        <v>590</v>
      </c>
      <c r="C73" s="66"/>
      <c r="D73" s="66"/>
      <c r="E73" s="66"/>
      <c r="F73" s="66"/>
      <c r="G73" s="66"/>
      <c r="H73" s="160"/>
      <c r="I73" s="66"/>
      <c r="J73" s="66"/>
      <c r="K73" s="66"/>
      <c r="L73" s="66"/>
      <c r="M73" s="66"/>
      <c r="N73" s="66"/>
    </row>
    <row r="74" spans="2:14">
      <c r="B74" s="59" t="s">
        <v>396</v>
      </c>
      <c r="C74" s="66"/>
      <c r="D74" s="66">
        <v>230972860000</v>
      </c>
      <c r="E74" s="66">
        <v>247345413000</v>
      </c>
      <c r="F74" s="66">
        <v>175514440000</v>
      </c>
      <c r="G74" s="66">
        <v>192011615000</v>
      </c>
      <c r="H74" s="160">
        <v>200717254000</v>
      </c>
      <c r="I74" s="66">
        <v>227147298000</v>
      </c>
      <c r="J74" s="66"/>
      <c r="K74" s="66"/>
      <c r="L74" s="66"/>
      <c r="M74" s="66"/>
      <c r="N74" s="66"/>
    </row>
    <row r="75" spans="2:14">
      <c r="B75" s="59" t="s">
        <v>397</v>
      </c>
      <c r="C75" s="66"/>
      <c r="D75" s="66"/>
      <c r="E75" s="66"/>
      <c r="F75" s="66"/>
      <c r="G75" s="66"/>
      <c r="H75" s="160"/>
      <c r="I75" s="66"/>
      <c r="J75" s="66"/>
      <c r="K75" s="66"/>
      <c r="L75" s="66"/>
      <c r="M75" s="66"/>
      <c r="N75" s="66"/>
    </row>
    <row r="76" spans="2:14">
      <c r="B76" s="59" t="s">
        <v>398</v>
      </c>
      <c r="C76" s="66"/>
      <c r="D76" s="66">
        <v>122792037000</v>
      </c>
      <c r="E76" s="66">
        <v>165947221000</v>
      </c>
      <c r="F76" s="66">
        <v>142181821000</v>
      </c>
      <c r="G76" s="66">
        <v>135361650000</v>
      </c>
      <c r="H76" s="160">
        <v>125720175000</v>
      </c>
      <c r="I76" s="66">
        <v>136451779000</v>
      </c>
      <c r="J76" s="66"/>
      <c r="K76" s="66"/>
      <c r="L76" s="66"/>
      <c r="M76" s="66"/>
      <c r="N76" s="66"/>
    </row>
    <row r="77" spans="2:14">
      <c r="B77" s="59" t="s">
        <v>399</v>
      </c>
      <c r="C77" s="66"/>
      <c r="D77" s="66"/>
      <c r="E77" s="66"/>
      <c r="F77" s="66"/>
      <c r="G77" s="66"/>
      <c r="H77" s="160"/>
      <c r="I77" s="66"/>
      <c r="J77" s="66"/>
      <c r="K77" s="66"/>
      <c r="L77" s="66"/>
      <c r="M77" s="66"/>
      <c r="N77" s="66"/>
    </row>
    <row r="78" spans="2:14">
      <c r="B78" s="59" t="s">
        <v>400</v>
      </c>
      <c r="C78" s="66"/>
      <c r="D78" s="66"/>
      <c r="E78" s="66"/>
      <c r="F78" s="161"/>
      <c r="G78" s="66"/>
      <c r="H78" s="160"/>
      <c r="I78" s="66"/>
      <c r="J78" s="66"/>
      <c r="K78" s="66"/>
      <c r="L78" s="66"/>
      <c r="M78" s="66"/>
      <c r="N78" s="66"/>
    </row>
    <row r="79" spans="2:14">
      <c r="B79" s="59" t="s">
        <v>401</v>
      </c>
      <c r="C79" s="66"/>
      <c r="D79" s="66"/>
      <c r="E79" s="66"/>
      <c r="F79" s="66"/>
      <c r="G79" s="66"/>
      <c r="H79" s="160"/>
      <c r="I79" s="66"/>
      <c r="J79" s="66"/>
      <c r="K79" s="66"/>
      <c r="L79" s="66"/>
      <c r="M79" s="66"/>
      <c r="N79" s="66"/>
    </row>
    <row r="80" spans="2:14">
      <c r="B80" s="59" t="s">
        <v>328</v>
      </c>
      <c r="C80" s="66">
        <f t="shared" ref="C80:H80" si="71">+C70-C77-C78-C76-C71-C79-C75-C74-C73-C72</f>
        <v>0</v>
      </c>
      <c r="D80" s="66">
        <f t="shared" si="71"/>
        <v>130934265000</v>
      </c>
      <c r="E80" s="66">
        <f t="shared" si="71"/>
        <v>155542744000</v>
      </c>
      <c r="F80" s="66">
        <f t="shared" si="71"/>
        <v>158045715000</v>
      </c>
      <c r="G80" s="66">
        <f t="shared" si="71"/>
        <v>173536228000</v>
      </c>
      <c r="H80" s="66">
        <f t="shared" si="71"/>
        <v>205324911000</v>
      </c>
      <c r="I80" s="66">
        <f t="shared" ref="I80:N80" si="72">+I70-I77-I78-I76-I71-I79-I75-I74-I73-I72</f>
        <v>278934572000</v>
      </c>
      <c r="J80" s="66">
        <f t="shared" si="72"/>
        <v>0</v>
      </c>
      <c r="K80" s="66">
        <f t="shared" si="72"/>
        <v>0</v>
      </c>
      <c r="L80" s="66">
        <f t="shared" si="72"/>
        <v>0</v>
      </c>
      <c r="M80" s="66">
        <f t="shared" si="72"/>
        <v>0</v>
      </c>
      <c r="N80" s="66">
        <f t="shared" si="72"/>
        <v>0</v>
      </c>
    </row>
    <row r="81" spans="2:14" ht="14.65" thickBot="1">
      <c r="B81" s="60" t="s">
        <v>329</v>
      </c>
      <c r="C81" s="70">
        <f t="shared" ref="C81:H81" si="73">+C70+C61</f>
        <v>0</v>
      </c>
      <c r="D81" s="70">
        <f t="shared" si="73"/>
        <v>897767718000</v>
      </c>
      <c r="E81" s="70">
        <f t="shared" si="73"/>
        <v>1094573159000</v>
      </c>
      <c r="F81" s="70">
        <f t="shared" si="73"/>
        <v>966548556000</v>
      </c>
      <c r="G81" s="70">
        <f t="shared" si="73"/>
        <v>1056956669000</v>
      </c>
      <c r="H81" s="162">
        <f t="shared" si="73"/>
        <v>1125038892000</v>
      </c>
      <c r="I81" s="162">
        <f t="shared" ref="I81:N81" si="74">+I70+I61</f>
        <v>1442448977000</v>
      </c>
      <c r="J81" s="162">
        <f t="shared" si="74"/>
        <v>0</v>
      </c>
      <c r="K81" s="162">
        <f t="shared" si="74"/>
        <v>0</v>
      </c>
      <c r="L81" s="162">
        <f t="shared" si="74"/>
        <v>0</v>
      </c>
      <c r="M81" s="162">
        <f t="shared" si="74"/>
        <v>0</v>
      </c>
      <c r="N81" s="162">
        <f t="shared" si="74"/>
        <v>0</v>
      </c>
    </row>
    <row r="82" spans="2:14" ht="14.65" thickBot="1">
      <c r="B82" s="61"/>
      <c r="C82" s="72"/>
      <c r="D82" s="72"/>
      <c r="E82" s="72"/>
      <c r="F82" s="72"/>
      <c r="G82" s="72"/>
      <c r="H82" s="163"/>
      <c r="I82" s="72"/>
      <c r="J82" s="72"/>
      <c r="K82" s="72"/>
      <c r="L82" s="72"/>
      <c r="M82" s="72"/>
      <c r="N82" s="72"/>
    </row>
    <row r="83" spans="2:14">
      <c r="B83" s="57" t="s">
        <v>330</v>
      </c>
      <c r="C83" s="62"/>
      <c r="D83" s="62"/>
      <c r="E83" s="62"/>
      <c r="F83" s="62"/>
      <c r="G83" s="62"/>
      <c r="H83" s="164"/>
      <c r="I83" s="62"/>
      <c r="J83" s="62"/>
      <c r="K83" s="62"/>
      <c r="L83" s="62"/>
      <c r="M83" s="62"/>
      <c r="N83" s="62"/>
    </row>
    <row r="84" spans="2:14">
      <c r="B84" s="58" t="s">
        <v>310</v>
      </c>
      <c r="C84" s="64"/>
      <c r="D84" s="64">
        <v>289200660000</v>
      </c>
      <c r="E84" s="64">
        <v>274515891000</v>
      </c>
      <c r="F84" s="64">
        <v>216561099000</v>
      </c>
      <c r="G84" s="64">
        <v>287664603000</v>
      </c>
      <c r="H84" s="141">
        <v>328840163000</v>
      </c>
      <c r="I84" s="64">
        <v>533911514000</v>
      </c>
      <c r="J84" s="64"/>
      <c r="K84" s="64"/>
      <c r="L84" s="64"/>
      <c r="M84" s="64"/>
      <c r="N84" s="64"/>
    </row>
    <row r="85" spans="2:14">
      <c r="B85" s="59" t="s">
        <v>402</v>
      </c>
      <c r="C85" s="66"/>
      <c r="D85" s="66"/>
      <c r="E85" s="66"/>
      <c r="F85" s="66"/>
      <c r="G85" s="66"/>
      <c r="H85" s="160"/>
      <c r="I85" s="66"/>
      <c r="J85" s="66"/>
      <c r="K85" s="66"/>
      <c r="L85" s="66"/>
      <c r="M85" s="66"/>
      <c r="N85" s="66"/>
    </row>
    <row r="86" spans="2:14">
      <c r="B86" s="59" t="s">
        <v>403</v>
      </c>
      <c r="C86" s="66"/>
      <c r="D86" s="66"/>
      <c r="E86" s="66"/>
      <c r="F86" s="66"/>
      <c r="G86" s="66"/>
      <c r="H86" s="160"/>
      <c r="I86" s="66"/>
      <c r="J86" s="66"/>
      <c r="K86" s="66"/>
      <c r="L86" s="66"/>
      <c r="M86" s="66"/>
      <c r="N86" s="66"/>
    </row>
    <row r="87" spans="2:14">
      <c r="B87" s="59" t="s">
        <v>404</v>
      </c>
      <c r="C87" s="66"/>
      <c r="D87" s="66"/>
      <c r="E87" s="66"/>
      <c r="F87" s="66"/>
      <c r="G87" s="66"/>
      <c r="H87" s="160"/>
      <c r="I87" s="66"/>
      <c r="J87" s="66"/>
      <c r="K87" s="66"/>
      <c r="L87" s="66"/>
      <c r="M87" s="66"/>
      <c r="N87" s="66"/>
    </row>
    <row r="88" spans="2:14">
      <c r="B88" s="59" t="s">
        <v>405</v>
      </c>
      <c r="C88" s="66"/>
      <c r="D88" s="66">
        <v>97402954000</v>
      </c>
      <c r="E88" s="66">
        <v>99319777000</v>
      </c>
      <c r="F88" s="66">
        <v>99027980000</v>
      </c>
      <c r="G88" s="66">
        <v>127055287000</v>
      </c>
      <c r="H88" s="160">
        <v>135060823000</v>
      </c>
      <c r="I88" s="66">
        <v>293392291000</v>
      </c>
      <c r="J88" s="66"/>
      <c r="K88" s="66"/>
      <c r="L88" s="66"/>
      <c r="M88" s="66"/>
      <c r="N88" s="66"/>
    </row>
    <row r="89" spans="2:14">
      <c r="B89" s="59" t="s">
        <v>406</v>
      </c>
      <c r="C89" s="66"/>
      <c r="D89" s="66"/>
      <c r="E89" s="66"/>
      <c r="F89" s="66"/>
      <c r="G89" s="66"/>
      <c r="H89" s="160"/>
      <c r="I89" s="66"/>
      <c r="J89" s="66"/>
      <c r="K89" s="66"/>
      <c r="L89" s="66"/>
      <c r="M89" s="66"/>
      <c r="N89" s="66"/>
    </row>
    <row r="90" spans="2:14">
      <c r="B90" s="59" t="s">
        <v>407</v>
      </c>
      <c r="C90" s="66"/>
      <c r="D90" s="66"/>
      <c r="E90" s="66"/>
      <c r="F90" s="66"/>
      <c r="G90" s="66"/>
      <c r="H90" s="160"/>
      <c r="I90" s="66"/>
      <c r="J90" s="66"/>
      <c r="K90" s="66"/>
      <c r="L90" s="66"/>
      <c r="M90" s="66"/>
      <c r="N90" s="66"/>
    </row>
    <row r="91" spans="2:14">
      <c r="B91" s="59" t="s">
        <v>408</v>
      </c>
      <c r="C91" s="66"/>
      <c r="D91" s="66"/>
      <c r="E91" s="66"/>
      <c r="F91" s="66"/>
      <c r="G91" s="66"/>
      <c r="H91" s="160"/>
      <c r="I91" s="66"/>
      <c r="J91" s="66"/>
      <c r="K91" s="66"/>
      <c r="L91" s="66"/>
      <c r="M91" s="66"/>
      <c r="N91" s="66"/>
    </row>
    <row r="92" spans="2:14">
      <c r="B92" s="59" t="s">
        <v>409</v>
      </c>
      <c r="C92" s="66"/>
      <c r="D92" s="66"/>
      <c r="E92" s="66"/>
      <c r="F92" s="66"/>
      <c r="G92" s="66"/>
      <c r="H92" s="160"/>
      <c r="I92" s="66"/>
      <c r="J92" s="66"/>
      <c r="K92" s="66"/>
      <c r="L92" s="66"/>
      <c r="M92" s="66"/>
      <c r="N92" s="66"/>
    </row>
    <row r="93" spans="2:14">
      <c r="B93" s="59" t="s">
        <v>410</v>
      </c>
      <c r="C93" s="66">
        <f t="shared" ref="C93:H93" si="75">+C84-C85-C91-C92-C90-C89-C88-C87-C86</f>
        <v>0</v>
      </c>
      <c r="D93" s="66">
        <f t="shared" si="75"/>
        <v>191797706000</v>
      </c>
      <c r="E93" s="66">
        <f t="shared" si="75"/>
        <v>175196114000</v>
      </c>
      <c r="F93" s="66">
        <f t="shared" si="75"/>
        <v>117533119000</v>
      </c>
      <c r="G93" s="66">
        <f t="shared" si="75"/>
        <v>160609316000</v>
      </c>
      <c r="H93" s="66">
        <f t="shared" si="75"/>
        <v>193779340000</v>
      </c>
      <c r="I93" s="66">
        <f t="shared" ref="I93:N93" si="76">+I84-I85-I91-I92-I90-I89-I88-I87-I86</f>
        <v>240519223000</v>
      </c>
      <c r="J93" s="66">
        <f t="shared" si="76"/>
        <v>0</v>
      </c>
      <c r="K93" s="66">
        <f t="shared" si="76"/>
        <v>0</v>
      </c>
      <c r="L93" s="66">
        <f t="shared" si="76"/>
        <v>0</v>
      </c>
      <c r="M93" s="66">
        <f t="shared" si="76"/>
        <v>0</v>
      </c>
      <c r="N93" s="66">
        <f t="shared" si="76"/>
        <v>0</v>
      </c>
    </row>
    <row r="94" spans="2:14">
      <c r="B94" s="58" t="s">
        <v>319</v>
      </c>
      <c r="C94" s="64"/>
      <c r="D94" s="64">
        <v>109740174000</v>
      </c>
      <c r="E94" s="64">
        <v>285129386000</v>
      </c>
      <c r="F94" s="64">
        <v>295444217000</v>
      </c>
      <c r="G94" s="64">
        <v>267526659000</v>
      </c>
      <c r="H94" s="141">
        <v>269816458000</v>
      </c>
      <c r="I94" s="141">
        <v>316345690000</v>
      </c>
      <c r="J94" s="141"/>
      <c r="K94" s="141"/>
      <c r="L94" s="141"/>
      <c r="M94" s="141"/>
      <c r="N94" s="141"/>
    </row>
    <row r="95" spans="2:14">
      <c r="B95" s="59" t="s">
        <v>411</v>
      </c>
      <c r="C95" s="66"/>
      <c r="D95" s="66"/>
      <c r="E95" s="66"/>
      <c r="F95" s="66"/>
      <c r="G95" s="66"/>
      <c r="H95" s="160">
        <v>201045019000</v>
      </c>
      <c r="I95" s="160">
        <v>211209942000</v>
      </c>
      <c r="J95" s="160"/>
      <c r="K95" s="160"/>
      <c r="L95" s="160"/>
      <c r="M95" s="160"/>
      <c r="N95" s="160"/>
    </row>
    <row r="96" spans="2:14">
      <c r="B96" s="59" t="s">
        <v>412</v>
      </c>
      <c r="C96" s="66"/>
      <c r="D96" s="66"/>
      <c r="E96" s="66"/>
      <c r="F96" s="66"/>
      <c r="G96" s="66"/>
      <c r="H96" s="160"/>
      <c r="I96" s="160"/>
      <c r="J96" s="160"/>
      <c r="K96" s="160"/>
      <c r="L96" s="160"/>
      <c r="M96" s="160"/>
      <c r="N96" s="160"/>
    </row>
    <row r="97" spans="2:14">
      <c r="B97" s="59" t="s">
        <v>413</v>
      </c>
      <c r="C97" s="66"/>
      <c r="D97" s="66"/>
      <c r="E97" s="66"/>
      <c r="F97" s="66"/>
      <c r="G97" s="66"/>
      <c r="H97" s="160"/>
      <c r="I97" s="160"/>
      <c r="J97" s="160"/>
      <c r="K97" s="160"/>
      <c r="L97" s="160"/>
      <c r="M97" s="160"/>
      <c r="N97" s="160"/>
    </row>
    <row r="98" spans="2:14">
      <c r="B98" s="59" t="s">
        <v>414</v>
      </c>
      <c r="C98" s="66"/>
      <c r="D98" s="66"/>
      <c r="E98" s="66"/>
      <c r="F98" s="66"/>
      <c r="G98" s="66"/>
      <c r="H98" s="160"/>
      <c r="I98" s="160"/>
      <c r="J98" s="160"/>
      <c r="K98" s="160"/>
      <c r="L98" s="160"/>
      <c r="M98" s="160"/>
      <c r="N98" s="160"/>
    </row>
    <row r="99" spans="2:14">
      <c r="B99" s="59" t="s">
        <v>341</v>
      </c>
      <c r="C99" s="66">
        <f t="shared" ref="C99:H99" si="77">+C94-C95-C97-C98-C96</f>
        <v>0</v>
      </c>
      <c r="D99" s="66">
        <f t="shared" si="77"/>
        <v>109740174000</v>
      </c>
      <c r="E99" s="66">
        <f t="shared" si="77"/>
        <v>285129386000</v>
      </c>
      <c r="F99" s="66">
        <f t="shared" si="77"/>
        <v>295444217000</v>
      </c>
      <c r="G99" s="66">
        <f t="shared" si="77"/>
        <v>267526659000</v>
      </c>
      <c r="H99" s="66">
        <f t="shared" si="77"/>
        <v>68771439000</v>
      </c>
      <c r="I99" s="66">
        <f t="shared" ref="I99:N99" si="78">+I94-I95-I97-I98-I96</f>
        <v>105135748000</v>
      </c>
      <c r="J99" s="66">
        <f t="shared" si="78"/>
        <v>0</v>
      </c>
      <c r="K99" s="66">
        <f t="shared" si="78"/>
        <v>0</v>
      </c>
      <c r="L99" s="66">
        <f t="shared" si="78"/>
        <v>0</v>
      </c>
      <c r="M99" s="66">
        <f t="shared" si="78"/>
        <v>0</v>
      </c>
      <c r="N99" s="66">
        <f t="shared" si="78"/>
        <v>0</v>
      </c>
    </row>
    <row r="100" spans="2:14" ht="14.65" thickBot="1">
      <c r="B100" s="60" t="s">
        <v>342</v>
      </c>
      <c r="C100" s="70">
        <f t="shared" ref="C100:H100" si="79">+C94+C84</f>
        <v>0</v>
      </c>
      <c r="D100" s="70">
        <f t="shared" si="79"/>
        <v>398940834000</v>
      </c>
      <c r="E100" s="70">
        <f t="shared" si="79"/>
        <v>559645277000</v>
      </c>
      <c r="F100" s="70">
        <f t="shared" si="79"/>
        <v>512005316000</v>
      </c>
      <c r="G100" s="70">
        <f t="shared" si="79"/>
        <v>555191262000</v>
      </c>
      <c r="H100" s="162">
        <f t="shared" si="79"/>
        <v>598656621000</v>
      </c>
      <c r="I100" s="162">
        <f t="shared" ref="I100:N100" si="80">+I94+I84</f>
        <v>850257204000</v>
      </c>
      <c r="J100" s="162">
        <f t="shared" si="80"/>
        <v>0</v>
      </c>
      <c r="K100" s="162">
        <f t="shared" si="80"/>
        <v>0</v>
      </c>
      <c r="L100" s="162">
        <f t="shared" si="80"/>
        <v>0</v>
      </c>
      <c r="M100" s="162">
        <f t="shared" si="80"/>
        <v>0</v>
      </c>
      <c r="N100" s="162">
        <f t="shared" si="80"/>
        <v>0</v>
      </c>
    </row>
    <row r="101" spans="2:14" ht="14.65" thickBot="1">
      <c r="B101" s="61"/>
      <c r="C101" s="61"/>
      <c r="D101" s="61"/>
      <c r="E101" s="61"/>
      <c r="F101" s="61"/>
      <c r="G101" s="61"/>
      <c r="H101" s="61"/>
      <c r="I101" s="61"/>
      <c r="J101" s="61"/>
      <c r="K101" s="61"/>
      <c r="L101" s="61"/>
      <c r="M101" s="61"/>
      <c r="N101" s="61"/>
    </row>
    <row r="102" spans="2:14">
      <c r="B102" s="57" t="s">
        <v>343</v>
      </c>
      <c r="C102" s="62"/>
      <c r="D102" s="62"/>
      <c r="E102" s="62"/>
      <c r="F102" s="62"/>
      <c r="G102" s="62"/>
      <c r="H102" s="164"/>
      <c r="I102" s="62"/>
      <c r="J102" s="62"/>
      <c r="K102" s="62"/>
      <c r="L102" s="62"/>
      <c r="M102" s="62"/>
      <c r="N102" s="62"/>
    </row>
    <row r="103" spans="2:14">
      <c r="B103" s="59" t="s">
        <v>415</v>
      </c>
      <c r="C103" s="160"/>
      <c r="D103" s="160">
        <v>373119044000</v>
      </c>
      <c r="E103" s="160">
        <v>373119044000</v>
      </c>
      <c r="F103" s="160">
        <v>373119044000</v>
      </c>
      <c r="G103" s="160">
        <v>373119044000</v>
      </c>
      <c r="H103" s="160">
        <v>373119044000</v>
      </c>
      <c r="I103" s="160">
        <v>373119044000</v>
      </c>
      <c r="J103" s="160"/>
      <c r="K103" s="160"/>
      <c r="L103" s="160"/>
      <c r="M103" s="160"/>
      <c r="N103" s="160"/>
    </row>
    <row r="104" spans="2:14">
      <c r="B104" s="59" t="s">
        <v>416</v>
      </c>
      <c r="C104" s="66"/>
      <c r="D104" s="66">
        <v>242232100000</v>
      </c>
      <c r="E104" s="66">
        <v>253735837000</v>
      </c>
      <c r="F104" s="66">
        <v>253132212000</v>
      </c>
      <c r="G104" s="66">
        <v>261634869000</v>
      </c>
      <c r="H104" s="160">
        <v>279385689000</v>
      </c>
      <c r="I104" s="66">
        <v>298461125000</v>
      </c>
      <c r="J104" s="66"/>
      <c r="K104" s="66"/>
      <c r="L104" s="66"/>
      <c r="M104" s="66"/>
      <c r="N104" s="66"/>
    </row>
    <row r="105" spans="2:14">
      <c r="B105" s="59" t="s">
        <v>345</v>
      </c>
      <c r="C105" s="66"/>
      <c r="D105" s="66">
        <v>-120562928000</v>
      </c>
      <c r="E105" s="66">
        <v>-94698927000</v>
      </c>
      <c r="F105" s="66">
        <v>-174519981000</v>
      </c>
      <c r="G105" s="66">
        <v>-136179436000</v>
      </c>
      <c r="H105" s="160">
        <v>-132600739000</v>
      </c>
      <c r="I105" s="66">
        <v>-96647926000</v>
      </c>
      <c r="J105" s="66"/>
      <c r="K105" s="66"/>
      <c r="L105" s="66"/>
      <c r="M105" s="66"/>
      <c r="N105" s="66"/>
    </row>
    <row r="106" spans="2:14">
      <c r="B106" s="59" t="s">
        <v>419</v>
      </c>
      <c r="C106" s="66"/>
      <c r="D106" s="66">
        <v>4038668000</v>
      </c>
      <c r="E106" s="66">
        <v>2771928000</v>
      </c>
      <c r="F106" s="66">
        <v>2811965000</v>
      </c>
      <c r="G106" s="66">
        <v>3190930000</v>
      </c>
      <c r="H106" s="160">
        <v>6478277000</v>
      </c>
      <c r="I106" s="66">
        <v>17259530000</v>
      </c>
      <c r="J106" s="66"/>
      <c r="K106" s="66"/>
      <c r="L106" s="66"/>
      <c r="M106" s="66"/>
      <c r="N106" s="66"/>
    </row>
    <row r="107" spans="2:14" ht="14.65" thickBot="1">
      <c r="B107" s="60" t="s">
        <v>420</v>
      </c>
      <c r="C107" s="70">
        <f t="shared" ref="C107:F107" si="81">+C103+C105+C104</f>
        <v>0</v>
      </c>
      <c r="D107" s="70">
        <f t="shared" si="81"/>
        <v>494788216000</v>
      </c>
      <c r="E107" s="70">
        <f t="shared" si="81"/>
        <v>532155954000</v>
      </c>
      <c r="F107" s="70">
        <f t="shared" si="81"/>
        <v>451731275000</v>
      </c>
      <c r="G107" s="70">
        <f>+G103+G105+G104</f>
        <v>498574477000</v>
      </c>
      <c r="H107" s="70">
        <f>+H103+H105+H104</f>
        <v>519903994000</v>
      </c>
      <c r="I107" s="70">
        <f t="shared" ref="I107:N107" si="82">+I103+I105+I104</f>
        <v>574932243000</v>
      </c>
      <c r="J107" s="70">
        <f t="shared" si="82"/>
        <v>0</v>
      </c>
      <c r="K107" s="70">
        <f t="shared" si="82"/>
        <v>0</v>
      </c>
      <c r="L107" s="70">
        <f t="shared" si="82"/>
        <v>0</v>
      </c>
      <c r="M107" s="70">
        <f t="shared" si="82"/>
        <v>0</v>
      </c>
      <c r="N107" s="70">
        <f t="shared" si="82"/>
        <v>0</v>
      </c>
    </row>
    <row r="108" spans="2:14" ht="14.65" thickBot="1">
      <c r="B108" s="60" t="s">
        <v>347</v>
      </c>
      <c r="C108" s="70">
        <f>+C107+C106</f>
        <v>0</v>
      </c>
      <c r="D108" s="70">
        <f t="shared" ref="D108:I108" si="83">+D107+D106</f>
        <v>498826884000</v>
      </c>
      <c r="E108" s="70">
        <f t="shared" si="83"/>
        <v>534927882000</v>
      </c>
      <c r="F108" s="70">
        <f t="shared" si="83"/>
        <v>454543240000</v>
      </c>
      <c r="G108" s="70">
        <f t="shared" si="83"/>
        <v>501765407000</v>
      </c>
      <c r="H108" s="70">
        <f t="shared" si="83"/>
        <v>526382271000</v>
      </c>
      <c r="I108" s="70">
        <f t="shared" si="83"/>
        <v>592191773000</v>
      </c>
      <c r="J108" s="70">
        <f t="shared" ref="J108:N108" si="84">+J107+J106</f>
        <v>0</v>
      </c>
      <c r="K108" s="70">
        <f t="shared" si="84"/>
        <v>0</v>
      </c>
      <c r="L108" s="70">
        <f t="shared" si="84"/>
        <v>0</v>
      </c>
      <c r="M108" s="70">
        <f t="shared" si="84"/>
        <v>0</v>
      </c>
      <c r="N108" s="70">
        <f t="shared" si="84"/>
        <v>0</v>
      </c>
    </row>
    <row r="110" spans="2:14" ht="14.65" thickBot="1">
      <c r="B110" s="75" t="s">
        <v>348</v>
      </c>
    </row>
    <row r="111" spans="2:14" ht="14.65" thickBot="1">
      <c r="B111" s="82" t="s">
        <v>308</v>
      </c>
      <c r="C111" s="88">
        <v>2017</v>
      </c>
      <c r="D111" s="88">
        <v>2018</v>
      </c>
      <c r="E111" s="88">
        <v>2019</v>
      </c>
      <c r="F111" s="88">
        <v>2020</v>
      </c>
      <c r="G111" s="88">
        <v>2021</v>
      </c>
      <c r="H111" s="88">
        <v>2022</v>
      </c>
      <c r="I111" s="88">
        <v>2023</v>
      </c>
      <c r="J111" s="88">
        <v>2024</v>
      </c>
      <c r="K111" s="88">
        <v>2025</v>
      </c>
      <c r="L111" s="88">
        <v>2026</v>
      </c>
      <c r="M111" s="88">
        <v>2027</v>
      </c>
      <c r="N111" s="88">
        <v>2028</v>
      </c>
    </row>
    <row r="112" spans="2:14">
      <c r="B112" s="83" t="s">
        <v>349</v>
      </c>
      <c r="C112" s="90"/>
      <c r="D112" s="90">
        <v>800141897000</v>
      </c>
      <c r="E112" s="90">
        <v>846550488000</v>
      </c>
      <c r="F112" s="90">
        <v>780455815000</v>
      </c>
      <c r="G112" s="90">
        <v>897198428000</v>
      </c>
      <c r="H112" s="90">
        <v>1068112142000</v>
      </c>
      <c r="I112" s="90">
        <v>1300157592000</v>
      </c>
      <c r="J112" s="90"/>
      <c r="K112" s="90"/>
      <c r="L112" s="90"/>
      <c r="M112" s="90"/>
      <c r="N112" s="90"/>
    </row>
    <row r="113" spans="2:14">
      <c r="B113" s="85" t="s">
        <v>534</v>
      </c>
      <c r="C113" s="66"/>
      <c r="D113" s="66">
        <v>-659448867000</v>
      </c>
      <c r="E113" s="66">
        <v>-703612655000</v>
      </c>
      <c r="F113" s="66">
        <v>-652253290000</v>
      </c>
      <c r="G113" s="66">
        <v>-739951017000</v>
      </c>
      <c r="H113" s="66">
        <v>-889903658000</v>
      </c>
      <c r="I113" s="66">
        <v>-1097567297000</v>
      </c>
      <c r="J113" s="66"/>
      <c r="K113" s="66"/>
      <c r="L113" s="66"/>
      <c r="M113" s="66"/>
      <c r="N113" s="66"/>
    </row>
    <row r="114" spans="2:14">
      <c r="B114" s="86" t="s">
        <v>422</v>
      </c>
      <c r="C114" s="64">
        <f t="shared" ref="C114:F114" si="85">+C112+C113</f>
        <v>0</v>
      </c>
      <c r="D114" s="64">
        <f>+D112+D113</f>
        <v>140693030000</v>
      </c>
      <c r="E114" s="64">
        <f t="shared" si="85"/>
        <v>142937833000</v>
      </c>
      <c r="F114" s="64">
        <f t="shared" si="85"/>
        <v>128202525000</v>
      </c>
      <c r="G114" s="64">
        <f>+G112+G113</f>
        <v>157247411000</v>
      </c>
      <c r="H114" s="64">
        <f t="shared" ref="H114:N114" si="86">+H112+H113</f>
        <v>178208484000</v>
      </c>
      <c r="I114" s="64">
        <f t="shared" si="86"/>
        <v>202590295000</v>
      </c>
      <c r="J114" s="64">
        <f t="shared" si="86"/>
        <v>0</v>
      </c>
      <c r="K114" s="64">
        <f t="shared" si="86"/>
        <v>0</v>
      </c>
      <c r="L114" s="64">
        <f t="shared" si="86"/>
        <v>0</v>
      </c>
      <c r="M114" s="64">
        <f t="shared" si="86"/>
        <v>0</v>
      </c>
      <c r="N114" s="64">
        <f t="shared" si="86"/>
        <v>0</v>
      </c>
    </row>
    <row r="115" spans="2:14">
      <c r="B115" s="85" t="s">
        <v>592</v>
      </c>
      <c r="C115" s="117"/>
      <c r="D115" s="117">
        <v>1884912000</v>
      </c>
      <c r="E115" s="117">
        <v>36875030000</v>
      </c>
      <c r="F115" s="117">
        <v>1736465000</v>
      </c>
      <c r="G115" s="117">
        <v>6235306000</v>
      </c>
      <c r="H115" s="117">
        <v>1724141000</v>
      </c>
      <c r="I115" s="117">
        <v>9958124000</v>
      </c>
      <c r="J115" s="117"/>
      <c r="K115" s="117"/>
      <c r="L115" s="117"/>
      <c r="M115" s="117"/>
      <c r="N115" s="117"/>
    </row>
    <row r="116" spans="2:14">
      <c r="B116" s="85" t="s">
        <v>536</v>
      </c>
      <c r="C116" s="117"/>
      <c r="D116" s="117"/>
      <c r="E116" s="117"/>
      <c r="F116" s="117"/>
      <c r="G116" s="117"/>
      <c r="H116" s="117"/>
      <c r="I116" s="117"/>
      <c r="J116" s="117"/>
      <c r="K116" s="117"/>
      <c r="L116" s="117"/>
      <c r="M116" s="117"/>
      <c r="N116" s="117"/>
    </row>
    <row r="117" spans="2:14">
      <c r="B117" s="85" t="s">
        <v>537</v>
      </c>
      <c r="C117" s="117"/>
      <c r="D117" s="117">
        <v>-84941073000</v>
      </c>
      <c r="E117" s="117">
        <v>-89468435000</v>
      </c>
      <c r="F117" s="117">
        <v>-80038546000</v>
      </c>
      <c r="G117" s="117">
        <v>-84785210000</v>
      </c>
      <c r="H117" s="117">
        <v>-102265695000</v>
      </c>
      <c r="I117" s="117">
        <v>-121839605000</v>
      </c>
      <c r="J117" s="117"/>
      <c r="K117" s="117"/>
      <c r="L117" s="117"/>
      <c r="M117" s="117"/>
      <c r="N117" s="117"/>
    </row>
    <row r="118" spans="2:14">
      <c r="B118" s="85" t="s">
        <v>593</v>
      </c>
      <c r="C118" s="117"/>
      <c r="D118" s="117">
        <v>-10262748000</v>
      </c>
      <c r="E118" s="117">
        <v>-14430145000</v>
      </c>
      <c r="F118" s="117">
        <v>-28993922000</v>
      </c>
      <c r="G118" s="117">
        <v>-9443308000</v>
      </c>
      <c r="H118" s="117">
        <v>-10512647000</v>
      </c>
      <c r="I118" s="117">
        <v>-13662934000</v>
      </c>
      <c r="J118" s="117"/>
      <c r="K118" s="117"/>
      <c r="L118" s="117"/>
      <c r="M118" s="117"/>
      <c r="N118" s="117"/>
    </row>
    <row r="119" spans="2:14">
      <c r="B119" s="86" t="s">
        <v>428</v>
      </c>
      <c r="C119" s="64">
        <f t="shared" ref="C119:G119" si="87">+C114+C118+C115+C116+C117</f>
        <v>0</v>
      </c>
      <c r="D119" s="64">
        <f t="shared" si="87"/>
        <v>47374121000</v>
      </c>
      <c r="E119" s="64">
        <f t="shared" si="87"/>
        <v>75914283000</v>
      </c>
      <c r="F119" s="64">
        <f t="shared" si="87"/>
        <v>20906522000</v>
      </c>
      <c r="G119" s="64">
        <f t="shared" si="87"/>
        <v>69254199000</v>
      </c>
      <c r="H119" s="64">
        <f>+H114+H118+H115+H116+H117</f>
        <v>67154283000</v>
      </c>
      <c r="I119" s="64">
        <f t="shared" ref="I119:N119" si="88">+I114+I118+I115+I116+I117</f>
        <v>77045880000</v>
      </c>
      <c r="J119" s="64">
        <f t="shared" si="88"/>
        <v>0</v>
      </c>
      <c r="K119" s="64">
        <f t="shared" si="88"/>
        <v>0</v>
      </c>
      <c r="L119" s="64">
        <f t="shared" si="88"/>
        <v>0</v>
      </c>
      <c r="M119" s="64">
        <f t="shared" si="88"/>
        <v>0</v>
      </c>
      <c r="N119" s="64">
        <f t="shared" si="88"/>
        <v>0</v>
      </c>
    </row>
    <row r="120" spans="2:14">
      <c r="B120" s="85" t="s">
        <v>429</v>
      </c>
      <c r="C120" s="66"/>
      <c r="D120" s="66">
        <v>8146488000</v>
      </c>
      <c r="E120" s="66">
        <v>7389607000</v>
      </c>
      <c r="F120" s="66">
        <v>7742242000</v>
      </c>
      <c r="G120" s="131">
        <v>7226508000</v>
      </c>
      <c r="H120" s="131">
        <v>15497983000</v>
      </c>
      <c r="I120" s="131">
        <v>16662139000</v>
      </c>
      <c r="J120" s="131"/>
      <c r="K120" s="131"/>
      <c r="L120" s="131"/>
      <c r="M120" s="131"/>
      <c r="N120" s="131"/>
    </row>
    <row r="121" spans="2:14">
      <c r="B121" s="85" t="s">
        <v>430</v>
      </c>
      <c r="C121" s="66"/>
      <c r="D121" s="66">
        <v>-14157346000</v>
      </c>
      <c r="E121" s="66">
        <v>-17852395000</v>
      </c>
      <c r="F121" s="66">
        <v>-16906307000</v>
      </c>
      <c r="G121" s="131">
        <v>-15675342000</v>
      </c>
      <c r="H121" s="131">
        <v>-24008800000</v>
      </c>
      <c r="I121" s="131">
        <v>-31310620000</v>
      </c>
      <c r="J121" s="131"/>
      <c r="K121" s="131"/>
      <c r="L121" s="131"/>
      <c r="M121" s="131"/>
      <c r="N121" s="131"/>
    </row>
    <row r="122" spans="2:14">
      <c r="B122" s="85" t="s">
        <v>431</v>
      </c>
      <c r="C122" s="66"/>
      <c r="D122" s="66">
        <v>157871000</v>
      </c>
      <c r="E122" s="66">
        <v>983996000</v>
      </c>
      <c r="F122" s="66">
        <v>614853000</v>
      </c>
      <c r="G122" s="131">
        <v>-2400307000</v>
      </c>
      <c r="H122" s="131">
        <v>-1350776000</v>
      </c>
      <c r="I122" s="131">
        <v>-22497000</v>
      </c>
      <c r="J122" s="131"/>
      <c r="K122" s="131"/>
      <c r="L122" s="131"/>
      <c r="M122" s="131"/>
      <c r="N122" s="131"/>
    </row>
    <row r="123" spans="2:14">
      <c r="B123" s="85" t="s">
        <v>432</v>
      </c>
      <c r="C123" s="66"/>
      <c r="D123" s="66">
        <v>452031000</v>
      </c>
      <c r="E123" s="66">
        <v>-1084928000</v>
      </c>
      <c r="F123" s="66">
        <v>-806591000</v>
      </c>
      <c r="G123" s="131">
        <v>6696507000</v>
      </c>
      <c r="H123" s="131">
        <v>-1778685000</v>
      </c>
      <c r="I123" s="131">
        <v>-4332714000</v>
      </c>
      <c r="J123" s="131"/>
      <c r="K123" s="131"/>
      <c r="L123" s="131"/>
      <c r="M123" s="131"/>
      <c r="N123" s="131"/>
    </row>
    <row r="124" spans="2:14">
      <c r="B124" s="85" t="s">
        <v>433</v>
      </c>
      <c r="C124" s="66"/>
      <c r="D124" s="66">
        <v>-2142340000</v>
      </c>
      <c r="E124" s="66">
        <v>-5062577000</v>
      </c>
      <c r="F124" s="66">
        <v>-920644000</v>
      </c>
      <c r="G124" s="131">
        <v>576464000</v>
      </c>
      <c r="H124" s="131">
        <v>-805002000</v>
      </c>
      <c r="I124" s="131">
        <v>-3398254000</v>
      </c>
      <c r="J124" s="131"/>
      <c r="K124" s="131"/>
      <c r="L124" s="131"/>
      <c r="M124" s="131"/>
      <c r="N124" s="131"/>
    </row>
    <row r="125" spans="2:14">
      <c r="B125" s="86" t="s">
        <v>362</v>
      </c>
      <c r="C125" s="64">
        <f t="shared" ref="C125:E125" si="89">+C119+C120+C121+C122+C123+C124</f>
        <v>0</v>
      </c>
      <c r="D125" s="64">
        <f t="shared" si="89"/>
        <v>39830825000</v>
      </c>
      <c r="E125" s="64">
        <f t="shared" si="89"/>
        <v>60287986000</v>
      </c>
      <c r="F125" s="64">
        <f>+F119+F120+F121+F122+F123+F124</f>
        <v>10630075000</v>
      </c>
      <c r="G125" s="64">
        <f t="shared" ref="G125:N125" si="90">+G119+G120+G121+G122+G123+G124</f>
        <v>65678029000</v>
      </c>
      <c r="H125" s="64">
        <f t="shared" si="90"/>
        <v>54709003000</v>
      </c>
      <c r="I125" s="64">
        <f t="shared" si="90"/>
        <v>54643934000</v>
      </c>
      <c r="J125" s="64">
        <f t="shared" si="90"/>
        <v>0</v>
      </c>
      <c r="K125" s="64">
        <f t="shared" si="90"/>
        <v>0</v>
      </c>
      <c r="L125" s="64">
        <f t="shared" si="90"/>
        <v>0</v>
      </c>
      <c r="M125" s="64">
        <f t="shared" si="90"/>
        <v>0</v>
      </c>
      <c r="N125" s="64">
        <f t="shared" si="90"/>
        <v>0</v>
      </c>
    </row>
    <row r="126" spans="2:14">
      <c r="B126" s="85" t="s">
        <v>363</v>
      </c>
      <c r="C126" s="66"/>
      <c r="D126" s="66">
        <v>-28712880000</v>
      </c>
      <c r="E126" s="66">
        <v>-35807835000</v>
      </c>
      <c r="F126" s="66">
        <v>-8856378000</v>
      </c>
      <c r="G126" s="91">
        <v>-29335466000</v>
      </c>
      <c r="H126" s="91">
        <v>-17942688000</v>
      </c>
      <c r="I126" s="91">
        <v>-15925081000</v>
      </c>
      <c r="J126" s="91"/>
      <c r="K126" s="91"/>
      <c r="L126" s="91"/>
      <c r="M126" s="91"/>
      <c r="N126" s="91"/>
    </row>
    <row r="127" spans="2:14">
      <c r="B127" s="84" t="s">
        <v>365</v>
      </c>
      <c r="C127" s="130">
        <f t="shared" ref="C127:G127" si="91">+C125+C126</f>
        <v>0</v>
      </c>
      <c r="D127" s="130">
        <f t="shared" si="91"/>
        <v>11117945000</v>
      </c>
      <c r="E127" s="130">
        <f t="shared" si="91"/>
        <v>24480151000</v>
      </c>
      <c r="F127" s="130">
        <f t="shared" si="91"/>
        <v>1773697000</v>
      </c>
      <c r="G127" s="130">
        <f t="shared" si="91"/>
        <v>36342563000</v>
      </c>
      <c r="H127" s="130">
        <f>+H125+H126</f>
        <v>36766315000</v>
      </c>
      <c r="I127" s="130">
        <f t="shared" ref="I127:N127" si="92">+I125+I126</f>
        <v>38718853000</v>
      </c>
      <c r="J127" s="130">
        <f t="shared" si="92"/>
        <v>0</v>
      </c>
      <c r="K127" s="130">
        <f t="shared" si="92"/>
        <v>0</v>
      </c>
      <c r="L127" s="130">
        <f t="shared" si="92"/>
        <v>0</v>
      </c>
      <c r="M127" s="130">
        <f t="shared" si="92"/>
        <v>0</v>
      </c>
      <c r="N127" s="130">
        <f t="shared" si="92"/>
        <v>0</v>
      </c>
    </row>
    <row r="128" spans="2:14" ht="28.5">
      <c r="B128" s="87" t="s">
        <v>435</v>
      </c>
      <c r="C128" s="66"/>
      <c r="D128" s="66">
        <v>432473000</v>
      </c>
      <c r="E128" s="66">
        <v>1373358000</v>
      </c>
      <c r="F128" s="66">
        <v>1314098000</v>
      </c>
      <c r="G128" s="91">
        <v>1478253000</v>
      </c>
      <c r="H128" s="91">
        <v>1264675000</v>
      </c>
      <c r="I128" s="91">
        <v>567981000</v>
      </c>
      <c r="J128" s="91"/>
      <c r="K128" s="91"/>
      <c r="L128" s="91"/>
      <c r="M128" s="91"/>
      <c r="N128" s="91"/>
    </row>
    <row r="129" spans="2:14">
      <c r="B129" s="84" t="s">
        <v>436</v>
      </c>
      <c r="C129" s="66">
        <f>+C127-C128</f>
        <v>0</v>
      </c>
      <c r="D129" s="66">
        <f t="shared" ref="D129:I129" si="93">+D127-D128</f>
        <v>10685472000</v>
      </c>
      <c r="E129" s="66">
        <f t="shared" si="93"/>
        <v>23106793000</v>
      </c>
      <c r="F129" s="66">
        <f t="shared" si="93"/>
        <v>459599000</v>
      </c>
      <c r="G129" s="66">
        <f t="shared" si="93"/>
        <v>34864310000</v>
      </c>
      <c r="H129" s="66">
        <f t="shared" si="93"/>
        <v>35501640000</v>
      </c>
      <c r="I129" s="66">
        <f t="shared" si="93"/>
        <v>38150872000</v>
      </c>
      <c r="J129" s="66">
        <f t="shared" ref="J129:N129" si="94">+J127-J128</f>
        <v>0</v>
      </c>
      <c r="K129" s="66">
        <f t="shared" si="94"/>
        <v>0</v>
      </c>
      <c r="L129" s="66">
        <f t="shared" si="94"/>
        <v>0</v>
      </c>
      <c r="M129" s="66">
        <f t="shared" si="94"/>
        <v>0</v>
      </c>
      <c r="N129" s="66">
        <f t="shared" si="94"/>
        <v>0</v>
      </c>
    </row>
    <row r="130" spans="2:14">
      <c r="B130" s="84" t="s">
        <v>366</v>
      </c>
      <c r="C130" s="111"/>
      <c r="D130" s="111">
        <v>12.27</v>
      </c>
      <c r="E130" s="111">
        <v>26.53</v>
      </c>
      <c r="F130" s="134">
        <v>0.53</v>
      </c>
      <c r="G130" s="134">
        <v>40.03</v>
      </c>
      <c r="H130" s="134">
        <v>40.76</v>
      </c>
      <c r="I130" s="134">
        <v>43.8</v>
      </c>
      <c r="J130" s="134"/>
      <c r="K130" s="134"/>
      <c r="L130" s="134"/>
      <c r="M130" s="134"/>
      <c r="N130" s="134"/>
    </row>
    <row r="132" spans="2:14" ht="14.65" thickBot="1">
      <c r="B132" s="75" t="s">
        <v>367</v>
      </c>
    </row>
    <row r="133" spans="2:14" ht="14.65" thickBot="1">
      <c r="B133" s="82" t="s">
        <v>308</v>
      </c>
      <c r="C133" s="88">
        <v>2017</v>
      </c>
      <c r="D133" s="88">
        <v>2018</v>
      </c>
      <c r="E133" s="88">
        <v>2019</v>
      </c>
      <c r="F133" s="88">
        <v>2020</v>
      </c>
      <c r="G133" s="88">
        <v>2021</v>
      </c>
      <c r="H133" s="88">
        <v>2022</v>
      </c>
      <c r="I133" s="88">
        <v>2023</v>
      </c>
      <c r="J133" s="88">
        <v>2024</v>
      </c>
      <c r="K133" s="88">
        <v>2025</v>
      </c>
      <c r="L133" s="88">
        <v>2026</v>
      </c>
      <c r="M133" s="88">
        <v>2027</v>
      </c>
      <c r="N133" s="88">
        <v>2028</v>
      </c>
    </row>
    <row r="134" spans="2:14">
      <c r="B134" s="83" t="s">
        <v>368</v>
      </c>
      <c r="C134" s="90"/>
      <c r="D134" s="90">
        <v>39657187000</v>
      </c>
      <c r="E134" s="90">
        <v>50861590000</v>
      </c>
      <c r="F134" s="90">
        <v>121772285000</v>
      </c>
      <c r="G134" s="90">
        <v>86198167000</v>
      </c>
      <c r="H134" s="90">
        <v>58642930000</v>
      </c>
      <c r="I134" s="90">
        <v>52481822000</v>
      </c>
      <c r="J134" s="90"/>
      <c r="K134" s="90"/>
      <c r="L134" s="90"/>
      <c r="M134" s="90"/>
      <c r="N134" s="90"/>
    </row>
    <row r="135" spans="2:14">
      <c r="B135" s="86" t="s">
        <v>369</v>
      </c>
      <c r="C135" s="91"/>
      <c r="D135" s="93">
        <v>-2770173000</v>
      </c>
      <c r="E135" s="93">
        <v>-35252666000</v>
      </c>
      <c r="F135" s="66">
        <v>-42723099000</v>
      </c>
      <c r="G135" s="93">
        <v>-28177451000</v>
      </c>
      <c r="H135" s="66">
        <v>-39897411000</v>
      </c>
      <c r="I135" s="66">
        <v>-25153477000</v>
      </c>
      <c r="J135" s="66"/>
      <c r="K135" s="66"/>
      <c r="L135" s="66"/>
      <c r="M135" s="66"/>
      <c r="N135" s="66"/>
    </row>
    <row r="136" spans="2:14">
      <c r="B136" s="85" t="s">
        <v>370</v>
      </c>
      <c r="C136" s="93"/>
      <c r="D136" s="93">
        <v>-26666056000</v>
      </c>
      <c r="E136" s="93">
        <v>-61658800000</v>
      </c>
      <c r="F136" s="93">
        <v>-46612451000</v>
      </c>
      <c r="G136" s="93">
        <v>-32118717000</v>
      </c>
      <c r="H136" s="93">
        <v>-28200116000</v>
      </c>
      <c r="I136" s="93">
        <v>-40349440000</v>
      </c>
      <c r="J136" s="93"/>
      <c r="K136" s="93"/>
      <c r="L136" s="93"/>
      <c r="M136" s="93"/>
      <c r="N136" s="93"/>
    </row>
    <row r="137" spans="2:14">
      <c r="B137" s="86" t="s">
        <v>372</v>
      </c>
      <c r="C137" s="120"/>
      <c r="D137" s="120">
        <v>-29777966000</v>
      </c>
      <c r="E137" s="64">
        <v>70641720000</v>
      </c>
      <c r="F137" s="120">
        <v>-21310411000</v>
      </c>
      <c r="G137" s="120">
        <v>-83854932000</v>
      </c>
      <c r="H137" s="120">
        <v>-45996905000</v>
      </c>
      <c r="I137" s="120">
        <v>-43878843000</v>
      </c>
      <c r="J137" s="120"/>
      <c r="K137" s="120"/>
      <c r="L137" s="120"/>
      <c r="M137" s="120"/>
      <c r="N137" s="120"/>
    </row>
    <row r="138" spans="2:14">
      <c r="B138" s="85" t="s">
        <v>373</v>
      </c>
      <c r="C138" s="93"/>
      <c r="D138" s="93">
        <v>-28404805000</v>
      </c>
      <c r="E138" s="66">
        <v>-11084416000</v>
      </c>
      <c r="F138" s="93">
        <v>-7425029000</v>
      </c>
      <c r="G138" s="93">
        <v>-27568189000</v>
      </c>
      <c r="H138" s="93">
        <v>-7742744000</v>
      </c>
      <c r="I138" s="93">
        <v>-22207673000</v>
      </c>
      <c r="J138" s="93"/>
      <c r="K138" s="93"/>
      <c r="L138" s="93"/>
      <c r="M138" s="93"/>
      <c r="N138" s="93"/>
    </row>
    <row r="139" spans="2:14">
      <c r="B139" s="85" t="s">
        <v>437</v>
      </c>
      <c r="C139" s="93"/>
      <c r="D139" s="93">
        <v>-7491695000</v>
      </c>
      <c r="E139" s="66">
        <v>-11742079000</v>
      </c>
      <c r="F139" s="93">
        <v>-9667057000</v>
      </c>
      <c r="G139" s="93">
        <v>-8223413000</v>
      </c>
      <c r="H139" s="93">
        <v>-14704375000</v>
      </c>
      <c r="I139" s="93">
        <v>-18331188000</v>
      </c>
      <c r="J139" s="93"/>
      <c r="K139" s="93"/>
      <c r="L139" s="93"/>
      <c r="M139" s="93"/>
      <c r="N139" s="93"/>
    </row>
    <row r="140" spans="2:14">
      <c r="B140" s="86" t="s">
        <v>375</v>
      </c>
      <c r="C140" s="64"/>
      <c r="D140" s="64">
        <v>8547585000</v>
      </c>
      <c r="E140" s="64">
        <v>89346659000</v>
      </c>
      <c r="F140" s="64">
        <v>49770159000</v>
      </c>
      <c r="G140" s="64">
        <v>-11938069000</v>
      </c>
      <c r="H140" s="64"/>
      <c r="I140" s="64"/>
      <c r="J140" s="64"/>
      <c r="K140" s="64"/>
      <c r="L140" s="64"/>
      <c r="M140" s="64"/>
      <c r="N140" s="64"/>
    </row>
    <row r="141" spans="2:14">
      <c r="B141" s="85"/>
      <c r="C141" s="66"/>
      <c r="D141" s="66"/>
      <c r="E141" s="66"/>
      <c r="F141" s="66"/>
      <c r="G141" s="66"/>
      <c r="H141" s="66"/>
      <c r="I141" s="66"/>
      <c r="J141" s="66"/>
      <c r="K141" s="66"/>
      <c r="L141" s="66"/>
      <c r="M141" s="66"/>
      <c r="N141" s="66"/>
    </row>
    <row r="142" spans="2:14">
      <c r="B142" s="84" t="s">
        <v>376</v>
      </c>
      <c r="C142" s="131">
        <f t="shared" ref="C142:G142" si="95">+C134+C136+C139</f>
        <v>0</v>
      </c>
      <c r="D142" s="131">
        <f t="shared" si="95"/>
        <v>5499436000</v>
      </c>
      <c r="E142" s="131">
        <f t="shared" si="95"/>
        <v>-22539289000</v>
      </c>
      <c r="F142" s="131">
        <f t="shared" si="95"/>
        <v>65492777000</v>
      </c>
      <c r="G142" s="131">
        <f t="shared" si="95"/>
        <v>45856037000</v>
      </c>
      <c r="H142" s="131">
        <f>+H134+H136+H139</f>
        <v>15738439000</v>
      </c>
      <c r="I142" s="131">
        <f t="shared" ref="I142:N142" si="96">+I134+I136+I139</f>
        <v>-6198806000</v>
      </c>
      <c r="J142" s="131">
        <f t="shared" si="96"/>
        <v>0</v>
      </c>
      <c r="K142" s="131">
        <f t="shared" si="96"/>
        <v>0</v>
      </c>
      <c r="L142" s="131">
        <f t="shared" si="96"/>
        <v>0</v>
      </c>
      <c r="M142" s="131">
        <f t="shared" si="96"/>
        <v>0</v>
      </c>
      <c r="N142" s="131">
        <f t="shared" si="96"/>
        <v>0</v>
      </c>
    </row>
  </sheetData>
  <conditionalFormatting sqref="C60:H66 D67:H67 C68:H100">
    <cfRule type="cellIs" dxfId="35" priority="18" operator="lessThan">
      <formula>0</formula>
    </cfRule>
  </conditionalFormatting>
  <conditionalFormatting sqref="C112:N130">
    <cfRule type="cellIs" dxfId="34" priority="2" operator="lessThan">
      <formula>0</formula>
    </cfRule>
  </conditionalFormatting>
  <conditionalFormatting sqref="C134:N142">
    <cfRule type="cellIs" dxfId="33" priority="1" operator="lessThan">
      <formula>0</formula>
    </cfRule>
  </conditionalFormatting>
  <conditionalFormatting sqref="I60:N100 C102:N108">
    <cfRule type="cellIs" dxfId="32" priority="3" operator="lessThan">
      <formula>0</formula>
    </cfRule>
  </conditionalFormatting>
  <pageMargins left="0.7" right="0.7" top="0.75" bottom="0.75" header="0.3" footer="0.3"/>
  <pageSetup paperSize="9" orientation="portrait" r:id="rId1"/>
  <legacy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91E25-043F-4770-862B-437D70855E4A}">
  <dimension ref="B1:AD155"/>
  <sheetViews>
    <sheetView zoomScale="70" zoomScaleNormal="70" workbookViewId="0">
      <pane xSplit="2" ySplit="6" topLeftCell="E41" activePane="bottomRight" state="frozen"/>
      <selection pane="bottomRight" activeCell="I47" sqref="I47"/>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6" width="38" bestFit="1" customWidth="1"/>
    <col min="7" max="10" width="37" bestFit="1" customWidth="1"/>
    <col min="11" max="11" width="35.5703125" customWidth="1"/>
    <col min="12" max="12" width="37.5703125" customWidth="1"/>
    <col min="13" max="14" width="28.7109375" customWidth="1"/>
    <col min="16" max="16" width="25.5703125" customWidth="1"/>
    <col min="17" max="17" width="21.42578125" customWidth="1"/>
    <col min="18" max="18" width="16.85546875" customWidth="1"/>
    <col min="19" max="19" width="18.7109375" customWidth="1"/>
    <col min="20" max="20" width="15.7109375" customWidth="1"/>
    <col min="21" max="21" width="18.85546875" customWidth="1"/>
    <col min="22" max="30" width="21" customWidth="1"/>
  </cols>
  <sheetData>
    <row r="1" spans="2:30" ht="15">
      <c r="G1" t="s">
        <v>812</v>
      </c>
      <c r="P1" s="754" t="s">
        <v>180</v>
      </c>
      <c r="Q1" s="755" t="s">
        <v>180</v>
      </c>
      <c r="R1" s="755" t="s">
        <v>180</v>
      </c>
      <c r="S1" s="755" t="e" vm="56">
        <v>#VALUE!</v>
      </c>
      <c r="T1" s="756" cm="1">
        <f t="array" aca="1" ref="T1" ca="1">_FV(S1,"Apertura")</f>
        <v>916</v>
      </c>
      <c r="U1" s="755" t="s">
        <v>180</v>
      </c>
      <c r="V1" s="757" t="s">
        <v>180</v>
      </c>
      <c r="W1" s="747"/>
      <c r="X1" s="747"/>
      <c r="Y1" s="747"/>
      <c r="Z1" s="747"/>
      <c r="AA1" s="747"/>
      <c r="AB1" s="747"/>
      <c r="AC1" s="747"/>
      <c r="AD1" s="747"/>
    </row>
    <row r="2" spans="2:30" ht="21">
      <c r="B2" s="313">
        <f ca="1">TODAY()-1</f>
        <v>46105</v>
      </c>
      <c r="C2" s="314"/>
      <c r="D2" s="344" t="s">
        <v>265</v>
      </c>
      <c r="E2" s="772" t="s">
        <v>266</v>
      </c>
      <c r="F2" s="774" t="s">
        <v>813</v>
      </c>
      <c r="G2" s="770">
        <v>0.09</v>
      </c>
      <c r="P2" s="1414" t="s">
        <v>814</v>
      </c>
      <c r="Q2" s="1415"/>
      <c r="R2" s="747" t="s">
        <v>180</v>
      </c>
      <c r="S2" s="747" t="e" vm="57">
        <v>#VALUE!</v>
      </c>
      <c r="T2" s="749" cm="1">
        <f t="array" aca="1" ref="T2" ca="1">_FV(S2,"Apertura")</f>
        <v>1063.1099999999999</v>
      </c>
      <c r="U2" s="747" t="s">
        <v>180</v>
      </c>
      <c r="V2" s="759" t="s">
        <v>180</v>
      </c>
      <c r="W2" s="747"/>
      <c r="X2" s="747"/>
      <c r="Y2" s="747"/>
      <c r="Z2" s="747"/>
      <c r="AA2" s="747"/>
      <c r="AB2" s="747"/>
      <c r="AC2" s="747"/>
      <c r="AD2" s="747"/>
    </row>
    <row r="3" spans="2:30" ht="26.25">
      <c r="B3" s="376" cm="1">
        <f t="array" aca="1" ref="B3" ca="1">_FV(B6,"Precio")</f>
        <v>4290</v>
      </c>
      <c r="C3" s="775">
        <f ca="1">D3/B3</f>
        <v>7.9567132867132878E-2</v>
      </c>
      <c r="D3" s="346">
        <f>AVERAGE(G47:I47)</f>
        <v>341.34300000000002</v>
      </c>
      <c r="E3" s="771">
        <f>AVERAGE(G46:I46)</f>
        <v>450.59866666666659</v>
      </c>
      <c r="F3" s="773">
        <f>$D$3*(1+$G$2)/G3</f>
        <v>4650.7983750000003</v>
      </c>
      <c r="G3" s="726">
        <v>0.08</v>
      </c>
      <c r="H3" s="726">
        <f ca="1">1-B3/F3</f>
        <v>7.7577728791564771E-2</v>
      </c>
      <c r="I3" t="s">
        <v>815</v>
      </c>
      <c r="P3" s="758" t="s">
        <v>180</v>
      </c>
      <c r="Q3" s="747" t="s">
        <v>180</v>
      </c>
      <c r="R3" s="747" t="s">
        <v>816</v>
      </c>
      <c r="S3" s="747">
        <v>1662759593</v>
      </c>
      <c r="T3" s="747" t="s">
        <v>817</v>
      </c>
      <c r="U3" s="747" t="s">
        <v>180</v>
      </c>
      <c r="V3" s="759" t="s">
        <v>180</v>
      </c>
      <c r="W3" s="747"/>
      <c r="X3" s="747"/>
      <c r="Y3" s="747"/>
      <c r="Z3" s="747"/>
      <c r="AA3" s="747"/>
      <c r="AB3" s="747"/>
      <c r="AC3" s="747"/>
      <c r="AD3" s="747"/>
    </row>
    <row r="4" spans="2:30" ht="28.5">
      <c r="B4" s="319"/>
      <c r="C4" s="320"/>
      <c r="D4" s="328"/>
      <c r="E4" s="328"/>
      <c r="F4" s="727">
        <f>$D$3*(1+$G$2)/G4</f>
        <v>3720.6387000000004</v>
      </c>
      <c r="G4" s="726">
        <v>0.1</v>
      </c>
      <c r="P4" s="758" t="s">
        <v>180</v>
      </c>
      <c r="Q4" s="747" t="s">
        <v>180</v>
      </c>
      <c r="R4" s="747" t="s">
        <v>300</v>
      </c>
      <c r="S4" s="749" cm="1">
        <f t="array" aca="1" ref="S4" ca="1">_FV(B6,"Precio")</f>
        <v>4290</v>
      </c>
      <c r="T4" s="747" t="s">
        <v>180</v>
      </c>
      <c r="U4" s="747" t="s">
        <v>180</v>
      </c>
      <c r="V4" s="759" t="s">
        <v>180</v>
      </c>
      <c r="W4" s="747"/>
      <c r="X4" s="747"/>
      <c r="Y4" s="747"/>
      <c r="Z4" s="747"/>
      <c r="AA4" s="747"/>
      <c r="AB4" s="747"/>
      <c r="AC4" s="747"/>
      <c r="AD4" s="747"/>
    </row>
    <row r="5" spans="2:30" ht="15">
      <c r="P5" s="758"/>
      <c r="Q5" s="747" t="s">
        <v>180</v>
      </c>
      <c r="R5" s="747" t="s">
        <v>818</v>
      </c>
      <c r="S5" s="753">
        <f ca="1">S3*S4</f>
        <v>7133238653970</v>
      </c>
      <c r="T5" s="747" t="s">
        <v>180</v>
      </c>
      <c r="U5" s="747"/>
      <c r="V5" s="759" t="s">
        <v>180</v>
      </c>
      <c r="W5" s="747"/>
      <c r="X5" s="747"/>
      <c r="Y5" s="747"/>
      <c r="Z5" s="747"/>
      <c r="AA5" s="747"/>
      <c r="AB5" s="747"/>
      <c r="AC5" s="747"/>
      <c r="AD5" s="747"/>
    </row>
    <row r="6" spans="2:30" ht="33.75">
      <c r="B6" s="3" t="e" vm="58">
        <v>#VALUE!</v>
      </c>
      <c r="C6" s="3">
        <v>2017</v>
      </c>
      <c r="D6" s="3">
        <v>2018</v>
      </c>
      <c r="E6" s="3">
        <v>2019</v>
      </c>
      <c r="F6" s="3">
        <v>2020</v>
      </c>
      <c r="G6" s="3">
        <v>2021</v>
      </c>
      <c r="H6" s="3">
        <v>2022</v>
      </c>
      <c r="I6" s="3">
        <v>2023</v>
      </c>
      <c r="J6" s="3">
        <v>2024</v>
      </c>
      <c r="K6" s="3">
        <v>2025</v>
      </c>
      <c r="L6" s="3">
        <v>2026</v>
      </c>
      <c r="M6" s="3">
        <v>2027</v>
      </c>
      <c r="N6" s="3">
        <v>2028</v>
      </c>
      <c r="P6" s="760" t="s">
        <v>180</v>
      </c>
      <c r="Q6" s="748" t="s">
        <v>819</v>
      </c>
      <c r="R6" s="748" t="s">
        <v>817</v>
      </c>
      <c r="S6" s="748" t="s">
        <v>820</v>
      </c>
      <c r="T6" s="748" t="s">
        <v>821</v>
      </c>
      <c r="U6" s="748" t="s">
        <v>822</v>
      </c>
      <c r="V6" s="761" t="s">
        <v>823</v>
      </c>
      <c r="W6" s="791"/>
      <c r="X6" s="791"/>
      <c r="Y6" s="791"/>
      <c r="Z6" s="791"/>
      <c r="AA6" s="791"/>
      <c r="AB6" s="791"/>
      <c r="AC6" s="791"/>
      <c r="AD6" s="791"/>
    </row>
    <row r="7" spans="2:30" ht="26.25">
      <c r="B7" s="4" t="s">
        <v>267</v>
      </c>
      <c r="C7" s="5">
        <f>+C70</f>
        <v>876108615000</v>
      </c>
      <c r="D7" s="5">
        <f t="shared" ref="D7:I7" si="0">+D70</f>
        <v>973990965000</v>
      </c>
      <c r="E7" s="5">
        <f t="shared" si="0"/>
        <v>1025848202000</v>
      </c>
      <c r="F7" s="5">
        <f t="shared" si="0"/>
        <v>1143051372000</v>
      </c>
      <c r="G7" s="5">
        <f t="shared" si="0"/>
        <v>1238877001000</v>
      </c>
      <c r="H7" s="5">
        <f t="shared" si="0"/>
        <v>2491560245000</v>
      </c>
      <c r="I7" s="5">
        <f t="shared" si="0"/>
        <v>3897029041000</v>
      </c>
      <c r="J7" s="5">
        <f t="shared" ref="J7:K7" si="1">+J70</f>
        <v>3464780325000</v>
      </c>
      <c r="K7" s="5">
        <f t="shared" si="1"/>
        <v>3745464243000</v>
      </c>
      <c r="L7" s="5"/>
      <c r="M7" s="795"/>
      <c r="N7" s="795"/>
      <c r="P7" s="760" t="e" vm="19">
        <v>#VALUE!</v>
      </c>
      <c r="Q7" s="750" cm="1">
        <f t="array" aca="1" ref="Q7" ca="1">_FV(P7,"Precio")</f>
        <v>168</v>
      </c>
      <c r="R7" s="748">
        <v>101017081114</v>
      </c>
      <c r="S7" s="751">
        <f ca="1">Q7*R7</f>
        <v>16970869627152</v>
      </c>
      <c r="T7" s="752">
        <v>0.51259999999999994</v>
      </c>
      <c r="U7" s="751">
        <f ca="1">S7*T7</f>
        <v>8699267770878.1143</v>
      </c>
      <c r="V7" s="762">
        <f ca="1">U7/$S$3</f>
        <v>5231.8253387326058</v>
      </c>
      <c r="W7" s="792"/>
      <c r="X7" s="792"/>
      <c r="Y7" s="792"/>
      <c r="Z7" s="792"/>
      <c r="AA7" s="792"/>
      <c r="AB7" s="792"/>
      <c r="AC7" s="792"/>
      <c r="AD7" s="792"/>
    </row>
    <row r="8" spans="2:30" ht="26.25">
      <c r="B8" s="146" t="s">
        <v>377</v>
      </c>
      <c r="C8" s="147"/>
      <c r="D8" s="147"/>
      <c r="E8" s="147"/>
      <c r="F8" s="147"/>
      <c r="G8" s="147"/>
      <c r="H8" s="147"/>
      <c r="I8" s="147"/>
      <c r="J8" s="147"/>
      <c r="K8" s="147"/>
      <c r="L8" s="147"/>
      <c r="M8" s="796"/>
      <c r="N8" s="796"/>
      <c r="P8" s="760" t="e" vm="16">
        <v>#VALUE!</v>
      </c>
      <c r="Q8" s="750" cm="1">
        <f t="array" aca="1" ref="Q8" ca="1">_FV(P8,"Precio")</f>
        <v>5045</v>
      </c>
      <c r="R8" s="748">
        <v>369502872</v>
      </c>
      <c r="S8" s="751">
        <f t="shared" ref="S8:S11" ca="1" si="2">Q8*R8</f>
        <v>1864141989240</v>
      </c>
      <c r="T8" s="752">
        <v>0.65869999999999995</v>
      </c>
      <c r="U8" s="751">
        <f t="shared" ref="U8:U12" ca="1" si="3">S8*T8</f>
        <v>1227910328312.3879</v>
      </c>
      <c r="V8" s="762">
        <f t="shared" ref="V8:V12" ca="1" si="4">U8/$S$3</f>
        <v>738.47736827484232</v>
      </c>
      <c r="W8" s="792"/>
      <c r="X8" s="792"/>
      <c r="Y8" s="792"/>
      <c r="Z8" s="792"/>
      <c r="AA8" s="792"/>
      <c r="AB8" s="792"/>
      <c r="AC8" s="792"/>
      <c r="AD8" s="792"/>
    </row>
    <row r="9" spans="2:30" ht="26.25">
      <c r="B9" s="146" t="s">
        <v>378</v>
      </c>
      <c r="C9" s="147">
        <f>C76</f>
        <v>99512693000</v>
      </c>
      <c r="D9" s="147">
        <f t="shared" ref="D9:K9" si="5">D76</f>
        <v>99026213000</v>
      </c>
      <c r="E9" s="147">
        <f t="shared" si="5"/>
        <v>119803622000</v>
      </c>
      <c r="F9" s="147">
        <f t="shared" si="5"/>
        <v>114724579000</v>
      </c>
      <c r="G9" s="147">
        <f t="shared" si="5"/>
        <v>132546221000</v>
      </c>
      <c r="H9" s="147">
        <f t="shared" si="5"/>
        <v>227263353000</v>
      </c>
      <c r="I9" s="147">
        <f t="shared" si="5"/>
        <v>224968123000</v>
      </c>
      <c r="J9" s="147">
        <f t="shared" si="5"/>
        <v>205464073000</v>
      </c>
      <c r="K9" s="147">
        <f t="shared" si="5"/>
        <v>250933569000</v>
      </c>
      <c r="L9" s="147"/>
      <c r="M9" s="796"/>
      <c r="N9" s="796"/>
      <c r="P9" s="760" t="e" vm="59">
        <v>#VALUE!</v>
      </c>
      <c r="Q9" s="750" cm="1">
        <f t="array" aca="1" ref="Q9" ca="1">_FV(P9,"Precio")</f>
        <v>153</v>
      </c>
      <c r="R9" s="748">
        <v>9736791983</v>
      </c>
      <c r="S9" s="751">
        <f t="shared" ca="1" si="2"/>
        <v>1489729173399</v>
      </c>
      <c r="T9" s="752">
        <v>0.626</v>
      </c>
      <c r="U9" s="751">
        <f t="shared" ca="1" si="3"/>
        <v>932570462547.77405</v>
      </c>
      <c r="V9" s="762">
        <f t="shared" ca="1" si="4"/>
        <v>560.85706344667835</v>
      </c>
      <c r="W9" s="792"/>
      <c r="X9" s="792"/>
      <c r="Y9" s="792"/>
      <c r="Z9" s="792"/>
      <c r="AA9" s="792"/>
      <c r="AB9" s="792"/>
      <c r="AC9" s="792"/>
      <c r="AD9" s="792"/>
    </row>
    <row r="10" spans="2:30" ht="26.25">
      <c r="B10" s="4" t="s">
        <v>824</v>
      </c>
      <c r="C10" s="5">
        <f>+C79</f>
        <v>4282127528000</v>
      </c>
      <c r="D10" s="5">
        <f t="shared" ref="D10:I10" si="6">+D79</f>
        <v>4835596807000</v>
      </c>
      <c r="E10" s="5">
        <f t="shared" si="6"/>
        <v>5397020859000</v>
      </c>
      <c r="F10" s="5">
        <f t="shared" si="6"/>
        <v>5647781818000</v>
      </c>
      <c r="G10" s="5">
        <f t="shared" si="6"/>
        <v>8951385564000</v>
      </c>
      <c r="H10" s="5">
        <f t="shared" si="6"/>
        <v>11975726818000</v>
      </c>
      <c r="I10" s="5">
        <f t="shared" si="6"/>
        <v>9665902419000</v>
      </c>
      <c r="J10" s="5">
        <f t="shared" ref="J10:K10" si="7">+J79</f>
        <v>11065494681000</v>
      </c>
      <c r="K10" s="5">
        <f t="shared" si="7"/>
        <v>10404049445000</v>
      </c>
      <c r="L10" s="5"/>
      <c r="M10" s="795"/>
      <c r="N10" s="795"/>
      <c r="P10" s="760" t="e" vm="60">
        <v>#VALUE!</v>
      </c>
      <c r="Q10" s="750" cm="1">
        <f t="array" aca="1" ref="Q10" ca="1">_FV(P10,"Precio")</f>
        <v>50.5</v>
      </c>
      <c r="R10" s="748">
        <v>51319876188</v>
      </c>
      <c r="S10" s="751">
        <f t="shared" ca="1" si="2"/>
        <v>2591653747494</v>
      </c>
      <c r="T10" s="752">
        <v>0.66449999999999998</v>
      </c>
      <c r="U10" s="751">
        <f t="shared" ca="1" si="3"/>
        <v>1722153915209.7629</v>
      </c>
      <c r="V10" s="762">
        <f t="shared" ca="1" si="4"/>
        <v>1035.7203305034625</v>
      </c>
      <c r="W10" s="792"/>
      <c r="X10" s="792"/>
      <c r="Y10" s="792"/>
      <c r="Z10" s="792"/>
      <c r="AA10" s="792"/>
      <c r="AB10" s="792"/>
      <c r="AC10" s="792"/>
      <c r="AD10" s="792"/>
    </row>
    <row r="11" spans="2:30" ht="26.25">
      <c r="B11" s="4" t="s">
        <v>825</v>
      </c>
      <c r="C11" s="5">
        <f>+C90</f>
        <v>32824183692000</v>
      </c>
      <c r="D11" s="5">
        <f t="shared" ref="D11:I11" si="8">+D90</f>
        <v>35926494810000</v>
      </c>
      <c r="E11" s="5">
        <f t="shared" si="8"/>
        <v>41273328022000</v>
      </c>
      <c r="F11" s="5">
        <f t="shared" si="8"/>
        <v>46095123507000</v>
      </c>
      <c r="G11" s="5">
        <f t="shared" si="8"/>
        <v>51626093671000</v>
      </c>
      <c r="H11" s="5">
        <f t="shared" si="8"/>
        <v>55105262579000</v>
      </c>
      <c r="I11" s="5">
        <f t="shared" si="8"/>
        <v>55785579574000</v>
      </c>
      <c r="J11" s="5">
        <f t="shared" ref="J11:K11" si="9">+J90</f>
        <v>52095438633000</v>
      </c>
      <c r="K11" s="5">
        <f t="shared" si="9"/>
        <v>55445809425000</v>
      </c>
      <c r="L11" s="5"/>
      <c r="M11" s="795"/>
      <c r="N11" s="795"/>
      <c r="P11" s="760" t="e" vm="61">
        <v>#VALUE!</v>
      </c>
      <c r="Q11" s="750" cm="1">
        <f t="array" aca="1" ref="Q11" ca="1">_FV(P11,"Precio")*T2</f>
        <v>126829.02299999999</v>
      </c>
      <c r="R11" s="748">
        <v>44000000</v>
      </c>
      <c r="S11" s="751">
        <f t="shared" ca="1" si="2"/>
        <v>5580477011999.999</v>
      </c>
      <c r="T11" s="752">
        <v>0.193</v>
      </c>
      <c r="U11" s="751">
        <f ca="1">S11*T11</f>
        <v>1077032063315.9999</v>
      </c>
      <c r="V11" s="762">
        <f t="shared" ca="1" si="4"/>
        <v>647.73769332028735</v>
      </c>
      <c r="W11" s="792"/>
      <c r="X11" s="792"/>
      <c r="Y11" s="792"/>
      <c r="Z11" s="792"/>
      <c r="AA11" s="792"/>
      <c r="AB11" s="792"/>
      <c r="AC11" s="792"/>
      <c r="AD11" s="792"/>
    </row>
    <row r="12" spans="2:30" ht="26.25">
      <c r="B12" s="8" t="s">
        <v>272</v>
      </c>
      <c r="C12" s="9">
        <f>+C91</f>
        <v>37982419835000</v>
      </c>
      <c r="D12" s="9">
        <f t="shared" ref="D12:I12" si="10">+D91</f>
        <v>41736082582000</v>
      </c>
      <c r="E12" s="9">
        <f t="shared" si="10"/>
        <v>47696197083000</v>
      </c>
      <c r="F12" s="9">
        <f t="shared" si="10"/>
        <v>52885956697000</v>
      </c>
      <c r="G12" s="9">
        <f t="shared" si="10"/>
        <v>61816356236000</v>
      </c>
      <c r="H12" s="9">
        <f t="shared" si="10"/>
        <v>69572549642000</v>
      </c>
      <c r="I12" s="9">
        <f t="shared" si="10"/>
        <v>69348511034000</v>
      </c>
      <c r="J12" s="9">
        <f t="shared" ref="J12:K12" si="11">+J91</f>
        <v>66625713639000</v>
      </c>
      <c r="K12" s="9">
        <f t="shared" si="11"/>
        <v>69595323113000</v>
      </c>
      <c r="L12" s="9"/>
      <c r="M12" s="797"/>
      <c r="N12" s="797"/>
      <c r="P12" s="748" t="s">
        <v>826</v>
      </c>
      <c r="Q12" s="748"/>
      <c r="R12" s="748" t="s">
        <v>180</v>
      </c>
      <c r="S12" s="751">
        <v>931637000000</v>
      </c>
      <c r="T12" s="752">
        <v>1</v>
      </c>
      <c r="U12" s="766">
        <f t="shared" si="3"/>
        <v>931637000000</v>
      </c>
      <c r="V12" s="767">
        <f t="shared" si="4"/>
        <v>560.29566987438818</v>
      </c>
      <c r="W12" s="792"/>
      <c r="X12" s="792"/>
      <c r="Y12" s="792"/>
      <c r="Z12" s="792"/>
      <c r="AA12" s="792"/>
      <c r="AB12" s="792"/>
      <c r="AC12" s="792"/>
      <c r="AD12" s="792"/>
    </row>
    <row r="13" spans="2:30" ht="26.25">
      <c r="B13" s="10" t="s">
        <v>273</v>
      </c>
      <c r="C13" s="11">
        <f>+C94</f>
        <v>432363697000</v>
      </c>
      <c r="D13" s="11">
        <f t="shared" ref="D13:I13" si="12">+D94</f>
        <v>423167102000</v>
      </c>
      <c r="E13" s="11">
        <f t="shared" si="12"/>
        <v>521269987000</v>
      </c>
      <c r="F13" s="11">
        <f t="shared" si="12"/>
        <v>653352236000</v>
      </c>
      <c r="G13" s="11">
        <f t="shared" si="12"/>
        <v>1306933554000</v>
      </c>
      <c r="H13" s="11">
        <f t="shared" si="12"/>
        <v>2952928556000</v>
      </c>
      <c r="I13" s="11">
        <f t="shared" si="12"/>
        <v>1341580309000</v>
      </c>
      <c r="J13" s="11">
        <f t="shared" ref="J13:K13" si="13">+J94</f>
        <v>776745844000</v>
      </c>
      <c r="K13" s="11">
        <f t="shared" si="13"/>
        <v>854199172000</v>
      </c>
      <c r="L13" s="11"/>
      <c r="M13" s="798"/>
      <c r="N13" s="798"/>
      <c r="P13" s="758" t="s">
        <v>180</v>
      </c>
      <c r="Q13" s="747" t="s">
        <v>180</v>
      </c>
      <c r="R13" s="747" t="s">
        <v>180</v>
      </c>
      <c r="S13" s="747" t="s">
        <v>180</v>
      </c>
      <c r="T13" s="747" t="s">
        <v>180</v>
      </c>
      <c r="U13" s="768" t="s">
        <v>827</v>
      </c>
      <c r="V13" s="769">
        <f ca="1">SUM(V7:V12)</f>
        <v>8774.9134641522633</v>
      </c>
      <c r="W13" s="793"/>
      <c r="X13" s="793"/>
      <c r="Y13" s="793"/>
      <c r="Z13" s="793"/>
      <c r="AA13" s="793"/>
      <c r="AB13" s="793"/>
      <c r="AC13" s="793"/>
      <c r="AD13" s="793"/>
    </row>
    <row r="14" spans="2:30" ht="26.25">
      <c r="B14" s="10" t="s">
        <v>274</v>
      </c>
      <c r="C14" s="11">
        <f>+C104</f>
        <v>1381914322000</v>
      </c>
      <c r="D14" s="11">
        <f t="shared" ref="D14:I14" si="14">+D104</f>
        <v>1773393794000</v>
      </c>
      <c r="E14" s="11">
        <f t="shared" si="14"/>
        <v>2154984736000</v>
      </c>
      <c r="F14" s="11">
        <f t="shared" si="14"/>
        <v>2301570012000</v>
      </c>
      <c r="G14" s="11">
        <f t="shared" si="14"/>
        <v>2528949636000</v>
      </c>
      <c r="H14" s="11">
        <f t="shared" si="14"/>
        <v>2497654855000</v>
      </c>
      <c r="I14" s="11">
        <f t="shared" si="14"/>
        <v>2703118060000</v>
      </c>
      <c r="J14" s="11">
        <f t="shared" ref="J14:K14" si="15">+J104</f>
        <v>2981563714000</v>
      </c>
      <c r="K14" s="11">
        <f t="shared" si="15"/>
        <v>2862407361000</v>
      </c>
      <c r="L14" s="11"/>
      <c r="M14" s="798"/>
      <c r="N14" s="798"/>
      <c r="P14" s="763" t="s">
        <v>180</v>
      </c>
      <c r="Q14" s="764" t="s">
        <v>180</v>
      </c>
      <c r="R14" s="764" t="s">
        <v>180</v>
      </c>
      <c r="S14" s="764" t="s">
        <v>180</v>
      </c>
      <c r="T14" s="764" t="s">
        <v>180</v>
      </c>
      <c r="U14" s="763" t="s">
        <v>815</v>
      </c>
      <c r="V14" s="765">
        <f ca="1">1-B3/V13</f>
        <v>0.51110628981975337</v>
      </c>
      <c r="W14" s="794"/>
      <c r="X14" s="794"/>
      <c r="Y14" s="794"/>
      <c r="Z14" s="794"/>
      <c r="AA14" s="794"/>
      <c r="AB14" s="794"/>
      <c r="AC14" s="794"/>
      <c r="AD14" s="794"/>
    </row>
    <row r="15" spans="2:30" ht="26.25">
      <c r="B15" s="10" t="s">
        <v>762</v>
      </c>
      <c r="C15" s="11">
        <f>+C110</f>
        <v>29615351348000</v>
      </c>
      <c r="D15" s="11">
        <f t="shared" ref="D15:I15" si="16">+D110</f>
        <v>32418479277000</v>
      </c>
      <c r="E15" s="11">
        <f t="shared" si="16"/>
        <v>37520550416000</v>
      </c>
      <c r="F15" s="11">
        <f t="shared" si="16"/>
        <v>42165111586000</v>
      </c>
      <c r="G15" s="11">
        <f t="shared" si="16"/>
        <v>47259609538000</v>
      </c>
      <c r="H15" s="11">
        <f t="shared" si="16"/>
        <v>50120552212000</v>
      </c>
      <c r="I15" s="11">
        <f t="shared" si="16"/>
        <v>50120115023000</v>
      </c>
      <c r="J15" s="11">
        <f t="shared" ref="J15:K15" si="17">+J110</f>
        <v>45986199406000</v>
      </c>
      <c r="K15" s="11">
        <f t="shared" si="17"/>
        <v>49330394129000</v>
      </c>
      <c r="L15" s="11"/>
      <c r="M15" s="798"/>
      <c r="N15" s="798"/>
    </row>
    <row r="16" spans="2:30" ht="26.25">
      <c r="B16" s="12" t="s">
        <v>275</v>
      </c>
      <c r="C16" s="13">
        <f>+C111</f>
        <v>31429629367000</v>
      </c>
      <c r="D16" s="13">
        <f t="shared" ref="D16:I16" si="18">+D111</f>
        <v>34615040173000</v>
      </c>
      <c r="E16" s="13">
        <f t="shared" si="18"/>
        <v>40196805139000</v>
      </c>
      <c r="F16" s="13">
        <f t="shared" si="18"/>
        <v>45120033834000</v>
      </c>
      <c r="G16" s="13">
        <f t="shared" si="18"/>
        <v>51095492728000</v>
      </c>
      <c r="H16" s="13">
        <f t="shared" si="18"/>
        <v>55571135623000</v>
      </c>
      <c r="I16" s="13">
        <f t="shared" si="18"/>
        <v>54164813392000</v>
      </c>
      <c r="J16" s="13">
        <f t="shared" ref="J16:K16" si="19">+J111</f>
        <v>49744508964000</v>
      </c>
      <c r="K16" s="13">
        <f t="shared" si="19"/>
        <v>53047000662000</v>
      </c>
      <c r="L16" s="13"/>
      <c r="M16" s="799"/>
      <c r="N16" s="799"/>
    </row>
    <row r="17" spans="2:14" ht="26.25">
      <c r="B17" s="14" t="s">
        <v>276</v>
      </c>
      <c r="C17" s="15">
        <f>+C118</f>
        <v>2963713130000</v>
      </c>
      <c r="D17" s="15">
        <f t="shared" ref="D17:I17" si="20">+D118</f>
        <v>3213351221000</v>
      </c>
      <c r="E17" s="15">
        <f t="shared" si="20"/>
        <v>3486434178000</v>
      </c>
      <c r="F17" s="15">
        <f t="shared" si="20"/>
        <v>3537584774000</v>
      </c>
      <c r="G17" s="15">
        <f t="shared" si="20"/>
        <v>5374260915000</v>
      </c>
      <c r="H17" s="15">
        <f t="shared" si="20"/>
        <v>7329507900000</v>
      </c>
      <c r="I17" s="15">
        <f t="shared" si="20"/>
        <v>8047560387000</v>
      </c>
      <c r="J17" s="15">
        <f t="shared" ref="J17:K17" si="21">+J118</f>
        <v>9378706044000</v>
      </c>
      <c r="K17" s="15">
        <f t="shared" si="21"/>
        <v>9167894067000</v>
      </c>
      <c r="L17" s="15"/>
      <c r="M17" s="800"/>
      <c r="N17" s="800"/>
    </row>
    <row r="18" spans="2:14" ht="26.25">
      <c r="B18" s="79" t="s">
        <v>278</v>
      </c>
      <c r="C18" s="80">
        <v>1662759593</v>
      </c>
      <c r="D18" s="80">
        <v>1662759593</v>
      </c>
      <c r="E18" s="80">
        <v>1662759593</v>
      </c>
      <c r="F18" s="80">
        <v>1662759593</v>
      </c>
      <c r="G18" s="80">
        <v>1662759593</v>
      </c>
      <c r="H18" s="80">
        <v>1662759593</v>
      </c>
      <c r="I18" s="80">
        <v>1662759593</v>
      </c>
      <c r="J18" s="80">
        <v>1662759593</v>
      </c>
      <c r="K18" s="80">
        <v>1662759593</v>
      </c>
      <c r="L18" s="80"/>
      <c r="M18" s="801"/>
      <c r="N18" s="801"/>
    </row>
    <row r="19" spans="2:14" ht="15"/>
    <row r="20" spans="2:14" ht="26.25">
      <c r="B20" s="18" t="s">
        <v>279</v>
      </c>
      <c r="C20" s="736">
        <f t="shared" ref="C20:I20" si="22">(C17/C18)</f>
        <v>1782.4062735688574</v>
      </c>
      <c r="D20" s="19">
        <f t="shared" si="22"/>
        <v>1932.541080819974</v>
      </c>
      <c r="E20" s="19">
        <f t="shared" si="22"/>
        <v>2096.7758614519084</v>
      </c>
      <c r="F20" s="19">
        <f t="shared" si="22"/>
        <v>2127.5383337992866</v>
      </c>
      <c r="G20" s="19">
        <f t="shared" si="22"/>
        <v>3232.1334591151567</v>
      </c>
      <c r="H20" s="19">
        <f t="shared" si="22"/>
        <v>4408.0382581199756</v>
      </c>
      <c r="I20" s="19">
        <f t="shared" si="22"/>
        <v>4839.8820977363021</v>
      </c>
      <c r="J20" s="19">
        <f t="shared" ref="J20:K20" si="23">(J17/J18)</f>
        <v>5640.4462097125306</v>
      </c>
      <c r="K20" s="19">
        <f t="shared" si="23"/>
        <v>5513.6618099186635</v>
      </c>
      <c r="L20" s="19"/>
      <c r="M20" s="19"/>
      <c r="N20" s="19"/>
    </row>
    <row r="21" spans="2:14" ht="26.25">
      <c r="B21" s="76" t="s">
        <v>282</v>
      </c>
      <c r="C21" s="735">
        <v>2147</v>
      </c>
      <c r="D21" s="77">
        <v>1806</v>
      </c>
      <c r="E21" s="77">
        <v>1536</v>
      </c>
      <c r="F21" s="77">
        <v>1250</v>
      </c>
      <c r="G21" s="77">
        <v>1650</v>
      </c>
      <c r="H21" s="101">
        <v>2869</v>
      </c>
      <c r="I21" s="101">
        <v>2866</v>
      </c>
      <c r="J21" s="101">
        <v>3277</v>
      </c>
      <c r="K21" s="101">
        <v>4380</v>
      </c>
      <c r="L21" s="101"/>
      <c r="M21" s="101"/>
      <c r="N21" s="101"/>
    </row>
    <row r="22" spans="2:14" ht="26.25">
      <c r="B22" s="18" t="s">
        <v>283</v>
      </c>
      <c r="C22" s="734">
        <f t="shared" ref="C22:K22" si="24">+C21/C42</f>
        <v>32.830155268535044</v>
      </c>
      <c r="D22" s="22">
        <f t="shared" si="24"/>
        <v>16.643224526054116</v>
      </c>
      <c r="E22" s="22">
        <f t="shared" si="24"/>
        <v>12.159033084873954</v>
      </c>
      <c r="F22" s="22">
        <f t="shared" si="24"/>
        <v>8.4063650913342123</v>
      </c>
      <c r="G22" s="22">
        <f t="shared" si="24"/>
        <v>1.449203520866359</v>
      </c>
      <c r="H22" s="22">
        <f t="shared" si="24"/>
        <v>1.3493700471152619</v>
      </c>
      <c r="I22" s="22">
        <f t="shared" si="24"/>
        <v>5.6599246865579707</v>
      </c>
      <c r="J22" s="22">
        <f>+J21/J42</f>
        <v>8.2032628407622195</v>
      </c>
      <c r="K22" s="22">
        <f t="shared" si="24"/>
        <v>13.180170852194115</v>
      </c>
      <c r="L22" s="22"/>
      <c r="M22" s="22"/>
      <c r="N22" s="22"/>
    </row>
    <row r="23" spans="2:14" ht="26.25">
      <c r="B23" s="18" t="s">
        <v>380</v>
      </c>
      <c r="C23" s="734">
        <f t="shared" ref="C23:I23" si="25">+C21/C20</f>
        <v>1.2045514155990529</v>
      </c>
      <c r="D23" s="22">
        <f t="shared" si="25"/>
        <v>0.93452088440661618</v>
      </c>
      <c r="E23" s="22">
        <f t="shared" si="25"/>
        <v>0.73255326343579696</v>
      </c>
      <c r="F23" s="22">
        <f t="shared" si="25"/>
        <v>0.58753347948743739</v>
      </c>
      <c r="G23" s="22">
        <f t="shared" si="25"/>
        <v>0.51049872193449319</v>
      </c>
      <c r="H23" s="22">
        <f t="shared" si="25"/>
        <v>0.6508564200220045</v>
      </c>
      <c r="I23" s="22">
        <f t="shared" si="25"/>
        <v>0.59216318540909885</v>
      </c>
      <c r="J23" s="22">
        <f t="shared" ref="J23:K23" si="26">+J21/J20</f>
        <v>0.58098240425681047</v>
      </c>
      <c r="K23" s="22">
        <f t="shared" si="26"/>
        <v>0.79439039806915779</v>
      </c>
      <c r="L23" s="22"/>
      <c r="M23" s="22"/>
      <c r="N23" s="22"/>
    </row>
    <row r="24" spans="2:14" ht="26.25">
      <c r="B24" s="18" t="s">
        <v>285</v>
      </c>
      <c r="C24" s="734">
        <f>+C22*C23</f>
        <v>39.545610003050591</v>
      </c>
      <c r="D24" s="22">
        <f t="shared" ref="D24:I24" si="27">+D22*D23</f>
        <v>15.553440903465978</v>
      </c>
      <c r="E24" s="22">
        <f t="shared" si="27"/>
        <v>8.9071393665482415</v>
      </c>
      <c r="F24" s="22">
        <f t="shared" si="27"/>
        <v>4.9390209319533191</v>
      </c>
      <c r="G24" s="22">
        <f t="shared" si="27"/>
        <v>0.73981654522524387</v>
      </c>
      <c r="H24" s="22">
        <f t="shared" si="27"/>
        <v>0.87824615815036289</v>
      </c>
      <c r="I24" s="22">
        <f t="shared" si="27"/>
        <v>3.3515990315677633</v>
      </c>
      <c r="J24" s="22">
        <f t="shared" ref="J24:K24" si="28">+J22*J23</f>
        <v>4.7659513679765872</v>
      </c>
      <c r="K24" s="22">
        <f t="shared" si="28"/>
        <v>10.470201169893993</v>
      </c>
      <c r="L24" s="22"/>
      <c r="M24" s="22"/>
      <c r="N24" s="22"/>
    </row>
    <row r="25" spans="2:14" ht="26.25">
      <c r="B25" s="23" t="s">
        <v>286</v>
      </c>
      <c r="C25" s="733">
        <f>IF(C43&lt;10%,0.8,IF(15%&lt;C43,2,1))</f>
        <v>0.8</v>
      </c>
      <c r="D25" s="733">
        <f t="shared" ref="D25:K25" si="29">IF(D43&lt;10%,0.8,IF(15%&lt;D43,2,1))</f>
        <v>0.8</v>
      </c>
      <c r="E25" s="733">
        <f t="shared" si="29"/>
        <v>0.8</v>
      </c>
      <c r="F25" s="733">
        <f t="shared" si="29"/>
        <v>0.8</v>
      </c>
      <c r="G25" s="733">
        <f t="shared" si="29"/>
        <v>2</v>
      </c>
      <c r="H25" s="733">
        <f t="shared" si="29"/>
        <v>2</v>
      </c>
      <c r="I25" s="733">
        <f t="shared" si="29"/>
        <v>1</v>
      </c>
      <c r="J25" s="733">
        <f>IF(J43&lt;10%,0.8,IF(15%&lt;J43,2,1))</f>
        <v>0.8</v>
      </c>
      <c r="K25" s="733">
        <f t="shared" si="29"/>
        <v>0.8</v>
      </c>
      <c r="L25" s="733"/>
      <c r="M25" s="733"/>
      <c r="N25" s="733"/>
    </row>
    <row r="26" spans="2:14" ht="26.25">
      <c r="B26" s="23" t="s">
        <v>287</v>
      </c>
      <c r="C26" s="733">
        <f>IF(C43&lt;10%,1,IF(15%&lt;C43,2.5,2))</f>
        <v>1</v>
      </c>
      <c r="D26" s="733">
        <f t="shared" ref="D26:K26" si="30">IF(D43&lt;10%,1,IF(15%&lt;D43,2.5,2))</f>
        <v>1</v>
      </c>
      <c r="E26" s="733">
        <f t="shared" si="30"/>
        <v>1</v>
      </c>
      <c r="F26" s="733">
        <f t="shared" si="30"/>
        <v>1</v>
      </c>
      <c r="G26" s="733">
        <f t="shared" si="30"/>
        <v>2.5</v>
      </c>
      <c r="H26" s="733">
        <f t="shared" si="30"/>
        <v>2.5</v>
      </c>
      <c r="I26" s="733">
        <f t="shared" si="30"/>
        <v>2</v>
      </c>
      <c r="J26" s="733">
        <f t="shared" si="30"/>
        <v>1</v>
      </c>
      <c r="K26" s="733">
        <f t="shared" si="30"/>
        <v>1</v>
      </c>
      <c r="L26" s="733"/>
      <c r="M26" s="733"/>
      <c r="N26" s="733"/>
    </row>
    <row r="27" spans="2:14" ht="26.25">
      <c r="B27" s="25" t="s">
        <v>288</v>
      </c>
      <c r="C27" s="732">
        <f t="shared" ref="C27:I27" si="31">+C25*C20</f>
        <v>1425.9250188550859</v>
      </c>
      <c r="D27" s="26">
        <f t="shared" si="31"/>
        <v>1546.0328646559792</v>
      </c>
      <c r="E27" s="26">
        <f t="shared" si="31"/>
        <v>1677.4206891615268</v>
      </c>
      <c r="F27" s="26">
        <f t="shared" si="31"/>
        <v>1702.0306670394293</v>
      </c>
      <c r="G27" s="26">
        <f t="shared" si="31"/>
        <v>6464.2669182303134</v>
      </c>
      <c r="H27" s="26">
        <f t="shared" si="31"/>
        <v>8816.0765162399512</v>
      </c>
      <c r="I27" s="26">
        <f t="shared" si="31"/>
        <v>4839.8820977363021</v>
      </c>
      <c r="J27" s="26">
        <f t="shared" ref="J27:K27" si="32">+J25*J20</f>
        <v>4512.3569677700243</v>
      </c>
      <c r="K27" s="26">
        <f t="shared" si="32"/>
        <v>4410.929447934931</v>
      </c>
      <c r="L27" s="26"/>
      <c r="M27" s="26"/>
      <c r="N27" s="26"/>
    </row>
    <row r="28" spans="2:14" ht="26.25">
      <c r="B28" s="25" t="s">
        <v>289</v>
      </c>
      <c r="C28" s="732">
        <f>AVERAGE(C27,C29)</f>
        <v>1604.1656462119718</v>
      </c>
      <c r="D28" s="26">
        <f t="shared" ref="D28:I28" si="33">AVERAGE(D27,D29)</f>
        <v>1739.2869727379766</v>
      </c>
      <c r="E28" s="26">
        <f t="shared" si="33"/>
        <v>1887.0982753067176</v>
      </c>
      <c r="F28" s="26">
        <f t="shared" si="33"/>
        <v>1914.784500419358</v>
      </c>
      <c r="G28" s="26">
        <f t="shared" si="33"/>
        <v>7272.3002830091027</v>
      </c>
      <c r="H28" s="26">
        <f t="shared" si="33"/>
        <v>9918.0860807699446</v>
      </c>
      <c r="I28" s="26">
        <f t="shared" si="33"/>
        <v>7259.8231466044526</v>
      </c>
      <c r="J28" s="26">
        <f t="shared" ref="J28:K28" si="34">AVERAGE(J27,J29)</f>
        <v>5076.401588741277</v>
      </c>
      <c r="K28" s="26">
        <f t="shared" si="34"/>
        <v>4962.2956289267968</v>
      </c>
      <c r="L28" s="26"/>
      <c r="M28" s="26"/>
      <c r="N28" s="26"/>
    </row>
    <row r="29" spans="2:14" ht="26.25">
      <c r="B29" s="25" t="s">
        <v>290</v>
      </c>
      <c r="C29" s="732">
        <f t="shared" ref="C29:I29" si="35">+C20*C26</f>
        <v>1782.4062735688574</v>
      </c>
      <c r="D29" s="26">
        <f t="shared" si="35"/>
        <v>1932.541080819974</v>
      </c>
      <c r="E29" s="26">
        <f t="shared" si="35"/>
        <v>2096.7758614519084</v>
      </c>
      <c r="F29" s="26">
        <f t="shared" si="35"/>
        <v>2127.5383337992866</v>
      </c>
      <c r="G29" s="26">
        <f t="shared" si="35"/>
        <v>8080.333647787892</v>
      </c>
      <c r="H29" s="26">
        <f t="shared" si="35"/>
        <v>11020.095645299938</v>
      </c>
      <c r="I29" s="26">
        <f t="shared" si="35"/>
        <v>9679.7641954726041</v>
      </c>
      <c r="J29" s="26">
        <f t="shared" ref="J29:K29" si="36">+J20*J26</f>
        <v>5640.4462097125306</v>
      </c>
      <c r="K29" s="26">
        <f t="shared" si="36"/>
        <v>5513.6618099186635</v>
      </c>
      <c r="L29" s="26"/>
      <c r="M29" s="26"/>
      <c r="N29" s="26"/>
    </row>
    <row r="30" spans="2:14" ht="15"/>
    <row r="31" spans="2:14" ht="26.25">
      <c r="B31" s="243" t="s">
        <v>291</v>
      </c>
      <c r="C31" s="81">
        <f t="shared" ref="C31:I31" si="37">C7-C13</f>
        <v>443744918000</v>
      </c>
      <c r="D31" s="81">
        <f t="shared" si="37"/>
        <v>550823863000</v>
      </c>
      <c r="E31" s="81">
        <f t="shared" si="37"/>
        <v>504578215000</v>
      </c>
      <c r="F31" s="81">
        <f t="shared" si="37"/>
        <v>489699136000</v>
      </c>
      <c r="G31" s="81">
        <f t="shared" si="37"/>
        <v>-68056553000</v>
      </c>
      <c r="H31" s="81">
        <f t="shared" si="37"/>
        <v>-461368311000</v>
      </c>
      <c r="I31" s="81">
        <f t="shared" si="37"/>
        <v>2555448732000</v>
      </c>
      <c r="J31" s="81">
        <f t="shared" ref="J31:K31" si="38">J7-J13</f>
        <v>2688034481000</v>
      </c>
      <c r="K31" s="81">
        <f t="shared" si="38"/>
        <v>2891265071000</v>
      </c>
      <c r="L31" s="81"/>
      <c r="M31" s="802"/>
      <c r="N31" s="802"/>
    </row>
    <row r="32" spans="2:14" ht="26.25">
      <c r="B32" s="30" t="s">
        <v>149</v>
      </c>
      <c r="C32" s="746">
        <f t="shared" ref="C32:I32" si="39">(C7+C11)/(C13+C15)</f>
        <v>1.1215592352539896</v>
      </c>
      <c r="D32" s="746">
        <f t="shared" si="39"/>
        <v>1.1235881827957124</v>
      </c>
      <c r="E32" s="746">
        <f t="shared" si="39"/>
        <v>1.1119125156446052</v>
      </c>
      <c r="F32" s="746">
        <f t="shared" si="39"/>
        <v>1.1032197482696511</v>
      </c>
      <c r="G32" s="746">
        <f t="shared" si="39"/>
        <v>1.0885059406401945</v>
      </c>
      <c r="H32" s="746">
        <f t="shared" si="39"/>
        <v>1.0852279140268353</v>
      </c>
      <c r="I32" s="746">
        <f t="shared" si="39"/>
        <v>1.1597482016471397</v>
      </c>
      <c r="J32" s="746">
        <f>(J7+J11)/(J13+J15)</f>
        <v>1.1881248852263</v>
      </c>
      <c r="K32" s="242">
        <f t="shared" ref="K32" si="40">K7/K13</f>
        <v>4.3847668854916657</v>
      </c>
      <c r="L32" s="242"/>
      <c r="M32" s="803"/>
      <c r="N32" s="803"/>
    </row>
    <row r="33" spans="2:14" ht="26.25">
      <c r="B33" s="30" t="s">
        <v>292</v>
      </c>
      <c r="C33" s="745">
        <f t="shared" ref="C33:I33" si="41">+(C7-C9+C11)/(C13+C15)</f>
        <v>1.1182474129456721</v>
      </c>
      <c r="D33" s="745">
        <f t="shared" si="41"/>
        <v>1.1205729194359766</v>
      </c>
      <c r="E33" s="745">
        <f t="shared" si="41"/>
        <v>1.1087632546278914</v>
      </c>
      <c r="F33" s="745">
        <f t="shared" si="41"/>
        <v>1.1005404233065481</v>
      </c>
      <c r="G33" s="745">
        <f t="shared" si="41"/>
        <v>1.0857767733459747</v>
      </c>
      <c r="H33" s="745">
        <f t="shared" si="41"/>
        <v>1.0809458629966149</v>
      </c>
      <c r="I33" s="745">
        <f t="shared" si="41"/>
        <v>1.1553766370970673</v>
      </c>
      <c r="J33" s="745">
        <f>+(J7-J9+J11)/(J13+J15)</f>
        <v>1.1837311484353095</v>
      </c>
      <c r="K33" s="241">
        <f t="shared" ref="K33" si="42">+(K7-K9)/K13</f>
        <v>4.0910021790561979</v>
      </c>
      <c r="L33" s="241"/>
      <c r="M33" s="804"/>
      <c r="N33" s="804"/>
    </row>
    <row r="34" spans="2:14" ht="26.25">
      <c r="B34" s="32" t="s">
        <v>153</v>
      </c>
      <c r="C34" s="33">
        <f t="shared" ref="C34:I34" si="43">C16/C12</f>
        <v>0.82747833085764211</v>
      </c>
      <c r="D34" s="33">
        <f t="shared" si="43"/>
        <v>0.82937923330468077</v>
      </c>
      <c r="E34" s="33">
        <f t="shared" si="43"/>
        <v>0.84276750762854946</v>
      </c>
      <c r="F34" s="33">
        <f t="shared" si="43"/>
        <v>0.85315718296459353</v>
      </c>
      <c r="G34" s="33">
        <f t="shared" si="43"/>
        <v>0.82656914511314261</v>
      </c>
      <c r="H34" s="33">
        <f t="shared" si="43"/>
        <v>0.79875088535568717</v>
      </c>
      <c r="I34" s="33">
        <f t="shared" si="43"/>
        <v>0.78105229058839087</v>
      </c>
      <c r="J34" s="33">
        <f>J16/J12</f>
        <v>0.7466262835627111</v>
      </c>
      <c r="K34" s="33">
        <f t="shared" ref="K34" si="44">K16/K12</f>
        <v>0.76222076842533015</v>
      </c>
      <c r="L34" s="33"/>
      <c r="M34" s="805"/>
      <c r="N34" s="805"/>
    </row>
    <row r="35" spans="2:14" ht="15"/>
    <row r="36" spans="2:14" ht="15"/>
    <row r="37" spans="2:14" ht="26.25">
      <c r="B37" s="35" t="s">
        <v>293</v>
      </c>
      <c r="C37" s="36">
        <f>+C124</f>
        <v>2381154111000</v>
      </c>
      <c r="D37" s="36">
        <f t="shared" ref="D37:I37" si="45">+D124</f>
        <v>2798851007000</v>
      </c>
      <c r="E37" s="36">
        <f t="shared" si="45"/>
        <v>2944684391000</v>
      </c>
      <c r="F37" s="36">
        <f t="shared" si="45"/>
        <v>2573841090000</v>
      </c>
      <c r="G37" s="36">
        <f t="shared" si="45"/>
        <v>3219446546000</v>
      </c>
      <c r="H37" s="36">
        <f t="shared" si="45"/>
        <v>4891034721000</v>
      </c>
      <c r="I37" s="36">
        <f t="shared" si="45"/>
        <v>5257357028000</v>
      </c>
      <c r="J37" s="36">
        <f t="shared" ref="J37:K37" si="46">+J124</f>
        <v>5391862268000</v>
      </c>
      <c r="K37" s="36">
        <f t="shared" si="46"/>
        <v>4101563201000</v>
      </c>
      <c r="L37" s="36"/>
      <c r="M37" s="806"/>
      <c r="N37" s="806"/>
    </row>
    <row r="38" spans="2:14" ht="26.25">
      <c r="B38" s="39" t="s">
        <v>156</v>
      </c>
      <c r="C38" s="40">
        <f>+C131</f>
        <v>764791251000</v>
      </c>
      <c r="D38" s="40">
        <f t="shared" ref="D38:I38" si="47">+D131</f>
        <v>810273557000</v>
      </c>
      <c r="E38" s="40">
        <f t="shared" si="47"/>
        <v>830729728000</v>
      </c>
      <c r="F38" s="40">
        <f t="shared" si="47"/>
        <v>675729566000</v>
      </c>
      <c r="G38" s="40">
        <f t="shared" si="47"/>
        <v>1065774435000</v>
      </c>
      <c r="H38" s="40">
        <f t="shared" si="47"/>
        <v>1775995732000</v>
      </c>
      <c r="I38" s="40">
        <f t="shared" si="47"/>
        <v>1705973699000</v>
      </c>
      <c r="J38" s="40">
        <f t="shared" ref="J38:K38" si="48">+J131</f>
        <v>1939550940000</v>
      </c>
      <c r="K38" s="40">
        <f t="shared" si="48"/>
        <v>1801807175000</v>
      </c>
      <c r="L38" s="40"/>
      <c r="M38" s="807"/>
      <c r="N38" s="807"/>
    </row>
    <row r="39" spans="2:14" ht="26.25">
      <c r="B39" s="35" t="s">
        <v>381</v>
      </c>
      <c r="C39" s="41">
        <f t="shared" ref="C39:K39" si="49">C38/C37</f>
        <v>0.32118511249102433</v>
      </c>
      <c r="D39" s="41">
        <f t="shared" si="49"/>
        <v>0.28950221179101154</v>
      </c>
      <c r="E39" s="41">
        <f t="shared" si="49"/>
        <v>0.28211163496468578</v>
      </c>
      <c r="F39" s="41">
        <f t="shared" si="49"/>
        <v>0.26253740707822798</v>
      </c>
      <c r="G39" s="41">
        <f t="shared" si="49"/>
        <v>0.33104274904771164</v>
      </c>
      <c r="H39" s="41">
        <f t="shared" si="49"/>
        <v>0.36311247687010645</v>
      </c>
      <c r="I39" s="41">
        <f t="shared" si="49"/>
        <v>0.32449264714460246</v>
      </c>
      <c r="J39" s="41">
        <f t="shared" si="49"/>
        <v>0.35971819078372647</v>
      </c>
      <c r="K39" s="41">
        <f t="shared" si="49"/>
        <v>0.43929767425275862</v>
      </c>
      <c r="L39" s="41"/>
      <c r="M39" s="808"/>
      <c r="N39" s="808"/>
    </row>
    <row r="40" spans="2:14" ht="26.25">
      <c r="B40" s="43" t="s">
        <v>295</v>
      </c>
      <c r="C40" s="44">
        <f>+C141</f>
        <v>108739810000</v>
      </c>
      <c r="D40" s="44">
        <f t="shared" ref="D40:G40" si="50">+D141</f>
        <v>180430410000</v>
      </c>
      <c r="E40" s="44">
        <f t="shared" si="50"/>
        <v>210049493000</v>
      </c>
      <c r="F40" s="44">
        <f t="shared" si="50"/>
        <v>247247112000</v>
      </c>
      <c r="G40" s="44">
        <f t="shared" si="50"/>
        <v>1893145641000</v>
      </c>
      <c r="H40" s="44">
        <f t="shared" ref="H40:K40" si="51">+H141</f>
        <v>3535321747000</v>
      </c>
      <c r="I40" s="44">
        <f t="shared" si="51"/>
        <v>841966856000</v>
      </c>
      <c r="J40" s="44">
        <f t="shared" si="51"/>
        <v>664231208000</v>
      </c>
      <c r="K40" s="44">
        <f t="shared" si="51"/>
        <v>552563931000</v>
      </c>
      <c r="L40" s="44"/>
      <c r="M40" s="809"/>
      <c r="N40" s="809"/>
    </row>
    <row r="41" spans="2:14" ht="26.25">
      <c r="B41" s="30" t="s">
        <v>296</v>
      </c>
      <c r="C41" s="45">
        <f t="shared" ref="C41:K41" si="52">C40/C37</f>
        <v>4.5666851002068548E-2</v>
      </c>
      <c r="D41" s="45">
        <f t="shared" si="52"/>
        <v>6.4465886018490737E-2</v>
      </c>
      <c r="E41" s="45">
        <f t="shared" si="52"/>
        <v>7.1331750744489206E-2</v>
      </c>
      <c r="F41" s="45">
        <f t="shared" si="52"/>
        <v>9.6061529579512625E-2</v>
      </c>
      <c r="G41" s="45">
        <f t="shared" si="52"/>
        <v>0.58803450032495119</v>
      </c>
      <c r="H41" s="45">
        <f t="shared" si="52"/>
        <v>0.72281673483544262</v>
      </c>
      <c r="I41" s="45">
        <f t="shared" si="52"/>
        <v>0.16015021454997139</v>
      </c>
      <c r="J41" s="45">
        <f>J40/J37</f>
        <v>0.12319142718873323</v>
      </c>
      <c r="K41" s="45">
        <f t="shared" si="52"/>
        <v>0.13472032586631352</v>
      </c>
      <c r="L41" s="45"/>
      <c r="M41" s="355"/>
      <c r="N41" s="355"/>
    </row>
    <row r="42" spans="2:14" ht="26.25">
      <c r="B42" s="46" t="s">
        <v>159</v>
      </c>
      <c r="C42" s="248">
        <f t="shared" ref="C42:K42" si="53">+C40/C18</f>
        <v>65.397192990363948</v>
      </c>
      <c r="D42" s="248">
        <f t="shared" si="53"/>
        <v>108.51262609434845</v>
      </c>
      <c r="E42" s="248">
        <f t="shared" si="53"/>
        <v>126.32583440461318</v>
      </c>
      <c r="F42" s="248">
        <f t="shared" si="53"/>
        <v>148.69684892565223</v>
      </c>
      <c r="G42" s="248">
        <f t="shared" si="53"/>
        <v>1138.5564389283304</v>
      </c>
      <c r="H42" s="248">
        <f t="shared" si="53"/>
        <v>2126.1773270671488</v>
      </c>
      <c r="I42" s="248">
        <f t="shared" si="53"/>
        <v>506.3671618823131</v>
      </c>
      <c r="J42" s="248">
        <f>+J40/J18</f>
        <v>399.47519220236427</v>
      </c>
      <c r="K42" s="248">
        <f t="shared" si="53"/>
        <v>332.31739171809426</v>
      </c>
      <c r="L42" s="248"/>
      <c r="M42" s="810"/>
      <c r="N42" s="810"/>
    </row>
    <row r="43" spans="2:14" ht="26.25">
      <c r="B43" s="48" t="s">
        <v>160</v>
      </c>
      <c r="C43" s="49">
        <f t="shared" ref="C43:K43" si="54">C40/C17</f>
        <v>3.6690396549952188E-2</v>
      </c>
      <c r="D43" s="49">
        <f t="shared" si="54"/>
        <v>5.6150229959565319E-2</v>
      </c>
      <c r="E43" s="49">
        <f t="shared" si="54"/>
        <v>6.0247657714420214E-2</v>
      </c>
      <c r="F43" s="49">
        <f t="shared" si="54"/>
        <v>6.989150163048502E-2</v>
      </c>
      <c r="G43" s="49">
        <f t="shared" si="54"/>
        <v>0.35226157995345486</v>
      </c>
      <c r="H43" s="49">
        <f t="shared" si="54"/>
        <v>0.48234094228890867</v>
      </c>
      <c r="I43" s="49">
        <f t="shared" si="54"/>
        <v>0.10462386307285251</v>
      </c>
      <c r="J43" s="49">
        <f>J40/J17</f>
        <v>7.0823331585804422E-2</v>
      </c>
      <c r="K43" s="49">
        <f t="shared" si="54"/>
        <v>6.0271631299598435E-2</v>
      </c>
      <c r="L43" s="49"/>
      <c r="M43" s="811"/>
      <c r="N43" s="811"/>
    </row>
    <row r="44" spans="2:14" ht="26.25">
      <c r="B44" s="48" t="s">
        <v>382</v>
      </c>
      <c r="C44" s="49">
        <f>AVERAGE(H43:J43)</f>
        <v>0.21926271231585523</v>
      </c>
      <c r="D44" s="49"/>
      <c r="E44" s="49"/>
      <c r="F44" s="49"/>
      <c r="G44" s="49"/>
      <c r="H44" s="49"/>
      <c r="I44" s="49"/>
      <c r="J44" s="49"/>
      <c r="K44" s="49"/>
      <c r="L44" s="49"/>
      <c r="M44" s="811"/>
      <c r="N44" s="811"/>
    </row>
    <row r="45" spans="2:14" ht="26.25">
      <c r="B45" s="48" t="s">
        <v>298</v>
      </c>
      <c r="C45" s="50">
        <f>+C154</f>
        <v>969662343000</v>
      </c>
      <c r="D45" s="50">
        <f t="shared" ref="D45:I45" si="55">+D154</f>
        <v>-586216968000</v>
      </c>
      <c r="E45" s="50">
        <f t="shared" si="55"/>
        <v>1110839662000</v>
      </c>
      <c r="F45" s="50">
        <f t="shared" si="55"/>
        <v>2304128087000</v>
      </c>
      <c r="G45" s="50">
        <f t="shared" si="55"/>
        <v>4218196858000</v>
      </c>
      <c r="H45" s="50">
        <f t="shared" si="55"/>
        <v>320163467000</v>
      </c>
      <c r="I45" s="50">
        <f t="shared" si="55"/>
        <v>306787271000</v>
      </c>
      <c r="J45" s="50">
        <f t="shared" ref="J45:K45" si="56">+J154</f>
        <v>-2134549589000</v>
      </c>
      <c r="K45" s="50">
        <f t="shared" si="56"/>
        <v>194383286000</v>
      </c>
      <c r="L45" s="50"/>
      <c r="M45" s="812"/>
      <c r="N45" s="812"/>
    </row>
    <row r="46" spans="2:14" ht="26.25">
      <c r="B46" s="51" t="s">
        <v>111</v>
      </c>
      <c r="C46" s="51">
        <f>SUM(C48:C51)</f>
        <v>31.917000000000002</v>
      </c>
      <c r="D46" s="51">
        <f t="shared" ref="D46:F46" si="57">SUM(D48:D51)</f>
        <v>32.698</v>
      </c>
      <c r="E46" s="51">
        <f t="shared" si="57"/>
        <v>43.405000000000001</v>
      </c>
      <c r="F46" s="51">
        <f t="shared" si="57"/>
        <v>37.898000000000003</v>
      </c>
      <c r="G46" s="51">
        <f>SUM(G48:G51)</f>
        <v>245.61</v>
      </c>
      <c r="H46" s="51">
        <f>SUM(H48:H51)</f>
        <v>468.33300000000003</v>
      </c>
      <c r="I46" s="51">
        <f t="shared" ref="I46:K46" si="58">SUM(I48:I50)</f>
        <v>637.85299999999995</v>
      </c>
      <c r="J46" s="51">
        <f t="shared" si="58"/>
        <v>272.19198</v>
      </c>
      <c r="K46" s="51">
        <f t="shared" si="58"/>
        <v>300.70499999999998</v>
      </c>
      <c r="L46" s="51"/>
      <c r="M46" s="55"/>
      <c r="N46" s="55"/>
    </row>
    <row r="47" spans="2:14" ht="26.25">
      <c r="B47" s="51" t="s">
        <v>112</v>
      </c>
      <c r="C47" s="51">
        <f>+C48+C49</f>
        <v>31.917000000000002</v>
      </c>
      <c r="D47" s="51">
        <f t="shared" ref="D47:I47" si="59">+D48+D49</f>
        <v>19.619</v>
      </c>
      <c r="E47" s="51">
        <f t="shared" si="59"/>
        <v>32.554000000000002</v>
      </c>
      <c r="F47" s="51">
        <f t="shared" si="59"/>
        <v>37.898000000000003</v>
      </c>
      <c r="G47" s="51">
        <f t="shared" si="59"/>
        <v>215.87100000000001</v>
      </c>
      <c r="H47" s="51">
        <f t="shared" si="59"/>
        <v>170.30500000000001</v>
      </c>
      <c r="I47" s="51">
        <f t="shared" si="59"/>
        <v>637.85299999999995</v>
      </c>
      <c r="J47" s="51">
        <f t="shared" ref="J47:K47" si="60">+J48+J49</f>
        <v>272.19198</v>
      </c>
      <c r="K47" s="51">
        <f t="shared" si="60"/>
        <v>300.70499999999998</v>
      </c>
      <c r="L47" s="51"/>
      <c r="M47" s="55"/>
      <c r="N47" s="55"/>
    </row>
    <row r="48" spans="2:14" ht="18.75">
      <c r="B48" s="135" t="s">
        <v>114</v>
      </c>
      <c r="C48" s="94">
        <v>31.917000000000002</v>
      </c>
      <c r="D48" s="94">
        <v>19.619</v>
      </c>
      <c r="E48" s="94">
        <v>32.554000000000002</v>
      </c>
      <c r="F48" s="94">
        <v>37.898000000000003</v>
      </c>
      <c r="G48" s="94">
        <v>44.609000000000002</v>
      </c>
      <c r="H48" s="94">
        <v>170.30500000000001</v>
      </c>
      <c r="I48" s="155">
        <v>637.85299999999995</v>
      </c>
      <c r="J48" s="155">
        <v>151.91</v>
      </c>
      <c r="K48" s="1209">
        <v>240.56399999999999</v>
      </c>
      <c r="L48" s="1209"/>
      <c r="M48" s="813"/>
      <c r="N48" s="813"/>
    </row>
    <row r="49" spans="2:16" ht="18.75">
      <c r="B49" s="135" t="s">
        <v>115</v>
      </c>
      <c r="C49" s="94"/>
      <c r="D49" s="94"/>
      <c r="E49" s="94"/>
      <c r="F49" s="94"/>
      <c r="G49" s="94">
        <v>171.262</v>
      </c>
      <c r="H49" s="94"/>
      <c r="I49" s="155"/>
      <c r="J49" s="155">
        <v>120.28198</v>
      </c>
      <c r="K49" s="1209">
        <v>60.140999999999998</v>
      </c>
      <c r="L49" s="155"/>
      <c r="M49" s="813"/>
      <c r="N49" s="813"/>
    </row>
    <row r="50" spans="2:16" ht="18.75">
      <c r="B50" s="135" t="s">
        <v>116</v>
      </c>
      <c r="C50" s="94"/>
      <c r="D50" s="94">
        <v>13.079000000000001</v>
      </c>
      <c r="E50" s="94">
        <v>10.851000000000001</v>
      </c>
      <c r="F50" s="94"/>
      <c r="G50" s="94">
        <v>29.739000000000001</v>
      </c>
      <c r="H50" s="94">
        <v>298.02800000000002</v>
      </c>
      <c r="I50" s="155"/>
      <c r="J50" s="155"/>
      <c r="K50" s="155"/>
      <c r="L50" s="155"/>
      <c r="M50" s="813"/>
      <c r="N50" s="813"/>
    </row>
    <row r="51" spans="2:16" ht="18.75">
      <c r="B51" s="135" t="s">
        <v>117</v>
      </c>
      <c r="C51" s="94"/>
      <c r="D51" s="94"/>
      <c r="E51" s="94"/>
      <c r="F51" s="94"/>
      <c r="G51" s="94"/>
      <c r="H51" s="94"/>
      <c r="I51" s="94"/>
      <c r="J51" s="94"/>
      <c r="K51" s="94"/>
      <c r="L51" s="94"/>
      <c r="M51" s="78"/>
      <c r="N51" s="78"/>
    </row>
    <row r="52" spans="2:16" ht="26.25">
      <c r="B52" s="51" t="s">
        <v>119</v>
      </c>
      <c r="C52" s="737">
        <f>SUM(C54:C57)</f>
        <v>32.698599999999999</v>
      </c>
      <c r="D52" s="737">
        <f t="shared" ref="D52:J52" si="61">SUM(D54:D57)</f>
        <v>43.405000000000001</v>
      </c>
      <c r="E52" s="737">
        <f t="shared" si="61"/>
        <v>37.897750000000002</v>
      </c>
      <c r="F52" s="737">
        <f t="shared" si="61"/>
        <v>245.61010000000002</v>
      </c>
      <c r="G52" s="737">
        <f t="shared" si="61"/>
        <v>468.33280999999999</v>
      </c>
      <c r="H52" s="737">
        <f t="shared" si="61"/>
        <v>637.85320000000002</v>
      </c>
      <c r="I52" s="737">
        <f t="shared" si="61"/>
        <v>151.91014999999999</v>
      </c>
      <c r="J52" s="737">
        <f t="shared" si="61"/>
        <v>360.84598</v>
      </c>
      <c r="K52" s="737"/>
      <c r="L52" s="737"/>
      <c r="M52" s="814"/>
      <c r="N52" s="814"/>
    </row>
    <row r="53" spans="2:16" ht="26.25">
      <c r="B53" s="51" t="s">
        <v>120</v>
      </c>
      <c r="C53" s="737">
        <f>SUM(C54:C55)</f>
        <v>19.619160000000001</v>
      </c>
      <c r="D53" s="737">
        <f t="shared" ref="D53:J53" si="62">SUM(D54:D55)</f>
        <v>32.554000000000002</v>
      </c>
      <c r="E53" s="737">
        <f t="shared" si="62"/>
        <v>37.897750000000002</v>
      </c>
      <c r="F53" s="737">
        <f t="shared" si="62"/>
        <v>215.87073000000001</v>
      </c>
      <c r="G53" s="737">
        <f t="shared" si="62"/>
        <v>170.30525</v>
      </c>
      <c r="H53" s="737">
        <f t="shared" si="62"/>
        <v>637.85320000000002</v>
      </c>
      <c r="I53" s="737">
        <f t="shared" si="62"/>
        <v>151.91014999999999</v>
      </c>
      <c r="J53" s="737">
        <f t="shared" si="62"/>
        <v>360.84598</v>
      </c>
      <c r="K53" s="737"/>
      <c r="L53" s="737"/>
      <c r="M53" s="814"/>
      <c r="N53" s="814"/>
    </row>
    <row r="54" spans="2:16" ht="18.75">
      <c r="B54" s="135" t="s">
        <v>121</v>
      </c>
      <c r="C54" s="738">
        <v>19.619160000000001</v>
      </c>
      <c r="D54" s="94">
        <v>32.554000000000002</v>
      </c>
      <c r="E54" s="94">
        <v>37.897750000000002</v>
      </c>
      <c r="F54" s="94">
        <v>44.609050000000003</v>
      </c>
      <c r="G54" s="94">
        <v>170.30525</v>
      </c>
      <c r="H54" s="94">
        <v>637.85320000000002</v>
      </c>
      <c r="I54" s="94">
        <v>151.91014999999999</v>
      </c>
      <c r="J54" s="851">
        <v>240.56399999999999</v>
      </c>
      <c r="K54" s="94"/>
      <c r="L54" s="94"/>
      <c r="M54" s="78"/>
      <c r="N54" s="78"/>
    </row>
    <row r="55" spans="2:16" ht="18.75">
      <c r="B55" s="135" t="s">
        <v>122</v>
      </c>
      <c r="C55" s="738"/>
      <c r="D55" s="94"/>
      <c r="E55" s="94"/>
      <c r="F55" s="94">
        <v>171.26168000000001</v>
      </c>
      <c r="G55" s="94"/>
      <c r="H55" s="94"/>
      <c r="I55" s="94"/>
      <c r="J55" s="94">
        <v>120.28198</v>
      </c>
      <c r="K55" s="851">
        <v>60.140999999999998</v>
      </c>
      <c r="L55" s="94"/>
      <c r="M55" s="78"/>
      <c r="N55" s="78"/>
    </row>
    <row r="56" spans="2:16" ht="18.75">
      <c r="B56" s="135" t="s">
        <v>123</v>
      </c>
      <c r="C56" s="738">
        <v>13.07944</v>
      </c>
      <c r="D56" s="94">
        <v>10.851000000000001</v>
      </c>
      <c r="E56" s="94"/>
      <c r="F56" s="94">
        <v>29.739370000000001</v>
      </c>
      <c r="G56" s="94">
        <v>298.02755999999999</v>
      </c>
      <c r="H56" s="94"/>
      <c r="I56" s="94"/>
      <c r="J56" s="94"/>
      <c r="K56" s="94"/>
      <c r="L56" s="94"/>
      <c r="M56" s="78"/>
      <c r="N56" s="78"/>
    </row>
    <row r="57" spans="2:16" ht="18.75">
      <c r="B57" s="135" t="s">
        <v>124</v>
      </c>
      <c r="C57" s="738"/>
      <c r="D57" s="94"/>
      <c r="E57" s="94"/>
      <c r="F57" s="94"/>
      <c r="G57" s="94"/>
      <c r="H57" s="94"/>
      <c r="I57" s="94"/>
      <c r="J57" s="94"/>
      <c r="K57" s="94"/>
      <c r="L57" s="94"/>
      <c r="M57" s="78"/>
      <c r="N57" s="78"/>
    </row>
    <row r="58" spans="2:16" ht="26.25">
      <c r="B58" s="541" t="s">
        <v>167</v>
      </c>
      <c r="C58" s="99">
        <f>(C49+C50+D48)/C42</f>
        <v>0.2999975855674844</v>
      </c>
      <c r="D58" s="99">
        <f>(D49+D50+E48)/D42</f>
        <v>0.42053170808273949</v>
      </c>
      <c r="E58" s="99">
        <f t="shared" ref="E58:K58" si="63">(E49+E50+F48)/E42</f>
        <v>0.38589889573862007</v>
      </c>
      <c r="F58" s="99">
        <f>(F49+F50+G48)/F42</f>
        <v>0.29999963228746229</v>
      </c>
      <c r="G58" s="99">
        <f t="shared" si="63"/>
        <v>0.32611997728412384</v>
      </c>
      <c r="H58" s="99">
        <f t="shared" si="63"/>
        <v>0.44017071769406702</v>
      </c>
      <c r="I58" s="99">
        <f t="shared" si="63"/>
        <v>0.29999970660677644</v>
      </c>
      <c r="J58" s="99">
        <f t="shared" si="63"/>
        <v>0.90330009733671857</v>
      </c>
      <c r="K58" s="99">
        <f t="shared" si="63"/>
        <v>0.18097457881776399</v>
      </c>
      <c r="L58" s="99"/>
      <c r="M58" s="815"/>
      <c r="N58" s="815"/>
    </row>
    <row r="59" spans="2:16" ht="28.5">
      <c r="B59" s="540" t="s">
        <v>303</v>
      </c>
      <c r="C59" s="54">
        <f>AVERAGE(H58:J58)</f>
        <v>0.54782350721252071</v>
      </c>
      <c r="D59" s="54"/>
      <c r="E59" s="54"/>
      <c r="F59" s="54"/>
      <c r="G59" s="54"/>
      <c r="H59" s="54"/>
      <c r="I59" s="54"/>
      <c r="J59" s="54"/>
      <c r="K59" s="54"/>
      <c r="L59" s="54"/>
      <c r="M59" s="816"/>
      <c r="N59" s="816"/>
    </row>
    <row r="60" spans="2:16" ht="26.25">
      <c r="B60" s="541" t="s">
        <v>299</v>
      </c>
      <c r="C60" s="99" t="e">
        <f>+C47/B21</f>
        <v>#VALUE!</v>
      </c>
      <c r="D60" s="99">
        <f t="shared" ref="D60:N60" si="64">+D47/C21</f>
        <v>9.137866790870983E-3</v>
      </c>
      <c r="E60" s="99">
        <f t="shared" si="64"/>
        <v>1.8025470653377632E-2</v>
      </c>
      <c r="F60" s="99">
        <f t="shared" si="64"/>
        <v>2.4673177083333334E-2</v>
      </c>
      <c r="G60" s="99">
        <f t="shared" si="64"/>
        <v>0.17269680000000001</v>
      </c>
      <c r="H60" s="99">
        <f t="shared" si="64"/>
        <v>0.10321515151515152</v>
      </c>
      <c r="I60" s="99">
        <f>+I47/H21</f>
        <v>0.2223258975252701</v>
      </c>
      <c r="J60" s="99">
        <f>+J47/I21</f>
        <v>9.4972777390090718E-2</v>
      </c>
      <c r="K60" s="99">
        <f t="shared" si="64"/>
        <v>9.1762282575526391E-2</v>
      </c>
      <c r="L60" s="99">
        <f t="shared" si="64"/>
        <v>0</v>
      </c>
      <c r="M60" s="99" t="e">
        <f t="shared" si="64"/>
        <v>#DIV/0!</v>
      </c>
      <c r="N60" s="99" t="e">
        <f t="shared" si="64"/>
        <v>#DIV/0!</v>
      </c>
    </row>
    <row r="61" spans="2:16" ht="26.25">
      <c r="B61" s="542" t="s">
        <v>384</v>
      </c>
      <c r="C61" s="731">
        <f>AVERAGE(H60:J60)</f>
        <v>0.14017127547683747</v>
      </c>
      <c r="D61" s="534"/>
      <c r="E61" s="534"/>
      <c r="F61" s="534"/>
      <c r="G61" s="534"/>
      <c r="H61" s="534"/>
      <c r="I61" s="534"/>
      <c r="J61" s="534"/>
      <c r="K61" s="534"/>
      <c r="L61" s="534"/>
      <c r="M61" s="534"/>
      <c r="N61" s="534"/>
      <c r="O61" s="534"/>
      <c r="P61" s="534"/>
    </row>
    <row r="62" spans="2:16" ht="26.25">
      <c r="B62" s="543" t="s">
        <v>176</v>
      </c>
      <c r="C62" s="730">
        <f>+C43*(100%-C58)</f>
        <v>2.5683366171452972E-2</v>
      </c>
      <c r="D62" s="355">
        <f t="shared" ref="D62:I62" si="65">+D43*(100%-D58)</f>
        <v>3.2537277845430701E-2</v>
      </c>
      <c r="E62" s="355">
        <f t="shared" si="65"/>
        <v>3.6998153131587101E-2</v>
      </c>
      <c r="F62" s="549">
        <f t="shared" si="65"/>
        <v>4.892407684132094E-2</v>
      </c>
      <c r="G62" s="355">
        <f t="shared" si="65"/>
        <v>0.23738204150096456</v>
      </c>
      <c r="H62" s="355">
        <f>+H43*(100%-H58)</f>
        <v>0.27002858354836717</v>
      </c>
      <c r="I62" s="355">
        <f t="shared" si="65"/>
        <v>7.3236734846929205E-2</v>
      </c>
      <c r="J62" s="355">
        <f t="shared" ref="J62:K62" si="66">+J43*(100%-J58)</f>
        <v>6.8486092706365933E-3</v>
      </c>
      <c r="K62" s="355">
        <f t="shared" si="66"/>
        <v>4.9363998210494045E-2</v>
      </c>
      <c r="L62" s="355"/>
      <c r="M62" s="355"/>
      <c r="N62" s="355"/>
    </row>
    <row r="63" spans="2:16" ht="26.25">
      <c r="B63" s="542" t="s">
        <v>306</v>
      </c>
      <c r="C63" s="731">
        <f>AVERAGE(H62:J62)</f>
        <v>0.11670464255531099</v>
      </c>
      <c r="D63" s="534"/>
      <c r="E63" s="534"/>
      <c r="F63" s="534"/>
      <c r="G63" s="534"/>
      <c r="H63" s="534"/>
      <c r="I63" s="534"/>
      <c r="J63" s="534"/>
      <c r="K63" s="534"/>
      <c r="L63" s="534"/>
      <c r="M63" s="534"/>
      <c r="N63" s="534"/>
      <c r="O63" s="534"/>
    </row>
    <row r="64" spans="2:16" ht="26.25">
      <c r="B64" s="543" t="s">
        <v>300</v>
      </c>
      <c r="C64" s="785">
        <f ca="1">B3</f>
        <v>4290</v>
      </c>
    </row>
    <row r="65" spans="2:14" ht="26.25">
      <c r="B65" s="543"/>
    </row>
    <row r="66" spans="2:14" ht="15">
      <c r="B66" s="75" t="s">
        <v>307</v>
      </c>
    </row>
    <row r="67" spans="2:14" ht="15"/>
    <row r="68" spans="2:14" ht="15">
      <c r="B68" s="57" t="s">
        <v>385</v>
      </c>
      <c r="C68" s="158">
        <v>2017</v>
      </c>
      <c r="D68" s="158">
        <v>2018</v>
      </c>
      <c r="E68" s="158">
        <v>2019</v>
      </c>
      <c r="F68" s="158">
        <v>2020</v>
      </c>
      <c r="G68" s="158">
        <v>2021</v>
      </c>
      <c r="H68" s="158">
        <v>2022</v>
      </c>
      <c r="I68" s="158">
        <v>2023</v>
      </c>
      <c r="J68" s="158">
        <v>2024</v>
      </c>
      <c r="K68" s="158">
        <v>2025</v>
      </c>
      <c r="L68" s="158"/>
      <c r="M68" s="612"/>
      <c r="N68" s="612"/>
    </row>
    <row r="69" spans="2:14" ht="15">
      <c r="B69" s="157" t="s">
        <v>309</v>
      </c>
      <c r="C69" s="66"/>
      <c r="D69" s="66"/>
      <c r="E69" s="66"/>
      <c r="F69" s="66"/>
      <c r="G69" s="66"/>
      <c r="H69" s="66"/>
      <c r="I69" s="66"/>
      <c r="J69" s="66"/>
      <c r="K69" s="66"/>
      <c r="L69" s="66"/>
      <c r="M69" s="139"/>
      <c r="N69" s="139"/>
    </row>
    <row r="70" spans="2:14" ht="15">
      <c r="B70" s="58" t="s">
        <v>310</v>
      </c>
      <c r="C70" s="64">
        <v>876108615000</v>
      </c>
      <c r="D70" s="64">
        <v>973990965000</v>
      </c>
      <c r="E70" s="64">
        <v>1025848202000</v>
      </c>
      <c r="F70" s="159">
        <v>1143051372000</v>
      </c>
      <c r="G70" s="64">
        <v>1238877001000</v>
      </c>
      <c r="H70" s="141">
        <v>2491560245000</v>
      </c>
      <c r="I70" s="64">
        <v>3897029041000</v>
      </c>
      <c r="J70" s="64">
        <v>3464780325000</v>
      </c>
      <c r="K70" s="64">
        <v>3745464243000</v>
      </c>
      <c r="L70" s="64"/>
      <c r="M70" s="817"/>
      <c r="N70" s="817"/>
    </row>
    <row r="71" spans="2:14" ht="15">
      <c r="B71" s="59" t="s">
        <v>386</v>
      </c>
      <c r="C71" s="66"/>
      <c r="D71" s="66"/>
      <c r="E71" s="66"/>
      <c r="F71" s="66"/>
      <c r="G71" s="66"/>
      <c r="H71" s="160"/>
      <c r="I71" s="66"/>
      <c r="J71" s="66"/>
      <c r="K71" s="66"/>
      <c r="L71" s="66"/>
      <c r="M71" s="139"/>
      <c r="N71" s="139"/>
    </row>
    <row r="72" spans="2:14" ht="15">
      <c r="B72" s="59" t="s">
        <v>387</v>
      </c>
      <c r="C72" s="66"/>
      <c r="D72" s="66"/>
      <c r="E72" s="66"/>
      <c r="F72" s="66"/>
      <c r="G72" s="66"/>
      <c r="H72" s="160"/>
      <c r="I72" s="66"/>
      <c r="J72" s="66"/>
      <c r="K72" s="66"/>
      <c r="L72" s="66"/>
      <c r="M72" s="139"/>
      <c r="N72" s="139"/>
    </row>
    <row r="73" spans="2:14" ht="15">
      <c r="B73" s="59" t="s">
        <v>388</v>
      </c>
      <c r="C73" s="66"/>
      <c r="D73" s="66"/>
      <c r="E73" s="66"/>
      <c r="F73" s="66"/>
      <c r="G73" s="66"/>
      <c r="H73" s="160"/>
      <c r="I73" s="66"/>
      <c r="J73" s="66"/>
      <c r="K73" s="66"/>
      <c r="L73" s="66"/>
      <c r="M73" s="139"/>
      <c r="N73" s="139"/>
    </row>
    <row r="74" spans="2:14" ht="15">
      <c r="B74" s="59" t="s">
        <v>389</v>
      </c>
      <c r="C74" s="66"/>
      <c r="D74" s="66"/>
      <c r="E74" s="66"/>
      <c r="F74" s="66"/>
      <c r="G74" s="66"/>
      <c r="H74" s="160"/>
      <c r="I74" s="66"/>
      <c r="J74" s="66"/>
      <c r="K74" s="66"/>
      <c r="L74" s="66"/>
      <c r="M74" s="139"/>
      <c r="N74" s="139"/>
    </row>
    <row r="75" spans="2:14" ht="15">
      <c r="B75" s="59" t="s">
        <v>390</v>
      </c>
      <c r="C75" s="66"/>
      <c r="D75" s="66"/>
      <c r="E75" s="66"/>
      <c r="F75" s="66"/>
      <c r="G75" s="66"/>
      <c r="H75" s="160"/>
      <c r="I75" s="66"/>
      <c r="J75" s="66"/>
      <c r="K75" s="66"/>
      <c r="L75" s="66"/>
      <c r="M75" s="139"/>
      <c r="N75" s="139"/>
    </row>
    <row r="76" spans="2:14" ht="15">
      <c r="B76" s="59" t="s">
        <v>391</v>
      </c>
      <c r="C76" s="161">
        <v>99512693000</v>
      </c>
      <c r="D76" s="66">
        <v>99026213000</v>
      </c>
      <c r="E76" s="66">
        <v>119803622000</v>
      </c>
      <c r="F76" s="66">
        <v>114724579000</v>
      </c>
      <c r="G76" s="66">
        <v>132546221000</v>
      </c>
      <c r="H76" s="160">
        <v>227263353000</v>
      </c>
      <c r="I76" s="66">
        <v>224968123000</v>
      </c>
      <c r="J76" s="66">
        <v>205464073000</v>
      </c>
      <c r="K76" s="66">
        <v>250933569000</v>
      </c>
      <c r="L76" s="66"/>
      <c r="M76" s="139"/>
      <c r="N76" s="139"/>
    </row>
    <row r="77" spans="2:14" ht="15">
      <c r="B77" s="59" t="s">
        <v>392</v>
      </c>
      <c r="C77" s="66"/>
      <c r="D77" s="66"/>
      <c r="E77" s="66"/>
      <c r="F77" s="66"/>
      <c r="G77" s="66"/>
      <c r="H77" s="160"/>
      <c r="I77" s="66"/>
      <c r="J77" s="66"/>
      <c r="K77" s="66"/>
      <c r="L77" s="66"/>
      <c r="M77" s="139"/>
      <c r="N77" s="139"/>
    </row>
    <row r="78" spans="2:14" ht="15">
      <c r="B78" s="59" t="s">
        <v>318</v>
      </c>
      <c r="C78" s="66">
        <f t="shared" ref="C78:K78" si="67">+C70-C71-C76-C77-C75-C74-C73-C72</f>
        <v>776595922000</v>
      </c>
      <c r="D78" s="66">
        <f t="shared" si="67"/>
        <v>874964752000</v>
      </c>
      <c r="E78" s="66">
        <f t="shared" si="67"/>
        <v>906044580000</v>
      </c>
      <c r="F78" s="66">
        <f t="shared" si="67"/>
        <v>1028326793000</v>
      </c>
      <c r="G78" s="66">
        <f t="shared" si="67"/>
        <v>1106330780000</v>
      </c>
      <c r="H78" s="66">
        <f t="shared" si="67"/>
        <v>2264296892000</v>
      </c>
      <c r="I78" s="66">
        <f t="shared" si="67"/>
        <v>3672060918000</v>
      </c>
      <c r="J78" s="66">
        <f t="shared" si="67"/>
        <v>3259316252000</v>
      </c>
      <c r="K78" s="66">
        <f t="shared" si="67"/>
        <v>3494530674000</v>
      </c>
      <c r="L78" s="66"/>
      <c r="M78" s="139"/>
      <c r="N78" s="139"/>
    </row>
    <row r="79" spans="2:14" ht="15">
      <c r="B79" s="58" t="s">
        <v>319</v>
      </c>
      <c r="C79" s="64">
        <v>4282127528000</v>
      </c>
      <c r="D79" s="64">
        <v>4835596807000</v>
      </c>
      <c r="E79" s="64">
        <v>5397020859000</v>
      </c>
      <c r="F79" s="159">
        <v>5647781818000</v>
      </c>
      <c r="G79" s="64">
        <v>8951385564000</v>
      </c>
      <c r="H79" s="141">
        <v>11975726818000</v>
      </c>
      <c r="I79" s="64">
        <v>9665902419000</v>
      </c>
      <c r="J79" s="64">
        <v>11065494681000</v>
      </c>
      <c r="K79" s="64">
        <v>10404049445000</v>
      </c>
      <c r="L79" s="64"/>
      <c r="M79" s="817"/>
      <c r="N79" s="817"/>
    </row>
    <row r="80" spans="2:14" ht="15">
      <c r="B80" s="59" t="s">
        <v>393</v>
      </c>
      <c r="C80" s="66"/>
      <c r="D80" s="66"/>
      <c r="E80" s="66"/>
      <c r="F80" s="66"/>
      <c r="G80" s="66"/>
      <c r="H80" s="160"/>
      <c r="I80" s="66"/>
      <c r="J80" s="66"/>
      <c r="K80" s="66"/>
      <c r="L80" s="66"/>
      <c r="M80" s="139"/>
      <c r="N80" s="139"/>
    </row>
    <row r="81" spans="2:14" ht="15">
      <c r="B81" s="59" t="s">
        <v>394</v>
      </c>
      <c r="C81" s="66"/>
      <c r="D81" s="66"/>
      <c r="E81" s="66"/>
      <c r="F81" s="66"/>
      <c r="G81" s="66"/>
      <c r="H81" s="160"/>
      <c r="I81" s="66"/>
      <c r="J81" s="66"/>
      <c r="K81" s="66"/>
      <c r="L81" s="66"/>
      <c r="M81" s="139"/>
      <c r="N81" s="139"/>
    </row>
    <row r="82" spans="2:14" ht="15">
      <c r="B82" s="59" t="s">
        <v>395</v>
      </c>
      <c r="C82" s="66"/>
      <c r="D82" s="66"/>
      <c r="E82" s="66"/>
      <c r="F82" s="66"/>
      <c r="G82" s="66"/>
      <c r="H82" s="160"/>
      <c r="I82" s="66"/>
      <c r="J82" s="66"/>
      <c r="K82" s="66"/>
      <c r="L82" s="66"/>
      <c r="M82" s="139"/>
      <c r="N82" s="139"/>
    </row>
    <row r="83" spans="2:14" ht="15">
      <c r="B83" s="59" t="s">
        <v>396</v>
      </c>
      <c r="C83" s="66"/>
      <c r="D83" s="66"/>
      <c r="E83" s="66"/>
      <c r="F83" s="66"/>
      <c r="G83" s="66"/>
      <c r="H83" s="160"/>
      <c r="I83" s="66"/>
      <c r="J83" s="66"/>
      <c r="K83" s="66"/>
      <c r="L83" s="66"/>
      <c r="M83" s="139"/>
      <c r="N83" s="139"/>
    </row>
    <row r="84" spans="2:14" ht="15">
      <c r="B84" s="59" t="s">
        <v>397</v>
      </c>
      <c r="C84" s="66"/>
      <c r="D84" s="66"/>
      <c r="E84" s="66"/>
      <c r="F84" s="66"/>
      <c r="G84" s="66"/>
      <c r="H84" s="160"/>
      <c r="I84" s="66"/>
      <c r="J84" s="66"/>
      <c r="K84" s="66"/>
      <c r="L84" s="66"/>
      <c r="M84" s="139"/>
      <c r="N84" s="139"/>
    </row>
    <row r="85" spans="2:14" ht="15">
      <c r="B85" s="59" t="s">
        <v>398</v>
      </c>
      <c r="C85" s="66"/>
      <c r="D85" s="66"/>
      <c r="E85" s="66"/>
      <c r="F85" s="66"/>
      <c r="G85" s="66"/>
      <c r="H85" s="160"/>
      <c r="I85" s="66"/>
      <c r="J85" s="66"/>
      <c r="K85" s="66"/>
      <c r="L85" s="66"/>
      <c r="M85" s="139"/>
      <c r="N85" s="139"/>
    </row>
    <row r="86" spans="2:14" ht="15">
      <c r="B86" s="59" t="s">
        <v>399</v>
      </c>
      <c r="C86" s="66"/>
      <c r="D86" s="66"/>
      <c r="E86" s="66"/>
      <c r="F86" s="66"/>
      <c r="G86" s="66"/>
      <c r="H86" s="160"/>
      <c r="I86" s="66"/>
      <c r="J86" s="66"/>
      <c r="K86" s="66"/>
      <c r="L86" s="66"/>
      <c r="M86" s="139"/>
      <c r="N86" s="139"/>
    </row>
    <row r="87" spans="2:14" ht="15">
      <c r="B87" s="59" t="s">
        <v>400</v>
      </c>
      <c r="C87" s="66"/>
      <c r="D87" s="66"/>
      <c r="E87" s="66"/>
      <c r="F87" s="161"/>
      <c r="G87" s="66"/>
      <c r="H87" s="160"/>
      <c r="I87" s="66"/>
      <c r="J87" s="66"/>
      <c r="K87" s="66"/>
      <c r="L87" s="66"/>
      <c r="M87" s="139"/>
      <c r="N87" s="139"/>
    </row>
    <row r="88" spans="2:14" ht="15">
      <c r="B88" s="59" t="s">
        <v>401</v>
      </c>
      <c r="C88" s="66"/>
      <c r="D88" s="66"/>
      <c r="E88" s="66"/>
      <c r="F88" s="66"/>
      <c r="G88" s="66"/>
      <c r="H88" s="160"/>
      <c r="I88" s="66"/>
      <c r="J88" s="66"/>
      <c r="K88" s="66"/>
      <c r="L88" s="66"/>
      <c r="M88" s="139"/>
      <c r="N88" s="139"/>
    </row>
    <row r="89" spans="2:14" ht="15">
      <c r="B89" s="59" t="s">
        <v>328</v>
      </c>
      <c r="C89" s="66">
        <f t="shared" ref="C89:K89" si="68">+C79-C86-C87-C85-C80-C88-C84-C83-C82-C81</f>
        <v>4282127528000</v>
      </c>
      <c r="D89" s="66">
        <f t="shared" si="68"/>
        <v>4835596807000</v>
      </c>
      <c r="E89" s="66">
        <f t="shared" si="68"/>
        <v>5397020859000</v>
      </c>
      <c r="F89" s="66">
        <f t="shared" si="68"/>
        <v>5647781818000</v>
      </c>
      <c r="G89" s="66">
        <f t="shared" si="68"/>
        <v>8951385564000</v>
      </c>
      <c r="H89" s="66">
        <f t="shared" si="68"/>
        <v>11975726818000</v>
      </c>
      <c r="I89" s="66">
        <f t="shared" si="68"/>
        <v>9665902419000</v>
      </c>
      <c r="J89" s="66">
        <f t="shared" si="68"/>
        <v>11065494681000</v>
      </c>
      <c r="K89" s="66">
        <f t="shared" si="68"/>
        <v>10404049445000</v>
      </c>
      <c r="L89" s="66"/>
      <c r="M89" s="139"/>
      <c r="N89" s="139"/>
    </row>
    <row r="90" spans="2:14" ht="15">
      <c r="B90" s="58" t="s">
        <v>828</v>
      </c>
      <c r="C90" s="218">
        <v>32824183692000</v>
      </c>
      <c r="D90" s="218">
        <v>35926494810000</v>
      </c>
      <c r="E90" s="218">
        <v>41273328022000</v>
      </c>
      <c r="F90" s="218">
        <v>46095123507000</v>
      </c>
      <c r="G90" s="218">
        <v>51626093671000</v>
      </c>
      <c r="H90" s="218">
        <v>55105262579000</v>
      </c>
      <c r="I90" s="133">
        <v>55785579574000</v>
      </c>
      <c r="J90" s="133">
        <v>52095438633000</v>
      </c>
      <c r="K90" s="133">
        <v>55445809425000</v>
      </c>
      <c r="L90" s="133"/>
      <c r="M90" s="139"/>
      <c r="N90" s="139"/>
    </row>
    <row r="91" spans="2:14" ht="15">
      <c r="B91" s="60" t="s">
        <v>329</v>
      </c>
      <c r="C91" s="70">
        <f>+C90+C79+C70</f>
        <v>37982419835000</v>
      </c>
      <c r="D91" s="162">
        <f t="shared" ref="D91:G91" si="69">+D90+D79+D70</f>
        <v>41736082582000</v>
      </c>
      <c r="E91" s="162">
        <f t="shared" si="69"/>
        <v>47696197083000</v>
      </c>
      <c r="F91" s="162">
        <f t="shared" si="69"/>
        <v>52885956697000</v>
      </c>
      <c r="G91" s="162">
        <f t="shared" si="69"/>
        <v>61816356236000</v>
      </c>
      <c r="H91" s="162">
        <f t="shared" ref="H91:K91" si="70">+H90+H79+H70</f>
        <v>69572549642000</v>
      </c>
      <c r="I91" s="162">
        <f t="shared" si="70"/>
        <v>69348511034000</v>
      </c>
      <c r="J91" s="162">
        <f>+J90+J79+J70</f>
        <v>66625713639000</v>
      </c>
      <c r="K91" s="162">
        <f t="shared" si="70"/>
        <v>69595323113000</v>
      </c>
      <c r="L91" s="162"/>
      <c r="M91" s="818"/>
      <c r="N91" s="818"/>
    </row>
    <row r="92" spans="2:14" ht="15">
      <c r="B92" s="61"/>
      <c r="C92" s="72"/>
      <c r="D92" s="72"/>
      <c r="E92" s="72"/>
      <c r="F92" s="72"/>
      <c r="G92" s="72"/>
      <c r="H92" s="163"/>
      <c r="I92" s="72"/>
      <c r="J92" s="72"/>
      <c r="K92" s="72"/>
      <c r="L92" s="72"/>
      <c r="M92" s="139"/>
      <c r="N92" s="139"/>
    </row>
    <row r="93" spans="2:14" ht="15">
      <c r="B93" s="57" t="s">
        <v>330</v>
      </c>
      <c r="C93" s="62"/>
      <c r="D93" s="62"/>
      <c r="E93" s="62"/>
      <c r="F93" s="62"/>
      <c r="G93" s="62"/>
      <c r="H93" s="164"/>
      <c r="I93" s="62"/>
      <c r="J93" s="62"/>
      <c r="K93" s="62"/>
      <c r="L93" s="62"/>
      <c r="M93" s="139"/>
      <c r="N93" s="139"/>
    </row>
    <row r="94" spans="2:14" ht="15">
      <c r="B94" s="58" t="s">
        <v>310</v>
      </c>
      <c r="C94" s="64">
        <v>432363697000</v>
      </c>
      <c r="D94" s="64">
        <v>423167102000</v>
      </c>
      <c r="E94" s="64">
        <v>521269987000</v>
      </c>
      <c r="F94" s="64">
        <v>653352236000</v>
      </c>
      <c r="G94" s="64">
        <v>1306933554000</v>
      </c>
      <c r="H94" s="141">
        <v>2952928556000</v>
      </c>
      <c r="I94" s="64">
        <v>1341580309000</v>
      </c>
      <c r="J94" s="64">
        <v>776745844000</v>
      </c>
      <c r="K94" s="64">
        <v>854199172000</v>
      </c>
      <c r="L94" s="64"/>
      <c r="M94" s="817"/>
      <c r="N94" s="817"/>
    </row>
    <row r="95" spans="2:14" ht="15">
      <c r="B95" s="59" t="s">
        <v>402</v>
      </c>
      <c r="C95" s="66"/>
      <c r="D95" s="66"/>
      <c r="E95" s="66"/>
      <c r="F95" s="66"/>
      <c r="G95" s="66"/>
      <c r="H95" s="160"/>
      <c r="I95" s="66"/>
      <c r="J95" s="66"/>
      <c r="K95" s="66"/>
      <c r="L95" s="66"/>
      <c r="M95" s="139"/>
      <c r="N95" s="139"/>
    </row>
    <row r="96" spans="2:14" ht="15">
      <c r="B96" s="59" t="s">
        <v>403</v>
      </c>
      <c r="C96" s="66"/>
      <c r="D96" s="66"/>
      <c r="E96" s="66"/>
      <c r="F96" s="66"/>
      <c r="G96" s="66"/>
      <c r="H96" s="160"/>
      <c r="I96" s="66"/>
      <c r="J96" s="66"/>
      <c r="K96" s="66"/>
      <c r="L96" s="66"/>
      <c r="M96" s="139"/>
      <c r="N96" s="139"/>
    </row>
    <row r="97" spans="2:14" ht="15">
      <c r="B97" s="59" t="s">
        <v>404</v>
      </c>
      <c r="C97" s="66"/>
      <c r="D97" s="66"/>
      <c r="E97" s="66"/>
      <c r="F97" s="66"/>
      <c r="G97" s="66"/>
      <c r="H97" s="160"/>
      <c r="I97" s="66"/>
      <c r="J97" s="66"/>
      <c r="K97" s="66"/>
      <c r="L97" s="66"/>
      <c r="M97" s="139"/>
      <c r="N97" s="139"/>
    </row>
    <row r="98" spans="2:14" ht="15">
      <c r="B98" s="59" t="s">
        <v>405</v>
      </c>
      <c r="C98" s="66"/>
      <c r="D98" s="66"/>
      <c r="E98" s="66"/>
      <c r="F98" s="66"/>
      <c r="G98" s="66"/>
      <c r="H98" s="160"/>
      <c r="I98" s="66"/>
      <c r="J98" s="66"/>
      <c r="K98" s="66"/>
      <c r="L98" s="66"/>
      <c r="M98" s="139"/>
      <c r="N98" s="139"/>
    </row>
    <row r="99" spans="2:14" ht="15">
      <c r="B99" s="59" t="s">
        <v>406</v>
      </c>
      <c r="C99" s="66"/>
      <c r="D99" s="66"/>
      <c r="E99" s="66"/>
      <c r="F99" s="66"/>
      <c r="G99" s="66"/>
      <c r="H99" s="160"/>
      <c r="I99" s="66"/>
      <c r="J99" s="66"/>
      <c r="K99" s="66"/>
      <c r="L99" s="66"/>
      <c r="M99" s="139"/>
      <c r="N99" s="139"/>
    </row>
    <row r="100" spans="2:14" ht="15">
      <c r="B100" s="59" t="s">
        <v>407</v>
      </c>
      <c r="C100" s="66"/>
      <c r="D100" s="66"/>
      <c r="E100" s="66"/>
      <c r="F100" s="66"/>
      <c r="G100" s="66"/>
      <c r="H100" s="160"/>
      <c r="I100" s="66"/>
      <c r="J100" s="66"/>
      <c r="K100" s="66"/>
      <c r="L100" s="66"/>
      <c r="M100" s="139"/>
      <c r="N100" s="139"/>
    </row>
    <row r="101" spans="2:14" ht="15">
      <c r="B101" s="59" t="s">
        <v>408</v>
      </c>
      <c r="C101" s="66"/>
      <c r="D101" s="66"/>
      <c r="E101" s="66"/>
      <c r="F101" s="66"/>
      <c r="G101" s="66"/>
      <c r="H101" s="160"/>
      <c r="I101" s="66"/>
      <c r="J101" s="66"/>
      <c r="K101" s="66"/>
      <c r="L101" s="66"/>
      <c r="M101" s="139"/>
      <c r="N101" s="139"/>
    </row>
    <row r="102" spans="2:14" ht="15">
      <c r="B102" s="59" t="s">
        <v>409</v>
      </c>
      <c r="C102" s="66"/>
      <c r="D102" s="66"/>
      <c r="E102" s="66"/>
      <c r="F102" s="66"/>
      <c r="G102" s="66"/>
      <c r="H102" s="160"/>
      <c r="I102" s="66"/>
      <c r="J102" s="66"/>
      <c r="K102" s="66"/>
      <c r="L102" s="66"/>
      <c r="M102" s="139"/>
      <c r="N102" s="139"/>
    </row>
    <row r="103" spans="2:14" ht="15">
      <c r="B103" s="59" t="s">
        <v>410</v>
      </c>
      <c r="C103" s="66">
        <f t="shared" ref="C103:K103" si="71">+C94-C95-C101-C102-C100-C99-C98-C97-C96</f>
        <v>432363697000</v>
      </c>
      <c r="D103" s="66">
        <f t="shared" si="71"/>
        <v>423167102000</v>
      </c>
      <c r="E103" s="66">
        <f t="shared" si="71"/>
        <v>521269987000</v>
      </c>
      <c r="F103" s="66">
        <f t="shared" si="71"/>
        <v>653352236000</v>
      </c>
      <c r="G103" s="66">
        <f t="shared" si="71"/>
        <v>1306933554000</v>
      </c>
      <c r="H103" s="66">
        <f t="shared" si="71"/>
        <v>2952928556000</v>
      </c>
      <c r="I103" s="66">
        <f t="shared" si="71"/>
        <v>1341580309000</v>
      </c>
      <c r="J103" s="66">
        <f t="shared" si="71"/>
        <v>776745844000</v>
      </c>
      <c r="K103" s="66">
        <f t="shared" si="71"/>
        <v>854199172000</v>
      </c>
      <c r="L103" s="66"/>
      <c r="M103" s="139"/>
      <c r="N103" s="139"/>
    </row>
    <row r="104" spans="2:14" ht="15">
      <c r="B104" s="58" t="s">
        <v>319</v>
      </c>
      <c r="C104" s="64">
        <v>1381914322000</v>
      </c>
      <c r="D104" s="64">
        <v>1773393794000</v>
      </c>
      <c r="E104" s="64">
        <v>2154984736000</v>
      </c>
      <c r="F104" s="64">
        <v>2301570012000</v>
      </c>
      <c r="G104" s="64">
        <v>2528949636000</v>
      </c>
      <c r="H104" s="141">
        <v>2497654855000</v>
      </c>
      <c r="I104" s="64">
        <v>2703118060000</v>
      </c>
      <c r="J104" s="64">
        <v>2981563714000</v>
      </c>
      <c r="K104" s="64">
        <v>2862407361000</v>
      </c>
      <c r="L104" s="64"/>
      <c r="M104" s="817"/>
      <c r="N104" s="817"/>
    </row>
    <row r="105" spans="2:14" ht="15">
      <c r="B105" s="59" t="s">
        <v>411</v>
      </c>
      <c r="C105" s="66"/>
      <c r="D105" s="66"/>
      <c r="E105" s="66"/>
      <c r="F105" s="66"/>
      <c r="G105" s="66"/>
      <c r="H105" s="160"/>
      <c r="I105" s="66"/>
      <c r="J105" s="66"/>
      <c r="K105" s="66"/>
      <c r="L105" s="66"/>
      <c r="M105" s="139"/>
      <c r="N105" s="139"/>
    </row>
    <row r="106" spans="2:14" ht="15">
      <c r="B106" s="59" t="s">
        <v>412</v>
      </c>
      <c r="C106" s="66"/>
      <c r="D106" s="66"/>
      <c r="E106" s="66"/>
      <c r="F106" s="66"/>
      <c r="G106" s="66"/>
      <c r="H106" s="160"/>
      <c r="I106" s="66"/>
      <c r="J106" s="66"/>
      <c r="K106" s="66"/>
      <c r="L106" s="66"/>
      <c r="M106" s="139"/>
      <c r="N106" s="139"/>
    </row>
    <row r="107" spans="2:14" ht="15">
      <c r="B107" s="59" t="s">
        <v>413</v>
      </c>
      <c r="C107" s="66"/>
      <c r="D107" s="66"/>
      <c r="E107" s="66"/>
      <c r="F107" s="66"/>
      <c r="G107" s="66"/>
      <c r="H107" s="160"/>
      <c r="I107" s="66"/>
      <c r="J107" s="66"/>
      <c r="K107" s="66"/>
      <c r="L107" s="66"/>
      <c r="M107" s="139"/>
      <c r="N107" s="139"/>
    </row>
    <row r="108" spans="2:14" ht="15">
      <c r="B108" s="59" t="s">
        <v>414</v>
      </c>
      <c r="C108" s="66"/>
      <c r="D108" s="66"/>
      <c r="E108" s="66"/>
      <c r="F108" s="66"/>
      <c r="G108" s="66"/>
      <c r="H108" s="160"/>
      <c r="I108" s="66"/>
      <c r="J108" s="66"/>
      <c r="K108" s="66"/>
      <c r="L108" s="66"/>
      <c r="M108" s="139"/>
      <c r="N108" s="139"/>
    </row>
    <row r="109" spans="2:14" ht="15">
      <c r="B109" s="59" t="s">
        <v>341</v>
      </c>
      <c r="C109" s="66">
        <f t="shared" ref="C109:K109" si="72">+C104-C105-C107-C108-C106</f>
        <v>1381914322000</v>
      </c>
      <c r="D109" s="66">
        <f t="shared" si="72"/>
        <v>1773393794000</v>
      </c>
      <c r="E109" s="66">
        <f t="shared" si="72"/>
        <v>2154984736000</v>
      </c>
      <c r="F109" s="66">
        <f t="shared" si="72"/>
        <v>2301570012000</v>
      </c>
      <c r="G109" s="66">
        <f t="shared" si="72"/>
        <v>2528949636000</v>
      </c>
      <c r="H109" s="66">
        <f t="shared" si="72"/>
        <v>2497654855000</v>
      </c>
      <c r="I109" s="66">
        <f t="shared" si="72"/>
        <v>2703118060000</v>
      </c>
      <c r="J109" s="66">
        <f t="shared" si="72"/>
        <v>2981563714000</v>
      </c>
      <c r="K109" s="66">
        <f t="shared" si="72"/>
        <v>2862407361000</v>
      </c>
      <c r="L109" s="66"/>
      <c r="M109" s="139"/>
      <c r="N109" s="139"/>
    </row>
    <row r="110" spans="2:14" ht="15">
      <c r="B110" s="58" t="s">
        <v>829</v>
      </c>
      <c r="C110" s="218">
        <v>29615351348000</v>
      </c>
      <c r="D110" s="218">
        <v>32418479277000</v>
      </c>
      <c r="E110" s="218">
        <v>37520550416000</v>
      </c>
      <c r="F110" s="218">
        <v>42165111586000</v>
      </c>
      <c r="G110" s="218">
        <v>47259609538000</v>
      </c>
      <c r="H110" s="218">
        <v>50120552212000</v>
      </c>
      <c r="I110" s="218">
        <v>50120115023000</v>
      </c>
      <c r="J110" s="218">
        <v>45986199406000</v>
      </c>
      <c r="K110" s="218">
        <v>49330394129000</v>
      </c>
      <c r="L110" s="218"/>
      <c r="M110" s="817"/>
      <c r="N110" s="817"/>
    </row>
    <row r="111" spans="2:14" ht="15">
      <c r="B111" s="60" t="s">
        <v>342</v>
      </c>
      <c r="C111" s="70">
        <f t="shared" ref="C111:G111" si="73">+C110+C104+C94</f>
        <v>31429629367000</v>
      </c>
      <c r="D111" s="162">
        <f t="shared" si="73"/>
        <v>34615040173000</v>
      </c>
      <c r="E111" s="162">
        <f t="shared" si="73"/>
        <v>40196805139000</v>
      </c>
      <c r="F111" s="162">
        <f t="shared" si="73"/>
        <v>45120033834000</v>
      </c>
      <c r="G111" s="162">
        <f t="shared" si="73"/>
        <v>51095492728000</v>
      </c>
      <c r="H111" s="162">
        <f t="shared" ref="H111:K111" si="74">+H110+H104+H94</f>
        <v>55571135623000</v>
      </c>
      <c r="I111" s="162">
        <f t="shared" si="74"/>
        <v>54164813392000</v>
      </c>
      <c r="J111" s="162">
        <f t="shared" si="74"/>
        <v>49744508964000</v>
      </c>
      <c r="K111" s="162">
        <f t="shared" si="74"/>
        <v>53047000662000</v>
      </c>
      <c r="L111" s="162"/>
      <c r="M111" s="818"/>
      <c r="N111" s="818"/>
    </row>
    <row r="112" spans="2:14" ht="15">
      <c r="B112" s="61"/>
      <c r="C112" s="61"/>
      <c r="D112" s="61"/>
      <c r="E112" s="61"/>
      <c r="F112" s="61"/>
      <c r="G112" s="61"/>
      <c r="H112" s="61"/>
      <c r="I112" s="61"/>
      <c r="J112" s="61"/>
      <c r="K112" s="61"/>
      <c r="L112" s="61"/>
    </row>
    <row r="113" spans="2:14" ht="15">
      <c r="B113" s="57" t="s">
        <v>343</v>
      </c>
      <c r="C113" s="62"/>
      <c r="D113" s="62"/>
      <c r="E113" s="62"/>
      <c r="F113" s="62"/>
      <c r="G113" s="62"/>
      <c r="H113" s="164"/>
      <c r="I113" s="62"/>
      <c r="J113" s="62"/>
      <c r="K113" s="62"/>
      <c r="L113" s="62"/>
      <c r="M113" s="139"/>
      <c r="N113" s="139"/>
    </row>
    <row r="114" spans="2:14" ht="15">
      <c r="B114" s="59" t="s">
        <v>415</v>
      </c>
      <c r="C114" s="66">
        <v>1223669810000</v>
      </c>
      <c r="D114" s="160">
        <v>1223669810000</v>
      </c>
      <c r="E114" s="160">
        <v>1223669810000</v>
      </c>
      <c r="F114" s="160">
        <v>1223669810000</v>
      </c>
      <c r="G114" s="160">
        <v>1223669810000</v>
      </c>
      <c r="H114" s="160">
        <v>1223669810000</v>
      </c>
      <c r="I114" s="160">
        <v>1223669810000</v>
      </c>
      <c r="J114" s="160">
        <v>1223669810000</v>
      </c>
      <c r="K114" s="160">
        <v>1223669810000</v>
      </c>
      <c r="L114" s="160"/>
      <c r="M114" s="193"/>
      <c r="N114" s="193"/>
    </row>
    <row r="115" spans="2:14" ht="15">
      <c r="B115" s="59" t="s">
        <v>416</v>
      </c>
      <c r="C115" s="66">
        <v>1363473367000</v>
      </c>
      <c r="D115" s="66">
        <v>1461989026000</v>
      </c>
      <c r="E115" s="66">
        <v>1588184889000</v>
      </c>
      <c r="F115" s="66">
        <v>2291413245000</v>
      </c>
      <c r="G115" s="66">
        <v>3565784533000</v>
      </c>
      <c r="H115" s="160">
        <v>5558459930000</v>
      </c>
      <c r="I115" s="66">
        <v>6145831191000</v>
      </c>
      <c r="J115" s="66">
        <v>6616342629000</v>
      </c>
      <c r="K115" s="66">
        <v>6605391232000</v>
      </c>
      <c r="L115" s="66"/>
      <c r="M115" s="139"/>
      <c r="N115" s="139"/>
    </row>
    <row r="116" spans="2:14" ht="15">
      <c r="B116" s="59" t="s">
        <v>417</v>
      </c>
      <c r="C116" s="66">
        <v>31538354000</v>
      </c>
      <c r="D116" s="160">
        <v>31538354000</v>
      </c>
      <c r="E116" s="160">
        <v>31538354000</v>
      </c>
      <c r="F116" s="160">
        <v>31538354000</v>
      </c>
      <c r="G116" s="160">
        <v>31538354000</v>
      </c>
      <c r="H116" s="160">
        <v>31538354000</v>
      </c>
      <c r="I116" s="66">
        <v>31538354000</v>
      </c>
      <c r="J116" s="66">
        <v>31538354000</v>
      </c>
      <c r="K116" s="66">
        <v>31538354000</v>
      </c>
      <c r="L116" s="66"/>
      <c r="M116" s="139"/>
      <c r="N116" s="139"/>
    </row>
    <row r="117" spans="2:14" ht="15">
      <c r="B117" s="59" t="s">
        <v>345</v>
      </c>
      <c r="C117" s="66">
        <v>345031599000</v>
      </c>
      <c r="D117" s="66">
        <v>496154031000</v>
      </c>
      <c r="E117" s="66">
        <v>643041125000</v>
      </c>
      <c r="F117" s="66">
        <v>-9036635000</v>
      </c>
      <c r="G117" s="66">
        <v>553268218000</v>
      </c>
      <c r="H117" s="160">
        <v>515839806000</v>
      </c>
      <c r="I117" s="66">
        <v>646521032000</v>
      </c>
      <c r="J117" s="66">
        <v>1507155251000</v>
      </c>
      <c r="K117" s="66">
        <v>1307294671000</v>
      </c>
      <c r="L117" s="66"/>
      <c r="M117" s="139"/>
      <c r="N117" s="139"/>
    </row>
    <row r="118" spans="2:14" ht="15">
      <c r="B118" s="60" t="s">
        <v>420</v>
      </c>
      <c r="C118" s="64">
        <f t="shared" ref="C118:G118" si="75">+C117+C116+C115+C114</f>
        <v>2963713130000</v>
      </c>
      <c r="D118" s="141">
        <f t="shared" si="75"/>
        <v>3213351221000</v>
      </c>
      <c r="E118" s="141">
        <f t="shared" si="75"/>
        <v>3486434178000</v>
      </c>
      <c r="F118" s="141">
        <f t="shared" si="75"/>
        <v>3537584774000</v>
      </c>
      <c r="G118" s="141">
        <f t="shared" si="75"/>
        <v>5374260915000</v>
      </c>
      <c r="H118" s="141">
        <f t="shared" ref="H118:K118" si="76">+H117+H116+H115+H114</f>
        <v>7329507900000</v>
      </c>
      <c r="I118" s="141">
        <f t="shared" si="76"/>
        <v>8047560387000</v>
      </c>
      <c r="J118" s="141">
        <f t="shared" si="76"/>
        <v>9378706044000</v>
      </c>
      <c r="K118" s="141">
        <f t="shared" si="76"/>
        <v>9167894067000</v>
      </c>
      <c r="L118" s="141"/>
      <c r="M118" s="818"/>
      <c r="N118" s="818"/>
    </row>
    <row r="119" spans="2:14" ht="15">
      <c r="B119" s="59" t="s">
        <v>419</v>
      </c>
      <c r="C119" s="66">
        <v>3589077338000</v>
      </c>
      <c r="D119" s="66">
        <v>3907691188000</v>
      </c>
      <c r="E119" s="66">
        <v>4012957766000</v>
      </c>
      <c r="F119" s="66">
        <v>4228338089000</v>
      </c>
      <c r="G119" s="66">
        <v>5346602593000</v>
      </c>
      <c r="H119" s="160">
        <v>6671906119000</v>
      </c>
      <c r="I119" s="66">
        <v>7136137255000</v>
      </c>
      <c r="J119" s="66">
        <v>7502498631000</v>
      </c>
      <c r="K119" s="66">
        <v>7389943534000</v>
      </c>
      <c r="L119" s="66"/>
      <c r="M119" s="139"/>
      <c r="N119" s="139"/>
    </row>
    <row r="120" spans="2:14" ht="15">
      <c r="B120" s="60" t="s">
        <v>347</v>
      </c>
      <c r="C120" s="70">
        <f t="shared" ref="C120:G120" si="77">+C119+C118</f>
        <v>6552790468000</v>
      </c>
      <c r="D120" s="70">
        <f t="shared" si="77"/>
        <v>7121042409000</v>
      </c>
      <c r="E120" s="70">
        <f t="shared" si="77"/>
        <v>7499391944000</v>
      </c>
      <c r="F120" s="70">
        <f t="shared" si="77"/>
        <v>7765922863000</v>
      </c>
      <c r="G120" s="70">
        <f t="shared" si="77"/>
        <v>10720863508000</v>
      </c>
      <c r="H120" s="70">
        <f t="shared" ref="H120:K120" si="78">+H119+H118</f>
        <v>14001414019000</v>
      </c>
      <c r="I120" s="70">
        <f t="shared" si="78"/>
        <v>15183697642000</v>
      </c>
      <c r="J120" s="70">
        <f t="shared" si="78"/>
        <v>16881204675000</v>
      </c>
      <c r="K120" s="70">
        <f t="shared" si="78"/>
        <v>16557837601000</v>
      </c>
      <c r="L120" s="70"/>
      <c r="M120" s="817"/>
      <c r="N120" s="817"/>
    </row>
    <row r="121" spans="2:14" ht="15"/>
    <row r="122" spans="2:14" ht="15">
      <c r="B122" s="75" t="s">
        <v>348</v>
      </c>
    </row>
    <row r="123" spans="2:14" ht="15">
      <c r="B123" s="82" t="s">
        <v>308</v>
      </c>
      <c r="C123" s="88">
        <v>2017</v>
      </c>
      <c r="D123" s="88">
        <v>2018</v>
      </c>
      <c r="E123" s="88">
        <v>2019</v>
      </c>
      <c r="F123" s="88">
        <v>2020</v>
      </c>
      <c r="G123" s="88">
        <v>2021</v>
      </c>
      <c r="H123" s="88">
        <v>2022</v>
      </c>
      <c r="I123" s="88">
        <v>2023</v>
      </c>
      <c r="J123" s="88">
        <v>2024</v>
      </c>
      <c r="K123" s="88">
        <v>2025</v>
      </c>
      <c r="L123" s="88"/>
      <c r="M123" s="612"/>
      <c r="N123" s="612"/>
    </row>
    <row r="124" spans="2:14" ht="15">
      <c r="B124" s="83" t="s">
        <v>349</v>
      </c>
      <c r="C124" s="739">
        <v>2381154111000</v>
      </c>
      <c r="D124" s="739">
        <v>2798851007000</v>
      </c>
      <c r="E124" s="739">
        <v>2944684391000</v>
      </c>
      <c r="F124" s="739">
        <v>2573841090000</v>
      </c>
      <c r="G124" s="739">
        <v>3219446546000</v>
      </c>
      <c r="H124" s="739">
        <v>4891034721000</v>
      </c>
      <c r="I124" s="739">
        <v>5257357028000</v>
      </c>
      <c r="J124" s="739">
        <v>5391862268000</v>
      </c>
      <c r="K124" s="90">
        <v>4101563201000</v>
      </c>
      <c r="L124" s="90"/>
      <c r="M124" s="817"/>
      <c r="N124" s="817"/>
    </row>
    <row r="125" spans="2:14" ht="15">
      <c r="B125" s="85" t="s">
        <v>534</v>
      </c>
      <c r="C125" s="740">
        <v>-2025851455000</v>
      </c>
      <c r="D125" s="740">
        <v>-2393381689000</v>
      </c>
      <c r="E125" s="740">
        <v>-2549847757000</v>
      </c>
      <c r="F125" s="740">
        <v>-2167966937000</v>
      </c>
      <c r="G125" s="740">
        <v>-2749286459000</v>
      </c>
      <c r="H125" s="740">
        <v>-4275093289000</v>
      </c>
      <c r="I125" s="740">
        <v>-4662504012000</v>
      </c>
      <c r="J125" s="740">
        <v>-4721202452000</v>
      </c>
      <c r="K125" s="66">
        <v>-3536725792000</v>
      </c>
      <c r="L125" s="66"/>
      <c r="M125" s="139"/>
      <c r="N125" s="139"/>
    </row>
    <row r="126" spans="2:14" ht="15">
      <c r="B126" s="86" t="s">
        <v>422</v>
      </c>
      <c r="C126" s="741">
        <f>C124+C125</f>
        <v>355302656000</v>
      </c>
      <c r="D126" s="741">
        <f t="shared" ref="D126:K126" si="79">D124+D125</f>
        <v>405469318000</v>
      </c>
      <c r="E126" s="741">
        <f t="shared" si="79"/>
        <v>394836634000</v>
      </c>
      <c r="F126" s="741">
        <f t="shared" si="79"/>
        <v>405874153000</v>
      </c>
      <c r="G126" s="741">
        <f t="shared" si="79"/>
        <v>470160087000</v>
      </c>
      <c r="H126" s="741">
        <f t="shared" si="79"/>
        <v>615941432000</v>
      </c>
      <c r="I126" s="741">
        <f t="shared" si="79"/>
        <v>594853016000</v>
      </c>
      <c r="J126" s="741">
        <f t="shared" si="79"/>
        <v>670659816000</v>
      </c>
      <c r="K126" s="741">
        <f t="shared" si="79"/>
        <v>564837409000</v>
      </c>
      <c r="L126" s="741"/>
      <c r="M126" s="817"/>
      <c r="N126" s="817"/>
    </row>
    <row r="127" spans="2:14" ht="15">
      <c r="B127" s="85" t="s">
        <v>592</v>
      </c>
      <c r="C127" s="741"/>
      <c r="D127" s="741"/>
      <c r="E127" s="741"/>
      <c r="F127" s="741"/>
      <c r="G127" s="741"/>
      <c r="H127" s="741"/>
      <c r="I127" s="741"/>
      <c r="J127" s="741"/>
      <c r="K127" s="117"/>
      <c r="L127" s="117"/>
      <c r="M127" s="819"/>
      <c r="N127" s="819"/>
    </row>
    <row r="128" spans="2:14" ht="15">
      <c r="B128" s="85" t="s">
        <v>711</v>
      </c>
      <c r="C128" s="741"/>
      <c r="D128" s="741"/>
      <c r="E128" s="741"/>
      <c r="F128" s="741"/>
      <c r="G128" s="741"/>
      <c r="H128" s="741"/>
      <c r="I128" s="741"/>
      <c r="J128" s="741"/>
      <c r="K128" s="117"/>
      <c r="L128" s="117"/>
      <c r="M128" s="819"/>
      <c r="N128" s="819"/>
    </row>
    <row r="129" spans="2:14" ht="15">
      <c r="B129" s="85" t="s">
        <v>537</v>
      </c>
      <c r="C129" s="741"/>
      <c r="D129" s="741"/>
      <c r="E129" s="741"/>
      <c r="F129" s="741"/>
      <c r="G129" s="741"/>
      <c r="H129" s="741"/>
      <c r="I129" s="741"/>
      <c r="J129" s="741"/>
      <c r="K129" s="117"/>
      <c r="L129" s="117"/>
      <c r="M129" s="819"/>
      <c r="N129" s="819"/>
    </row>
    <row r="130" spans="2:14" ht="15">
      <c r="B130" s="85" t="s">
        <v>427</v>
      </c>
      <c r="C130" s="740"/>
      <c r="D130" s="740"/>
      <c r="E130" s="740"/>
      <c r="F130" s="740"/>
      <c r="G130" s="740"/>
      <c r="H130" s="740"/>
      <c r="I130" s="740"/>
      <c r="J130" s="740"/>
      <c r="K130" s="117"/>
      <c r="L130" s="117"/>
      <c r="M130" s="819"/>
      <c r="N130" s="819"/>
    </row>
    <row r="131" spans="2:14" ht="15">
      <c r="B131" s="86" t="s">
        <v>428</v>
      </c>
      <c r="C131" s="741">
        <f>78987154000+685804097000</f>
        <v>764791251000</v>
      </c>
      <c r="D131" s="741">
        <f>65307419000+744966138000</f>
        <v>810273557000</v>
      </c>
      <c r="E131" s="741">
        <f>73810852000+756918876000</f>
        <v>830729728000</v>
      </c>
      <c r="F131" s="741">
        <f>81875525000+593854041000</f>
        <v>675729566000</v>
      </c>
      <c r="G131" s="741">
        <f>95110265000+970664170000</f>
        <v>1065774435000</v>
      </c>
      <c r="H131" s="741">
        <f>89164141000+1686831591000</f>
        <v>1775995732000</v>
      </c>
      <c r="I131" s="741">
        <f>187973750000+1517999949000</f>
        <v>1705973699000</v>
      </c>
      <c r="J131" s="741">
        <f>156437470000+1783113470000</f>
        <v>1939550940000</v>
      </c>
      <c r="K131" s="64">
        <f>626027465000+1175779710000</f>
        <v>1801807175000</v>
      </c>
      <c r="L131" s="64"/>
      <c r="M131" s="817"/>
      <c r="N131" s="817"/>
    </row>
    <row r="132" spans="2:14" ht="15">
      <c r="B132" s="140" t="s">
        <v>830</v>
      </c>
      <c r="C132" s="740">
        <v>-55230507000</v>
      </c>
      <c r="D132" s="740">
        <v>74368852000</v>
      </c>
      <c r="E132" s="740">
        <v>120019439000</v>
      </c>
      <c r="F132" s="740">
        <v>216137279000</v>
      </c>
      <c r="G132" s="740">
        <v>2560419089000</v>
      </c>
      <c r="H132" s="740">
        <v>4803197003000</v>
      </c>
      <c r="I132" s="740">
        <v>731513173000</v>
      </c>
      <c r="J132" s="740">
        <v>483642136000</v>
      </c>
      <c r="K132" s="131">
        <v>387802513000</v>
      </c>
      <c r="L132" s="131"/>
      <c r="M132" s="193"/>
      <c r="N132" s="193"/>
    </row>
    <row r="133" spans="2:14" ht="15">
      <c r="B133" s="140" t="s">
        <v>831</v>
      </c>
      <c r="C133" s="740">
        <v>503666611000</v>
      </c>
      <c r="D133" s="740">
        <v>516077748000</v>
      </c>
      <c r="E133" s="740">
        <v>565521437000</v>
      </c>
      <c r="F133" s="740">
        <v>463229794000</v>
      </c>
      <c r="G133" s="740">
        <v>792384214000</v>
      </c>
      <c r="H133" s="740">
        <v>1411074994000</v>
      </c>
      <c r="I133" s="740">
        <v>1211162970000</v>
      </c>
      <c r="J133" s="740">
        <v>910842028000</v>
      </c>
      <c r="K133" s="131">
        <v>929439993000</v>
      </c>
      <c r="L133" s="131"/>
      <c r="M133" s="193"/>
      <c r="N133" s="193"/>
    </row>
    <row r="134" spans="2:14" ht="15">
      <c r="B134" s="85" t="s">
        <v>431</v>
      </c>
      <c r="C134" s="740"/>
      <c r="D134" s="740"/>
      <c r="E134" s="740"/>
      <c r="F134" s="740"/>
      <c r="G134" s="740"/>
      <c r="H134" s="740"/>
      <c r="I134" s="740"/>
      <c r="J134" s="740"/>
      <c r="K134" s="131"/>
      <c r="L134" s="131"/>
      <c r="M134" s="193"/>
      <c r="N134" s="193"/>
    </row>
    <row r="135" spans="2:14" ht="15">
      <c r="B135" s="85" t="s">
        <v>432</v>
      </c>
      <c r="C135" s="740"/>
      <c r="D135" s="740"/>
      <c r="E135" s="740"/>
      <c r="F135" s="740"/>
      <c r="G135" s="740"/>
      <c r="H135" s="740"/>
      <c r="I135" s="740"/>
      <c r="J135" s="740"/>
      <c r="K135" s="131"/>
      <c r="L135" s="131"/>
      <c r="M135" s="193"/>
      <c r="N135" s="193"/>
    </row>
    <row r="136" spans="2:14" ht="15">
      <c r="B136" s="85" t="s">
        <v>433</v>
      </c>
      <c r="C136" s="740"/>
      <c r="D136" s="740"/>
      <c r="E136" s="740"/>
      <c r="F136" s="740"/>
      <c r="G136" s="740"/>
      <c r="H136" s="740"/>
      <c r="I136" s="740"/>
      <c r="J136" s="740"/>
      <c r="K136" s="131"/>
      <c r="L136" s="131"/>
      <c r="M136" s="193"/>
      <c r="N136" s="193"/>
    </row>
    <row r="137" spans="2:14" ht="15">
      <c r="B137" s="86" t="s">
        <v>362</v>
      </c>
      <c r="C137" s="741">
        <v>618794447000</v>
      </c>
      <c r="D137" s="741">
        <v>672687043000</v>
      </c>
      <c r="E137" s="741">
        <v>735204757000</v>
      </c>
      <c r="F137" s="741">
        <v>589192666000</v>
      </c>
      <c r="G137" s="741">
        <v>970664170000</v>
      </c>
      <c r="H137" s="741">
        <v>1686831591000</v>
      </c>
      <c r="I137" s="741">
        <v>1517999949000</v>
      </c>
      <c r="J137" s="741">
        <v>1529568359000</v>
      </c>
      <c r="K137" s="64">
        <v>1175779710000</v>
      </c>
      <c r="L137" s="64"/>
      <c r="M137" s="817"/>
      <c r="N137" s="817"/>
    </row>
    <row r="138" spans="2:14" ht="15">
      <c r="B138" s="85" t="s">
        <v>363</v>
      </c>
      <c r="C138" s="740">
        <v>-115127836000</v>
      </c>
      <c r="D138" s="740">
        <v>-156609295000</v>
      </c>
      <c r="E138" s="740">
        <v>-169683320000</v>
      </c>
      <c r="F138" s="740">
        <v>-125962872000</v>
      </c>
      <c r="G138" s="740">
        <v>-178279956000</v>
      </c>
      <c r="H138" s="740">
        <v>-275756597000</v>
      </c>
      <c r="I138" s="740">
        <v>-273887366000</v>
      </c>
      <c r="J138" s="740">
        <v>-318405389000</v>
      </c>
      <c r="K138" s="91">
        <v>-246339717000</v>
      </c>
      <c r="L138" s="91"/>
      <c r="M138" s="820"/>
      <c r="N138" s="820"/>
    </row>
    <row r="139" spans="2:14" ht="15">
      <c r="B139" s="84" t="s">
        <v>365</v>
      </c>
      <c r="C139" s="742">
        <f>C137+C138+C132</f>
        <v>448436104000</v>
      </c>
      <c r="D139" s="742">
        <f>D137+D138+D132</f>
        <v>590446600000</v>
      </c>
      <c r="E139" s="742">
        <f>E137+E138+E132</f>
        <v>685540876000</v>
      </c>
      <c r="F139" s="742">
        <f>F137+F138+F132</f>
        <v>679367073000</v>
      </c>
      <c r="G139" s="742">
        <f t="shared" ref="G139:K139" si="80">G137+G138+G132</f>
        <v>3352803303000</v>
      </c>
      <c r="H139" s="742">
        <f>H137+H138+H132</f>
        <v>6214271997000</v>
      </c>
      <c r="I139" s="742">
        <f t="shared" si="80"/>
        <v>1975625756000</v>
      </c>
      <c r="J139" s="742">
        <f>J137+J138+J132</f>
        <v>1694805106000</v>
      </c>
      <c r="K139" s="742">
        <f t="shared" si="80"/>
        <v>1317242506000</v>
      </c>
      <c r="L139" s="742"/>
      <c r="M139" s="821"/>
      <c r="N139" s="821"/>
    </row>
    <row r="140" spans="2:14" ht="30.75">
      <c r="B140" s="87" t="s">
        <v>435</v>
      </c>
      <c r="C140" s="740">
        <v>339696294000</v>
      </c>
      <c r="D140" s="740">
        <v>410016190000</v>
      </c>
      <c r="E140" s="740">
        <v>475491383000</v>
      </c>
      <c r="F140" s="740">
        <v>432119961000</v>
      </c>
      <c r="G140" s="740">
        <v>1459657662000</v>
      </c>
      <c r="H140" s="740">
        <v>2678950250000</v>
      </c>
      <c r="I140" s="740">
        <v>1133658900000</v>
      </c>
      <c r="J140" s="740">
        <v>1030573898000</v>
      </c>
      <c r="K140" s="91">
        <v>764678575000</v>
      </c>
      <c r="L140" s="91"/>
      <c r="M140" s="820"/>
      <c r="N140" s="820"/>
    </row>
    <row r="141" spans="2:14" ht="15">
      <c r="B141" s="247" t="s">
        <v>436</v>
      </c>
      <c r="C141" s="741">
        <f>C139-C140</f>
        <v>108739810000</v>
      </c>
      <c r="D141" s="741">
        <f t="shared" ref="D141:K141" si="81">D139-D140</f>
        <v>180430410000</v>
      </c>
      <c r="E141" s="741">
        <f t="shared" si="81"/>
        <v>210049493000</v>
      </c>
      <c r="F141" s="741">
        <f t="shared" si="81"/>
        <v>247247112000</v>
      </c>
      <c r="G141" s="741">
        <f t="shared" si="81"/>
        <v>1893145641000</v>
      </c>
      <c r="H141" s="741">
        <f>H139-H140</f>
        <v>3535321747000</v>
      </c>
      <c r="I141" s="741">
        <f t="shared" si="81"/>
        <v>841966856000</v>
      </c>
      <c r="J141" s="741">
        <f t="shared" si="81"/>
        <v>664231208000</v>
      </c>
      <c r="K141" s="741">
        <f t="shared" si="81"/>
        <v>552563931000</v>
      </c>
      <c r="L141" s="741"/>
      <c r="M141" s="822"/>
      <c r="N141" s="822"/>
    </row>
    <row r="142" spans="2:14" ht="15">
      <c r="B142" s="84" t="s">
        <v>366</v>
      </c>
      <c r="C142" s="743">
        <f t="shared" ref="C142:K142" si="82">C141/C18</f>
        <v>65.397192990363948</v>
      </c>
      <c r="D142" s="743">
        <f t="shared" si="82"/>
        <v>108.51262609434845</v>
      </c>
      <c r="E142" s="743">
        <f t="shared" si="82"/>
        <v>126.32583440461318</v>
      </c>
      <c r="F142" s="743">
        <f t="shared" si="82"/>
        <v>148.69684892565223</v>
      </c>
      <c r="G142" s="743">
        <f t="shared" si="82"/>
        <v>1138.5564389283304</v>
      </c>
      <c r="H142" s="743">
        <f t="shared" si="82"/>
        <v>2126.1773270671488</v>
      </c>
      <c r="I142" s="743">
        <f t="shared" si="82"/>
        <v>506.3671618823131</v>
      </c>
      <c r="J142" s="743">
        <f t="shared" si="82"/>
        <v>399.47519220236427</v>
      </c>
      <c r="K142" s="743">
        <f t="shared" si="82"/>
        <v>332.31739171809426</v>
      </c>
      <c r="L142" s="743"/>
      <c r="M142" s="823"/>
      <c r="N142" s="823"/>
    </row>
    <row r="143" spans="2:14" ht="15"/>
    <row r="144" spans="2:14" ht="15">
      <c r="B144" s="75" t="s">
        <v>367</v>
      </c>
    </row>
    <row r="145" spans="2:14" ht="15">
      <c r="B145" s="82" t="s">
        <v>308</v>
      </c>
      <c r="C145" s="88">
        <v>2017</v>
      </c>
      <c r="D145" s="88">
        <v>2018</v>
      </c>
      <c r="E145" s="88">
        <v>2019</v>
      </c>
      <c r="F145" s="88">
        <v>2020</v>
      </c>
      <c r="G145" s="88">
        <v>2021</v>
      </c>
      <c r="H145" s="88">
        <v>2022</v>
      </c>
      <c r="I145" s="88">
        <v>2023</v>
      </c>
      <c r="J145" s="88">
        <v>2024</v>
      </c>
      <c r="K145" s="88">
        <v>2025</v>
      </c>
      <c r="L145" s="88"/>
      <c r="M145" s="612"/>
      <c r="N145" s="612"/>
    </row>
    <row r="146" spans="2:14" ht="15">
      <c r="B146" s="83" t="s">
        <v>368</v>
      </c>
      <c r="C146" s="90">
        <v>1171101796000</v>
      </c>
      <c r="D146" s="90">
        <v>-402925346000</v>
      </c>
      <c r="E146" s="90">
        <v>1337264255000</v>
      </c>
      <c r="F146" s="90">
        <v>2573961396000</v>
      </c>
      <c r="G146" s="90">
        <v>4372548154000</v>
      </c>
      <c r="H146" s="90">
        <v>591366760000</v>
      </c>
      <c r="I146" s="90">
        <v>720730226000</v>
      </c>
      <c r="J146" s="90">
        <v>-1863066720000</v>
      </c>
      <c r="K146" s="90">
        <v>1067829363000</v>
      </c>
      <c r="L146" s="90"/>
      <c r="M146" s="817"/>
      <c r="N146" s="817"/>
    </row>
    <row r="147" spans="2:14" ht="15">
      <c r="B147" s="86" t="s">
        <v>369</v>
      </c>
      <c r="C147" s="91">
        <v>-1380962778000</v>
      </c>
      <c r="D147" s="91">
        <v>-25258663000</v>
      </c>
      <c r="E147" s="91">
        <v>-203998560000</v>
      </c>
      <c r="F147" s="91">
        <v>109845715000</v>
      </c>
      <c r="G147" s="91">
        <v>-2799194910000</v>
      </c>
      <c r="H147" s="91">
        <v>147646699000</v>
      </c>
      <c r="I147" s="91">
        <v>2999019037000</v>
      </c>
      <c r="J147" s="91">
        <v>2508082105000</v>
      </c>
      <c r="K147" s="91">
        <v>583994220000</v>
      </c>
      <c r="L147" s="91"/>
      <c r="M147" s="820"/>
      <c r="N147" s="820"/>
    </row>
    <row r="148" spans="2:14" ht="15">
      <c r="B148" s="85" t="s">
        <v>370</v>
      </c>
      <c r="C148" s="93">
        <v>-96958098000</v>
      </c>
      <c r="D148" s="93">
        <v>-68437072000</v>
      </c>
      <c r="E148" s="93">
        <v>-88533297000</v>
      </c>
      <c r="F148" s="93">
        <v>-98980402000</v>
      </c>
      <c r="G148" s="93">
        <v>-90249124000</v>
      </c>
      <c r="H148" s="93">
        <v>-183697292000</v>
      </c>
      <c r="I148" s="93">
        <v>-298236803000</v>
      </c>
      <c r="J148" s="93">
        <v>-170537418000</v>
      </c>
      <c r="K148" s="93">
        <v>-11053014000</v>
      </c>
      <c r="L148" s="93"/>
      <c r="M148" s="824"/>
      <c r="N148" s="824"/>
    </row>
    <row r="149" spans="2:14" ht="15">
      <c r="B149" s="86" t="s">
        <v>372</v>
      </c>
      <c r="C149" s="780">
        <v>68959285000</v>
      </c>
      <c r="D149" s="780">
        <v>546231277000</v>
      </c>
      <c r="E149" s="780">
        <v>765938533000</v>
      </c>
      <c r="F149" s="120">
        <v>-403755187000</v>
      </c>
      <c r="G149" s="120">
        <v>-725360334000</v>
      </c>
      <c r="H149" s="120">
        <v>-1897046190000</v>
      </c>
      <c r="I149" s="120">
        <v>-3363409633000</v>
      </c>
      <c r="J149" s="120">
        <v>-2284453548000</v>
      </c>
      <c r="K149" s="120">
        <v>-224745613000</v>
      </c>
      <c r="L149" s="120"/>
      <c r="M149" s="825"/>
      <c r="N149" s="825"/>
    </row>
    <row r="150" spans="2:14" ht="15">
      <c r="B150" s="85" t="s">
        <v>373</v>
      </c>
      <c r="C150" s="93">
        <v>-108977919000</v>
      </c>
      <c r="D150" s="93">
        <v>-121876296000</v>
      </c>
      <c r="E150" s="93">
        <v>-146849647000</v>
      </c>
      <c r="F150" s="93">
        <v>-167274649000</v>
      </c>
      <c r="G150" s="93">
        <v>-646506351000</v>
      </c>
      <c r="H150" s="93">
        <v>-1303472054000</v>
      </c>
      <c r="I150" s="93">
        <v>-1722394842000</v>
      </c>
      <c r="J150" s="93">
        <v>-1098623423000</v>
      </c>
      <c r="K150" s="93">
        <v>-788101903000</v>
      </c>
      <c r="L150" s="93"/>
      <c r="M150" s="824"/>
      <c r="N150" s="824"/>
    </row>
    <row r="151" spans="2:14" ht="15">
      <c r="B151" s="85" t="s">
        <v>437</v>
      </c>
      <c r="C151" s="93">
        <v>-104481355000</v>
      </c>
      <c r="D151" s="93">
        <v>-114854550000</v>
      </c>
      <c r="E151" s="93">
        <v>-137891296000</v>
      </c>
      <c r="F151" s="93">
        <v>-170852907000</v>
      </c>
      <c r="G151" s="93">
        <v>-64102172000</v>
      </c>
      <c r="H151" s="93">
        <v>-87506001000</v>
      </c>
      <c r="I151" s="93">
        <v>-115706152000</v>
      </c>
      <c r="J151" s="93">
        <v>-100945451000</v>
      </c>
      <c r="K151" s="93">
        <v>-74291160000</v>
      </c>
      <c r="L151" s="93"/>
      <c r="M151" s="824"/>
      <c r="N151" s="824"/>
    </row>
    <row r="152" spans="2:14" ht="15">
      <c r="B152" s="86" t="s">
        <v>375</v>
      </c>
      <c r="C152" s="64">
        <v>260570763000</v>
      </c>
      <c r="D152" s="64">
        <v>-204866013000</v>
      </c>
      <c r="E152" s="64">
        <v>1933736864000</v>
      </c>
      <c r="F152" s="64">
        <v>2217750363000</v>
      </c>
      <c r="G152" s="64">
        <v>1231776908000</v>
      </c>
      <c r="H152" s="64">
        <v>-1155135201000</v>
      </c>
      <c r="I152" s="64">
        <v>425623367000</v>
      </c>
      <c r="J152" s="64">
        <v>-1384458753000</v>
      </c>
      <c r="K152" s="64">
        <v>1370404635000</v>
      </c>
      <c r="L152" s="64"/>
      <c r="M152" s="817"/>
      <c r="N152" s="817"/>
    </row>
    <row r="153" spans="2:14" ht="15">
      <c r="B153" s="85"/>
      <c r="C153" s="66"/>
      <c r="D153" s="66"/>
      <c r="E153" s="66"/>
      <c r="F153" s="66"/>
      <c r="G153" s="66"/>
      <c r="H153" s="66"/>
      <c r="I153" s="66"/>
      <c r="J153" s="66"/>
      <c r="K153" s="66"/>
      <c r="L153" s="66"/>
      <c r="M153" s="139"/>
      <c r="N153" s="139"/>
    </row>
    <row r="154" spans="2:14" ht="15">
      <c r="B154" s="84" t="s">
        <v>376</v>
      </c>
      <c r="C154" s="67">
        <f t="shared" ref="C154:J154" si="83">+C146+C148+C151</f>
        <v>969662343000</v>
      </c>
      <c r="D154" s="67">
        <f t="shared" si="83"/>
        <v>-586216968000</v>
      </c>
      <c r="E154" s="67">
        <f t="shared" si="83"/>
        <v>1110839662000</v>
      </c>
      <c r="F154" s="67">
        <f t="shared" si="83"/>
        <v>2304128087000</v>
      </c>
      <c r="G154" s="67">
        <f t="shared" si="83"/>
        <v>4218196858000</v>
      </c>
      <c r="H154" s="67">
        <f t="shared" si="83"/>
        <v>320163467000</v>
      </c>
      <c r="I154" s="67">
        <f t="shared" si="83"/>
        <v>306787271000</v>
      </c>
      <c r="J154" s="67">
        <f t="shared" si="83"/>
        <v>-2134549589000</v>
      </c>
      <c r="K154" s="67">
        <f t="shared" ref="K154" si="84">+K146+K148+K150+K151</f>
        <v>194383286000</v>
      </c>
      <c r="L154" s="67"/>
      <c r="M154" s="139"/>
      <c r="N154" s="139"/>
    </row>
    <row r="155" spans="2:14" ht="15"/>
  </sheetData>
  <mergeCells count="1">
    <mergeCell ref="P2:Q2"/>
  </mergeCells>
  <conditionalFormatting sqref="C69:H75 D76:H76 C77:H111">
    <cfRule type="cellIs" dxfId="31" priority="21" operator="lessThan">
      <formula>0</formula>
    </cfRule>
  </conditionalFormatting>
  <conditionalFormatting sqref="C124:N142">
    <cfRule type="cellIs" dxfId="30" priority="2" operator="lessThan">
      <formula>0</formula>
    </cfRule>
  </conditionalFormatting>
  <conditionalFormatting sqref="C146:N154">
    <cfRule type="cellIs" dxfId="29" priority="1" operator="lessThan">
      <formula>0</formula>
    </cfRule>
  </conditionalFormatting>
  <conditionalFormatting sqref="I69:N111 C113:N120">
    <cfRule type="cellIs" dxfId="28" priority="3" operator="lessThan">
      <formula>0</formula>
    </cfRule>
  </conditionalFormatting>
  <pageMargins left="0.7" right="0.7" top="0.75" bottom="0.75" header="0.3" footer="0.3"/>
  <pageSetup paperSize="9" orientation="portrait" r:id="rId1"/>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35914-A9FF-40C4-80C6-F33CC205B116}">
  <dimension ref="B2:P151"/>
  <sheetViews>
    <sheetView tabSelected="1" zoomScale="80" zoomScaleNormal="80" workbookViewId="0">
      <pane xSplit="2" ySplit="6" topLeftCell="F7" activePane="bottomRight" state="frozen"/>
      <selection pane="bottomRight" activeCell="G117" sqref="G117"/>
      <selection pane="bottomLeft" activeCell="A7" sqref="A7"/>
      <selection pane="topRight" activeCell="C1" sqref="C1"/>
    </sheetView>
  </sheetViews>
  <sheetFormatPr defaultColWidth="10.7109375" defaultRowHeight="14.25"/>
  <cols>
    <col min="1" max="1" width="4.42578125" customWidth="1"/>
    <col min="2" max="2" width="37.42578125" customWidth="1"/>
    <col min="3" max="3" width="35.7109375" bestFit="1" customWidth="1"/>
    <col min="4" max="4" width="36.7109375" bestFit="1" customWidth="1"/>
    <col min="5" max="6" width="35.7109375" bestFit="1" customWidth="1"/>
    <col min="7" max="7" width="36.28515625" customWidth="1"/>
    <col min="8" max="8" width="35.7109375" customWidth="1"/>
    <col min="9" max="9" width="35.7109375" bestFit="1" customWidth="1"/>
    <col min="10" max="10" width="38.140625" customWidth="1"/>
    <col min="11" max="11" width="34.140625" customWidth="1"/>
    <col min="12" max="14" width="28.7109375" bestFit="1" customWidth="1"/>
  </cols>
  <sheetData>
    <row r="2" spans="2:14" ht="21">
      <c r="B2" s="313">
        <f ca="1">TODAY()-1</f>
        <v>46105</v>
      </c>
      <c r="C2" s="314"/>
      <c r="D2" s="344" t="s">
        <v>265</v>
      </c>
      <c r="E2" s="345" t="s">
        <v>266</v>
      </c>
    </row>
    <row r="3" spans="2:14" ht="25.5">
      <c r="B3" s="376" cm="1">
        <f t="array" aca="1" ref="B3" ca="1">_FV(B6,"Precio")</f>
        <v>130.83000000000001</v>
      </c>
      <c r="C3" s="316"/>
      <c r="D3" s="346">
        <f>AVERAGE(I45:K45)</f>
        <v>9.5675599999999985</v>
      </c>
      <c r="E3" s="346">
        <f>AVERAGE(I44:K44)</f>
        <v>9.5675599999999985</v>
      </c>
    </row>
    <row r="4" spans="2:14" ht="23.25">
      <c r="B4" s="319"/>
      <c r="C4" s="316"/>
      <c r="D4" s="328"/>
      <c r="E4" s="328"/>
    </row>
    <row r="6" spans="2:14" ht="33.4">
      <c r="B6" s="3" t="e" vm="62">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+C68</f>
        <v>495421451000</v>
      </c>
      <c r="D7" s="5">
        <f t="shared" ref="D7:I7" si="0">+D68</f>
        <v>372240505000</v>
      </c>
      <c r="E7" s="5">
        <f t="shared" si="0"/>
        <v>362131869000</v>
      </c>
      <c r="F7" s="5">
        <f t="shared" si="0"/>
        <v>509492882000</v>
      </c>
      <c r="G7" s="5">
        <f t="shared" si="0"/>
        <v>528258623000</v>
      </c>
      <c r="H7" s="5">
        <f t="shared" si="0"/>
        <v>497234617000</v>
      </c>
      <c r="I7" s="5">
        <f t="shared" si="0"/>
        <v>501113633000</v>
      </c>
      <c r="J7" s="5">
        <f t="shared" ref="J7:N7" si="1">+J68</f>
        <v>540722656000</v>
      </c>
      <c r="K7" s="5">
        <f t="shared" si="1"/>
        <v>428859315000</v>
      </c>
      <c r="L7" s="5">
        <f t="shared" si="1"/>
        <v>0</v>
      </c>
      <c r="M7" s="5">
        <f t="shared" si="1"/>
        <v>0</v>
      </c>
      <c r="N7" s="5">
        <f t="shared" si="1"/>
        <v>0</v>
      </c>
    </row>
    <row r="8" spans="2:14" ht="25.5">
      <c r="B8" s="146" t="s">
        <v>377</v>
      </c>
      <c r="C8" s="147">
        <f>+C72</f>
        <v>47072802000</v>
      </c>
      <c r="D8" s="147">
        <f t="shared" ref="D8:I8" si="2">+D72</f>
        <v>57597056000</v>
      </c>
      <c r="E8" s="147">
        <f t="shared" si="2"/>
        <v>91813009000</v>
      </c>
      <c r="F8" s="147">
        <f t="shared" si="2"/>
        <v>91520384000</v>
      </c>
      <c r="G8" s="147">
        <f t="shared" si="2"/>
        <v>93719439000</v>
      </c>
      <c r="H8" s="147">
        <f t="shared" si="2"/>
        <v>81633411000</v>
      </c>
      <c r="I8" s="147">
        <f t="shared" si="2"/>
        <v>141894404000</v>
      </c>
      <c r="J8" s="147">
        <f t="shared" ref="J8:N8" si="3">+J72</f>
        <v>96566203000</v>
      </c>
      <c r="K8" s="147">
        <f t="shared" si="3"/>
        <v>82288249000</v>
      </c>
      <c r="L8" s="147">
        <f t="shared" si="3"/>
        <v>0</v>
      </c>
      <c r="M8" s="147">
        <f t="shared" si="3"/>
        <v>0</v>
      </c>
      <c r="N8" s="147">
        <f t="shared" si="3"/>
        <v>0</v>
      </c>
    </row>
    <row r="9" spans="2:14" ht="25.5">
      <c r="B9" s="146" t="s">
        <v>378</v>
      </c>
      <c r="C9" s="147">
        <f>+C74</f>
        <v>194156534000</v>
      </c>
      <c r="D9" s="147">
        <f t="shared" ref="D9:I9" si="4">+D74</f>
        <v>194938323000</v>
      </c>
      <c r="E9" s="147">
        <f t="shared" si="4"/>
        <v>195744022000</v>
      </c>
      <c r="F9" s="147">
        <f t="shared" si="4"/>
        <v>188729604000</v>
      </c>
      <c r="G9" s="147">
        <f t="shared" si="4"/>
        <v>231873795000</v>
      </c>
      <c r="H9" s="147">
        <f t="shared" si="4"/>
        <v>245353255000</v>
      </c>
      <c r="I9" s="147">
        <f t="shared" si="4"/>
        <v>218438262000</v>
      </c>
      <c r="J9" s="147">
        <f t="shared" ref="J9:N9" si="5">+J74</f>
        <v>236299514000</v>
      </c>
      <c r="K9" s="147">
        <f t="shared" si="5"/>
        <v>224747456000</v>
      </c>
      <c r="L9" s="147">
        <f t="shared" si="5"/>
        <v>0</v>
      </c>
      <c r="M9" s="147">
        <f t="shared" si="5"/>
        <v>0</v>
      </c>
      <c r="N9" s="147">
        <f t="shared" si="5"/>
        <v>0</v>
      </c>
    </row>
    <row r="10" spans="2:14" ht="25.5">
      <c r="B10" s="4" t="s">
        <v>379</v>
      </c>
      <c r="C10" s="5">
        <f>+C77</f>
        <v>1406173449000</v>
      </c>
      <c r="D10" s="5">
        <f t="shared" ref="D10:I10" si="6">+D77</f>
        <v>1440158117000</v>
      </c>
      <c r="E10" s="5">
        <f t="shared" si="6"/>
        <v>1715699802000</v>
      </c>
      <c r="F10" s="5">
        <f t="shared" si="6"/>
        <v>1672456693000</v>
      </c>
      <c r="G10" s="5">
        <f t="shared" si="6"/>
        <v>1692223547000</v>
      </c>
      <c r="H10" s="5">
        <f t="shared" si="6"/>
        <v>1831402008000</v>
      </c>
      <c r="I10" s="5">
        <f t="shared" si="6"/>
        <v>1883062262000</v>
      </c>
      <c r="J10" s="5">
        <f t="shared" ref="J10:N10" si="7">+J77</f>
        <v>1965201632000</v>
      </c>
      <c r="K10" s="5">
        <f t="shared" si="7"/>
        <v>2091693921000</v>
      </c>
      <c r="L10" s="5">
        <f t="shared" si="7"/>
        <v>0</v>
      </c>
      <c r="M10" s="5">
        <f t="shared" si="7"/>
        <v>0</v>
      </c>
      <c r="N10" s="5">
        <f t="shared" si="7"/>
        <v>0</v>
      </c>
    </row>
    <row r="11" spans="2:14" ht="25.5">
      <c r="B11" s="8" t="s">
        <v>272</v>
      </c>
      <c r="C11" s="9">
        <f>+C10+C7</f>
        <v>1901594900000</v>
      </c>
      <c r="D11" s="9">
        <f t="shared" ref="D11:I11" si="8">+D10+D7</f>
        <v>1812398622000</v>
      </c>
      <c r="E11" s="9">
        <f t="shared" si="8"/>
        <v>2077831671000</v>
      </c>
      <c r="F11" s="9">
        <f t="shared" si="8"/>
        <v>2181949575000</v>
      </c>
      <c r="G11" s="9">
        <f t="shared" si="8"/>
        <v>2220482170000</v>
      </c>
      <c r="H11" s="9">
        <f t="shared" si="8"/>
        <v>2328636625000</v>
      </c>
      <c r="I11" s="9">
        <f t="shared" si="8"/>
        <v>2384175895000</v>
      </c>
      <c r="J11" s="9">
        <f t="shared" ref="J11:N11" si="9">+J10+J7</f>
        <v>2505924288000</v>
      </c>
      <c r="K11" s="9">
        <f t="shared" si="9"/>
        <v>2520553236000</v>
      </c>
      <c r="L11" s="9">
        <f t="shared" si="9"/>
        <v>0</v>
      </c>
      <c r="M11" s="9">
        <f t="shared" si="9"/>
        <v>0</v>
      </c>
      <c r="N11" s="9">
        <f t="shared" si="9"/>
        <v>0</v>
      </c>
    </row>
    <row r="12" spans="2:14" ht="25.5">
      <c r="B12" s="10" t="s">
        <v>273</v>
      </c>
      <c r="C12" s="11">
        <f>+C91</f>
        <v>570710880000</v>
      </c>
      <c r="D12" s="11">
        <f t="shared" ref="D12:I12" si="10">+D91</f>
        <v>541987012000</v>
      </c>
      <c r="E12" s="11">
        <f t="shared" si="10"/>
        <v>560807937000</v>
      </c>
      <c r="F12" s="11">
        <f t="shared" si="10"/>
        <v>604195479000</v>
      </c>
      <c r="G12" s="11">
        <f t="shared" si="10"/>
        <v>626612174000</v>
      </c>
      <c r="H12" s="11">
        <f t="shared" si="10"/>
        <v>652437841000</v>
      </c>
      <c r="I12" s="11">
        <f t="shared" si="10"/>
        <v>650842072000</v>
      </c>
      <c r="J12" s="11">
        <f t="shared" ref="J12:N12" si="11">+J91</f>
        <v>683458500000</v>
      </c>
      <c r="K12" s="11">
        <f t="shared" si="11"/>
        <v>590177356000</v>
      </c>
      <c r="L12" s="11">
        <f t="shared" si="11"/>
        <v>0</v>
      </c>
      <c r="M12" s="11">
        <f t="shared" si="11"/>
        <v>0</v>
      </c>
      <c r="N12" s="11">
        <f t="shared" si="11"/>
        <v>0</v>
      </c>
    </row>
    <row r="13" spans="2:14" ht="25.5">
      <c r="B13" s="10" t="s">
        <v>274</v>
      </c>
      <c r="C13" s="11">
        <f>+C101</f>
        <v>738109246000</v>
      </c>
      <c r="D13" s="11">
        <f t="shared" ref="D13:I13" si="12">+D101</f>
        <v>575132317000</v>
      </c>
      <c r="E13" s="11">
        <f t="shared" si="12"/>
        <v>795608153000</v>
      </c>
      <c r="F13" s="11">
        <f t="shared" si="12"/>
        <v>853232734000</v>
      </c>
      <c r="G13" s="11">
        <f t="shared" si="12"/>
        <v>841108222000</v>
      </c>
      <c r="H13" s="11">
        <f t="shared" si="12"/>
        <v>888867557000</v>
      </c>
      <c r="I13" s="11">
        <f t="shared" si="12"/>
        <v>920282451000</v>
      </c>
      <c r="J13" s="11">
        <f t="shared" ref="J13:N13" si="13">+J101</f>
        <v>1010288846000</v>
      </c>
      <c r="K13" s="11">
        <f t="shared" si="13"/>
        <v>1105014350000</v>
      </c>
      <c r="L13" s="11">
        <f t="shared" si="13"/>
        <v>0</v>
      </c>
      <c r="M13" s="11">
        <f t="shared" si="13"/>
        <v>0</v>
      </c>
      <c r="N13" s="11">
        <f t="shared" si="13"/>
        <v>0</v>
      </c>
    </row>
    <row r="14" spans="2:14" ht="25.5">
      <c r="B14" s="12" t="s">
        <v>275</v>
      </c>
      <c r="C14" s="13">
        <f>+C12+C13</f>
        <v>1308820126000</v>
      </c>
      <c r="D14" s="13">
        <f t="shared" ref="D14:I14" si="14">+D12+D13</f>
        <v>1117119329000</v>
      </c>
      <c r="E14" s="13">
        <f t="shared" si="14"/>
        <v>1356416090000</v>
      </c>
      <c r="F14" s="13">
        <f t="shared" si="14"/>
        <v>1457428213000</v>
      </c>
      <c r="G14" s="13">
        <f t="shared" si="14"/>
        <v>1467720396000</v>
      </c>
      <c r="H14" s="13">
        <f t="shared" si="14"/>
        <v>1541305398000</v>
      </c>
      <c r="I14" s="13">
        <f t="shared" si="14"/>
        <v>1571124523000</v>
      </c>
      <c r="J14" s="13">
        <f t="shared" ref="J14:N14" si="15">+J12+J13</f>
        <v>1693747346000</v>
      </c>
      <c r="K14" s="13">
        <f t="shared" si="15"/>
        <v>1695191706000</v>
      </c>
      <c r="L14" s="13">
        <f t="shared" si="15"/>
        <v>0</v>
      </c>
      <c r="M14" s="13">
        <f t="shared" si="15"/>
        <v>0</v>
      </c>
      <c r="N14" s="13">
        <f t="shared" si="15"/>
        <v>0</v>
      </c>
    </row>
    <row r="15" spans="2:14" ht="25.5">
      <c r="B15" s="14" t="s">
        <v>276</v>
      </c>
      <c r="C15" s="15">
        <f>+C115</f>
        <v>592774783000</v>
      </c>
      <c r="D15" s="15">
        <f t="shared" ref="D15:I15" si="16">+D115</f>
        <v>695279293000</v>
      </c>
      <c r="E15" s="15">
        <f t="shared" si="16"/>
        <v>586075581000</v>
      </c>
      <c r="F15" s="15">
        <f t="shared" si="16"/>
        <v>724521362000</v>
      </c>
      <c r="G15" s="15">
        <f t="shared" si="16"/>
        <v>752760774000</v>
      </c>
      <c r="H15" s="15">
        <f t="shared" si="16"/>
        <v>782918829000</v>
      </c>
      <c r="I15" s="15">
        <f t="shared" si="16"/>
        <v>813048372000</v>
      </c>
      <c r="J15" s="15">
        <f t="shared" ref="J15:N15" si="17">+J115</f>
        <v>812176942000</v>
      </c>
      <c r="K15" s="15">
        <f t="shared" si="17"/>
        <v>825361530000</v>
      </c>
      <c r="L15" s="15">
        <f t="shared" si="17"/>
        <v>0</v>
      </c>
      <c r="M15" s="15">
        <f t="shared" si="17"/>
        <v>0</v>
      </c>
      <c r="N15" s="15">
        <f t="shared" si="17"/>
        <v>0</v>
      </c>
    </row>
    <row r="16" spans="2:14" ht="25.5">
      <c r="B16" s="79" t="s">
        <v>278</v>
      </c>
      <c r="C16" s="80">
        <v>6227590953</v>
      </c>
      <c r="D16" s="80">
        <v>5772576856</v>
      </c>
      <c r="E16" s="80">
        <v>5772576856</v>
      </c>
      <c r="F16" s="80">
        <v>5772576856</v>
      </c>
      <c r="G16" s="80">
        <v>5772576856</v>
      </c>
      <c r="H16" s="80">
        <v>5772576856</v>
      </c>
      <c r="I16" s="80">
        <v>5772576856</v>
      </c>
      <c r="J16" s="80">
        <v>5772576856</v>
      </c>
      <c r="K16" s="80">
        <v>5763205697</v>
      </c>
      <c r="L16" s="80"/>
      <c r="M16" s="80"/>
      <c r="N16" s="80"/>
    </row>
    <row r="18" spans="2:14" ht="25.5">
      <c r="B18" s="18" t="s">
        <v>279</v>
      </c>
      <c r="C18" s="19">
        <f t="shared" ref="C18:I18" si="18">(C15/C16)</f>
        <v>95.185246987752819</v>
      </c>
      <c r="D18" s="19">
        <f t="shared" si="18"/>
        <v>120.44522062574683</v>
      </c>
      <c r="E18" s="19">
        <f t="shared" si="18"/>
        <v>101.52754924186669</v>
      </c>
      <c r="F18" s="19">
        <f t="shared" si="18"/>
        <v>125.51090787937012</v>
      </c>
      <c r="G18" s="19">
        <f t="shared" si="18"/>
        <v>130.40290199299514</v>
      </c>
      <c r="H18" s="19">
        <f t="shared" si="18"/>
        <v>135.62726812138263</v>
      </c>
      <c r="I18" s="19">
        <f t="shared" si="18"/>
        <v>140.84669503445758</v>
      </c>
      <c r="J18" s="19">
        <f t="shared" ref="J18:N18" si="19">(J15/J16)</f>
        <v>140.69573472301639</v>
      </c>
      <c r="K18" s="19">
        <f t="shared" si="19"/>
        <v>143.21222829676836</v>
      </c>
      <c r="L18" s="19" t="e">
        <f t="shared" si="19"/>
        <v>#DIV/0!</v>
      </c>
      <c r="M18" s="19" t="e">
        <f t="shared" si="19"/>
        <v>#DIV/0!</v>
      </c>
      <c r="N18" s="19" t="e">
        <f t="shared" si="19"/>
        <v>#DIV/0!</v>
      </c>
    </row>
    <row r="19" spans="2:14" ht="25.5">
      <c r="B19" s="76" t="s">
        <v>282</v>
      </c>
      <c r="C19" s="77">
        <v>186</v>
      </c>
      <c r="D19" s="77">
        <v>190</v>
      </c>
      <c r="E19" s="77">
        <v>150</v>
      </c>
      <c r="F19" s="77">
        <v>107</v>
      </c>
      <c r="G19" s="77">
        <v>86</v>
      </c>
      <c r="H19" s="101">
        <v>116</v>
      </c>
      <c r="I19" s="101">
        <v>162</v>
      </c>
      <c r="J19" s="101">
        <v>159.9</v>
      </c>
      <c r="K19" s="101">
        <v>153.88999999999999</v>
      </c>
      <c r="L19" s="101"/>
      <c r="M19" s="101"/>
      <c r="N19" s="101"/>
    </row>
    <row r="20" spans="2:14" ht="25.5">
      <c r="B20" s="18" t="s">
        <v>283</v>
      </c>
      <c r="C20" s="22">
        <f>+C19/C40</f>
        <v>33.941605839416063</v>
      </c>
      <c r="D20" s="22">
        <f t="shared" ref="D20:I20" si="20">+D19/D40</f>
        <v>32.758620689655174</v>
      </c>
      <c r="E20" s="22">
        <f t="shared" si="20"/>
        <v>25.041736227045078</v>
      </c>
      <c r="F20" s="22">
        <f t="shared" si="20"/>
        <v>20.696324951644101</v>
      </c>
      <c r="G20" s="22">
        <f t="shared" si="20"/>
        <v>6.5598779557589628</v>
      </c>
      <c r="H20" s="22">
        <f t="shared" si="20"/>
        <v>5.0877192982456139</v>
      </c>
      <c r="I20" s="22">
        <f t="shared" si="20"/>
        <v>10.700132100396301</v>
      </c>
      <c r="J20" s="22">
        <f t="shared" ref="J20:N20" si="21">+J19/J40</f>
        <v>18.900709219858154</v>
      </c>
      <c r="K20" s="22">
        <f t="shared" si="21"/>
        <v>14.053881278538812</v>
      </c>
      <c r="L20" s="22" t="e">
        <f t="shared" si="21"/>
        <v>#DIV/0!</v>
      </c>
      <c r="M20" s="22" t="e">
        <f t="shared" si="21"/>
        <v>#DIV/0!</v>
      </c>
      <c r="N20" s="22" t="e">
        <f t="shared" si="21"/>
        <v>#DIV/0!</v>
      </c>
    </row>
    <row r="21" spans="2:14" ht="25.5">
      <c r="B21" s="18" t="s">
        <v>380</v>
      </c>
      <c r="C21" s="22">
        <f t="shared" ref="C21:I21" si="22">+C19/C18</f>
        <v>1.9540843343499652</v>
      </c>
      <c r="D21" s="22">
        <f t="shared" si="22"/>
        <v>1.5774806091341484</v>
      </c>
      <c r="E21" s="22">
        <f t="shared" si="22"/>
        <v>1.4774315062275218</v>
      </c>
      <c r="F21" s="22">
        <f t="shared" si="22"/>
        <v>0.85251554472730651</v>
      </c>
      <c r="G21" s="22">
        <f t="shared" si="22"/>
        <v>0.65949452570173372</v>
      </c>
      <c r="H21" s="22">
        <f t="shared" si="22"/>
        <v>0.85528523582870686</v>
      </c>
      <c r="I21" s="22">
        <f t="shared" si="22"/>
        <v>1.1501867328897377</v>
      </c>
      <c r="J21" s="22">
        <f t="shared" ref="J21:N21" si="23">+J19/J18</f>
        <v>1.1364950068656345</v>
      </c>
      <c r="K21" s="22">
        <f t="shared" si="23"/>
        <v>1.0745590780216396</v>
      </c>
      <c r="L21" s="22" t="e">
        <f t="shared" si="23"/>
        <v>#DIV/0!</v>
      </c>
      <c r="M21" s="22" t="e">
        <f t="shared" si="23"/>
        <v>#DIV/0!</v>
      </c>
      <c r="N21" s="22" t="e">
        <f t="shared" si="23"/>
        <v>#DIV/0!</v>
      </c>
    </row>
    <row r="22" spans="2:14" ht="25.5">
      <c r="B22" s="18" t="s">
        <v>285</v>
      </c>
      <c r="C22" s="22">
        <f>+C20*C21</f>
        <v>66.324760253484229</v>
      </c>
      <c r="D22" s="22">
        <f t="shared" ref="D22:I22" si="24">+D20*D21</f>
        <v>51.676088919911763</v>
      </c>
      <c r="E22" s="22">
        <f t="shared" si="24"/>
        <v>36.997450072475509</v>
      </c>
      <c r="F22" s="22">
        <f t="shared" si="24"/>
        <v>17.643938740004216</v>
      </c>
      <c r="G22" s="22">
        <f t="shared" si="24"/>
        <v>4.326203601094516</v>
      </c>
      <c r="H22" s="22">
        <f t="shared" si="24"/>
        <v>4.3514511998302625</v>
      </c>
      <c r="I22" s="22">
        <f t="shared" si="24"/>
        <v>12.307149982043429</v>
      </c>
      <c r="J22" s="22">
        <f t="shared" ref="J22:N22" si="25">+J20*J21</f>
        <v>21.480561654588055</v>
      </c>
      <c r="K22" s="22">
        <f t="shared" si="25"/>
        <v>15.101725709292248</v>
      </c>
      <c r="L22" s="22" t="e">
        <f t="shared" si="25"/>
        <v>#DIV/0!</v>
      </c>
      <c r="M22" s="22" t="e">
        <f t="shared" si="25"/>
        <v>#DIV/0!</v>
      </c>
      <c r="N22" s="22" t="e">
        <f t="shared" si="25"/>
        <v>#DIV/0!</v>
      </c>
    </row>
    <row r="23" spans="2:14" ht="25.5">
      <c r="B23" s="23" t="s">
        <v>286</v>
      </c>
      <c r="C23" s="24">
        <f>IF(C41&lt;10%,0,IF(15%&lt;C41,2,1))</f>
        <v>0</v>
      </c>
      <c r="D23" s="24">
        <f>IF(D41&lt;10%,0,IF(15%&lt;D41,2,1))</f>
        <v>0</v>
      </c>
      <c r="E23" s="24">
        <f t="shared" ref="E23:I23" si="26">IF(E41&lt;10%,0,IF(15%&lt;E41,2,1))</f>
        <v>0</v>
      </c>
      <c r="F23" s="24">
        <f t="shared" si="26"/>
        <v>0</v>
      </c>
      <c r="G23" s="24">
        <f t="shared" si="26"/>
        <v>1</v>
      </c>
      <c r="H23" s="24">
        <f t="shared" si="26"/>
        <v>2</v>
      </c>
      <c r="I23" s="24">
        <f t="shared" si="26"/>
        <v>1</v>
      </c>
      <c r="J23" s="24">
        <f t="shared" ref="J23:N23" si="27">IF(J41&lt;10%,0,IF(15%&lt;J41,2,1))</f>
        <v>0</v>
      </c>
      <c r="K23" s="24">
        <f t="shared" si="27"/>
        <v>0</v>
      </c>
      <c r="L23" s="24" t="e">
        <f t="shared" si="27"/>
        <v>#DIV/0!</v>
      </c>
      <c r="M23" s="24" t="e">
        <f t="shared" si="27"/>
        <v>#DIV/0!</v>
      </c>
      <c r="N23" s="24" t="e">
        <f t="shared" si="27"/>
        <v>#DIV/0!</v>
      </c>
    </row>
    <row r="24" spans="2:14" ht="25.5">
      <c r="B24" s="23" t="s">
        <v>287</v>
      </c>
      <c r="C24" s="24">
        <f>IF(C41&lt;10%,1,IF(15%&lt;C41,2.5,2))</f>
        <v>1</v>
      </c>
      <c r="D24" s="24">
        <f t="shared" ref="D24:I24" si="28">IF(D41&lt;10%,1,IF(15%&lt;D41,2.5,2))</f>
        <v>1</v>
      </c>
      <c r="E24" s="24">
        <f t="shared" si="28"/>
        <v>1</v>
      </c>
      <c r="F24" s="24">
        <f t="shared" si="28"/>
        <v>1</v>
      </c>
      <c r="G24" s="24">
        <f t="shared" si="28"/>
        <v>2</v>
      </c>
      <c r="H24" s="24">
        <f t="shared" si="28"/>
        <v>2.5</v>
      </c>
      <c r="I24" s="24">
        <f t="shared" si="28"/>
        <v>2</v>
      </c>
      <c r="J24" s="24">
        <f t="shared" ref="J24:N24" si="29">IF(J41&lt;10%,1,IF(15%&lt;J41,2.5,2))</f>
        <v>1</v>
      </c>
      <c r="K24" s="24">
        <f t="shared" si="29"/>
        <v>1</v>
      </c>
      <c r="L24" s="24" t="e">
        <f t="shared" si="29"/>
        <v>#DIV/0!</v>
      </c>
      <c r="M24" s="24" t="e">
        <f t="shared" si="29"/>
        <v>#DIV/0!</v>
      </c>
      <c r="N24" s="24" t="e">
        <f t="shared" si="29"/>
        <v>#DIV/0!</v>
      </c>
    </row>
    <row r="25" spans="2:14" ht="25.5">
      <c r="B25" s="25" t="s">
        <v>288</v>
      </c>
      <c r="C25" s="26">
        <f t="shared" ref="C25:I25" si="30">+C23*C18</f>
        <v>0</v>
      </c>
      <c r="D25" s="26">
        <f t="shared" si="30"/>
        <v>0</v>
      </c>
      <c r="E25" s="26">
        <f t="shared" si="30"/>
        <v>0</v>
      </c>
      <c r="F25" s="26">
        <f t="shared" si="30"/>
        <v>0</v>
      </c>
      <c r="G25" s="26">
        <f t="shared" si="30"/>
        <v>130.40290199299514</v>
      </c>
      <c r="H25" s="26">
        <f t="shared" si="30"/>
        <v>271.25453624276525</v>
      </c>
      <c r="I25" s="26">
        <f t="shared" si="30"/>
        <v>140.84669503445758</v>
      </c>
      <c r="J25" s="26">
        <f t="shared" ref="J25:N25" si="31">+J23*J18</f>
        <v>0</v>
      </c>
      <c r="K25" s="26">
        <f t="shared" si="31"/>
        <v>0</v>
      </c>
      <c r="L25" s="26" t="e">
        <f t="shared" si="31"/>
        <v>#DIV/0!</v>
      </c>
      <c r="M25" s="26" t="e">
        <f t="shared" si="31"/>
        <v>#DIV/0!</v>
      </c>
      <c r="N25" s="26" t="e">
        <f t="shared" si="31"/>
        <v>#DIV/0!</v>
      </c>
    </row>
    <row r="26" spans="2:14" ht="25.5">
      <c r="B26" s="25" t="s">
        <v>289</v>
      </c>
      <c r="C26" s="26">
        <f>AVERAGE(C25,C27)</f>
        <v>47.59262349387641</v>
      </c>
      <c r="D26" s="26">
        <f t="shared" ref="D26:I26" si="32">AVERAGE(D25,D27)</f>
        <v>60.222610312873414</v>
      </c>
      <c r="E26" s="26">
        <f t="shared" si="32"/>
        <v>50.763774620933347</v>
      </c>
      <c r="F26" s="26">
        <f t="shared" si="32"/>
        <v>62.755453939685061</v>
      </c>
      <c r="G26" s="26">
        <f t="shared" si="32"/>
        <v>195.60435298949272</v>
      </c>
      <c r="H26" s="26">
        <f t="shared" si="32"/>
        <v>305.16135327311088</v>
      </c>
      <c r="I26" s="26">
        <f t="shared" si="32"/>
        <v>211.27004255168637</v>
      </c>
      <c r="J26" s="26">
        <f t="shared" ref="J26:N26" si="33">AVERAGE(J25,J27)</f>
        <v>70.347867361508193</v>
      </c>
      <c r="K26" s="26">
        <f t="shared" si="33"/>
        <v>71.606114148384179</v>
      </c>
      <c r="L26" s="26" t="e">
        <f t="shared" si="33"/>
        <v>#DIV/0!</v>
      </c>
      <c r="M26" s="26" t="e">
        <f t="shared" si="33"/>
        <v>#DIV/0!</v>
      </c>
      <c r="N26" s="26" t="e">
        <f t="shared" si="33"/>
        <v>#DIV/0!</v>
      </c>
    </row>
    <row r="27" spans="2:14" ht="25.5">
      <c r="B27" s="25" t="s">
        <v>290</v>
      </c>
      <c r="C27" s="26">
        <f t="shared" ref="C27:I27" si="34">+C18*C24</f>
        <v>95.185246987752819</v>
      </c>
      <c r="D27" s="26">
        <f t="shared" si="34"/>
        <v>120.44522062574683</v>
      </c>
      <c r="E27" s="26">
        <f t="shared" si="34"/>
        <v>101.52754924186669</v>
      </c>
      <c r="F27" s="26">
        <f t="shared" si="34"/>
        <v>125.51090787937012</v>
      </c>
      <c r="G27" s="26">
        <f t="shared" si="34"/>
        <v>260.80580398599028</v>
      </c>
      <c r="H27" s="26">
        <f t="shared" si="34"/>
        <v>339.06817030345655</v>
      </c>
      <c r="I27" s="26">
        <f t="shared" si="34"/>
        <v>281.69339006891516</v>
      </c>
      <c r="J27" s="26">
        <f t="shared" ref="J27:N27" si="35">+J18*J24</f>
        <v>140.69573472301639</v>
      </c>
      <c r="K27" s="26">
        <f t="shared" si="35"/>
        <v>143.21222829676836</v>
      </c>
      <c r="L27" s="26" t="e">
        <f t="shared" si="35"/>
        <v>#DIV/0!</v>
      </c>
      <c r="M27" s="26" t="e">
        <f t="shared" si="35"/>
        <v>#DIV/0!</v>
      </c>
      <c r="N27" s="26" t="e">
        <f t="shared" si="35"/>
        <v>#DIV/0!</v>
      </c>
    </row>
    <row r="29" spans="2:14" ht="25.5">
      <c r="B29" s="243" t="s">
        <v>291</v>
      </c>
      <c r="C29" s="81">
        <f t="shared" ref="C29:I29" si="36">C7-C12</f>
        <v>-75289429000</v>
      </c>
      <c r="D29" s="81">
        <f t="shared" si="36"/>
        <v>-169746507000</v>
      </c>
      <c r="E29" s="81">
        <f t="shared" si="36"/>
        <v>-198676068000</v>
      </c>
      <c r="F29" s="81">
        <f t="shared" si="36"/>
        <v>-94702597000</v>
      </c>
      <c r="G29" s="81">
        <f t="shared" si="36"/>
        <v>-98353551000</v>
      </c>
      <c r="H29" s="81">
        <f t="shared" si="36"/>
        <v>-155203224000</v>
      </c>
      <c r="I29" s="81">
        <f t="shared" si="36"/>
        <v>-149728439000</v>
      </c>
      <c r="J29" s="81">
        <f t="shared" ref="J29:N29" si="37">J7-J12</f>
        <v>-142735844000</v>
      </c>
      <c r="K29" s="81">
        <f t="shared" si="37"/>
        <v>-161318041000</v>
      </c>
      <c r="L29" s="81">
        <f t="shared" si="37"/>
        <v>0</v>
      </c>
      <c r="M29" s="81">
        <f t="shared" si="37"/>
        <v>0</v>
      </c>
      <c r="N29" s="81">
        <f t="shared" si="37"/>
        <v>0</v>
      </c>
    </row>
    <row r="30" spans="2:14" ht="25.5">
      <c r="B30" s="30" t="s">
        <v>149</v>
      </c>
      <c r="C30" s="241">
        <f t="shared" ref="C30:I30" si="38">C7/C12</f>
        <v>0.86807781025656983</v>
      </c>
      <c r="D30" s="241">
        <f t="shared" si="38"/>
        <v>0.68680705765694616</v>
      </c>
      <c r="E30" s="241">
        <f t="shared" si="38"/>
        <v>0.64573242478913062</v>
      </c>
      <c r="F30" s="241">
        <f t="shared" si="38"/>
        <v>0.84325834884309026</v>
      </c>
      <c r="G30" s="241">
        <f t="shared" si="38"/>
        <v>0.8430391954050992</v>
      </c>
      <c r="H30" s="242">
        <f t="shared" si="38"/>
        <v>0.76211799155898441</v>
      </c>
      <c r="I30" s="242">
        <f t="shared" si="38"/>
        <v>0.76994658851740616</v>
      </c>
      <c r="J30" s="242">
        <f t="shared" ref="J30:N30" si="39">J7/J12</f>
        <v>0.79115653108418438</v>
      </c>
      <c r="K30" s="242">
        <f t="shared" si="39"/>
        <v>0.72666175792756105</v>
      </c>
      <c r="L30" s="242" t="e">
        <f t="shared" si="39"/>
        <v>#DIV/0!</v>
      </c>
      <c r="M30" s="242" t="e">
        <f t="shared" si="39"/>
        <v>#DIV/0!</v>
      </c>
      <c r="N30" s="242" t="e">
        <f t="shared" si="39"/>
        <v>#DIV/0!</v>
      </c>
    </row>
    <row r="31" spans="2:14" ht="25.5">
      <c r="B31" s="30" t="s">
        <v>292</v>
      </c>
      <c r="C31" s="241">
        <f t="shared" ref="C31:I31" si="40">+(C7-C9)/C12</f>
        <v>0.52787659664031639</v>
      </c>
      <c r="D31" s="241">
        <f t="shared" si="40"/>
        <v>0.32713363618388702</v>
      </c>
      <c r="E31" s="241">
        <f t="shared" si="40"/>
        <v>0.29669310297225698</v>
      </c>
      <c r="F31" s="241">
        <f t="shared" si="40"/>
        <v>0.53089321113572918</v>
      </c>
      <c r="G31" s="241">
        <f t="shared" si="40"/>
        <v>0.47299564275621625</v>
      </c>
      <c r="H31" s="241">
        <f t="shared" si="40"/>
        <v>0.38606185320878711</v>
      </c>
      <c r="I31" s="241">
        <f t="shared" si="40"/>
        <v>0.43432252332943838</v>
      </c>
      <c r="J31" s="241">
        <f t="shared" ref="J31:N31" si="41">+(J7-J9)/J12</f>
        <v>0.44541569385705204</v>
      </c>
      <c r="K31" s="241">
        <f t="shared" si="41"/>
        <v>0.34584834020639721</v>
      </c>
      <c r="L31" s="241" t="e">
        <f t="shared" si="41"/>
        <v>#DIV/0!</v>
      </c>
      <c r="M31" s="241" t="e">
        <f t="shared" si="41"/>
        <v>#DIV/0!</v>
      </c>
      <c r="N31" s="241" t="e">
        <f t="shared" si="41"/>
        <v>#DIV/0!</v>
      </c>
    </row>
    <row r="32" spans="2:14" ht="25.5">
      <c r="B32" s="32" t="s">
        <v>153</v>
      </c>
      <c r="C32" s="33">
        <f t="shared" ref="C32:I32" si="42">C14/C11</f>
        <v>0.68827494541555623</v>
      </c>
      <c r="D32" s="33">
        <f t="shared" si="42"/>
        <v>0.61637617433589065</v>
      </c>
      <c r="E32" s="33">
        <f t="shared" si="42"/>
        <v>0.6528036457097588</v>
      </c>
      <c r="F32" s="33">
        <f t="shared" si="42"/>
        <v>0.66794770589508234</v>
      </c>
      <c r="G32" s="33">
        <f t="shared" si="42"/>
        <v>0.66099175027377044</v>
      </c>
      <c r="H32" s="33">
        <f t="shared" si="42"/>
        <v>0.6618917616654767</v>
      </c>
      <c r="I32" s="33">
        <f t="shared" si="42"/>
        <v>0.65898012235376624</v>
      </c>
      <c r="J32" s="33">
        <f t="shared" ref="J32:N32" si="43">J14/J11</f>
        <v>0.67589725440260384</v>
      </c>
      <c r="K32" s="33">
        <f t="shared" si="43"/>
        <v>0.67254747163769091</v>
      </c>
      <c r="L32" s="33" t="e">
        <f t="shared" si="43"/>
        <v>#DIV/0!</v>
      </c>
      <c r="M32" s="33" t="e">
        <f t="shared" si="43"/>
        <v>#DIV/0!</v>
      </c>
      <c r="N32" s="33" t="e">
        <f t="shared" si="43"/>
        <v>#DIV/0!</v>
      </c>
    </row>
    <row r="35" spans="2:14" ht="25.5">
      <c r="B35" s="35" t="s">
        <v>293</v>
      </c>
      <c r="C35" s="36">
        <f>+C120</f>
        <v>2257558436000</v>
      </c>
      <c r="D35" s="36">
        <f t="shared" ref="D35:I35" si="44">+D120</f>
        <v>2295415143000</v>
      </c>
      <c r="E35" s="36">
        <f t="shared" si="44"/>
        <v>2297031989000</v>
      </c>
      <c r="F35" s="36">
        <f t="shared" si="44"/>
        <v>2316346059000</v>
      </c>
      <c r="G35" s="36">
        <f t="shared" si="44"/>
        <v>2472377853000</v>
      </c>
      <c r="H35" s="36">
        <f t="shared" si="44"/>
        <v>2826313519000</v>
      </c>
      <c r="I35" s="36">
        <f t="shared" si="44"/>
        <v>2862382871000</v>
      </c>
      <c r="J35" s="36">
        <f t="shared" ref="J35:N35" si="45">+J120</f>
        <v>2887165316000</v>
      </c>
      <c r="K35" s="36">
        <f t="shared" si="45"/>
        <v>2819055320000</v>
      </c>
      <c r="L35" s="36">
        <f t="shared" si="45"/>
        <v>0</v>
      </c>
      <c r="M35" s="36">
        <f t="shared" si="45"/>
        <v>0</v>
      </c>
      <c r="N35" s="36">
        <f t="shared" si="45"/>
        <v>0</v>
      </c>
    </row>
    <row r="36" spans="2:14" ht="25.5">
      <c r="B36" s="39" t="s">
        <v>156</v>
      </c>
      <c r="C36" s="40">
        <f>+C127</f>
        <v>97383426000</v>
      </c>
      <c r="D36" s="40">
        <f t="shared" ref="D36:I36" si="46">+D127</f>
        <v>91901846000</v>
      </c>
      <c r="E36" s="40">
        <f t="shared" si="46"/>
        <v>103340309000</v>
      </c>
      <c r="F36" s="40">
        <f t="shared" si="46"/>
        <v>90897234000</v>
      </c>
      <c r="G36" s="40">
        <f t="shared" si="46"/>
        <v>131234000000</v>
      </c>
      <c r="H36" s="40">
        <f t="shared" si="46"/>
        <v>190190778000</v>
      </c>
      <c r="I36" s="40">
        <f t="shared" si="46"/>
        <v>166796273000</v>
      </c>
      <c r="J36" s="40">
        <f t="shared" ref="J36:N36" si="47">+J127</f>
        <v>61849172000</v>
      </c>
      <c r="K36" s="40">
        <f t="shared" si="47"/>
        <v>146021583000</v>
      </c>
      <c r="L36" s="40">
        <f t="shared" si="47"/>
        <v>0</v>
      </c>
      <c r="M36" s="40">
        <f t="shared" si="47"/>
        <v>0</v>
      </c>
      <c r="N36" s="40">
        <f t="shared" si="47"/>
        <v>0</v>
      </c>
    </row>
    <row r="37" spans="2:14" ht="25.5">
      <c r="B37" s="35" t="s">
        <v>381</v>
      </c>
      <c r="C37" s="41">
        <f>C36/C35</f>
        <v>4.3136613629610604E-2</v>
      </c>
      <c r="D37" s="41">
        <f t="shared" ref="D37:I37" si="48">D36/D35</f>
        <v>4.0037135016844312E-2</v>
      </c>
      <c r="E37" s="41">
        <f t="shared" si="48"/>
        <v>4.498862423112733E-2</v>
      </c>
      <c r="F37" s="41">
        <f t="shared" si="48"/>
        <v>3.9241646837192216E-2</v>
      </c>
      <c r="G37" s="41">
        <f t="shared" si="48"/>
        <v>5.3080074245431284E-2</v>
      </c>
      <c r="H37" s="41">
        <f t="shared" si="48"/>
        <v>6.7292880539060962E-2</v>
      </c>
      <c r="I37" s="41">
        <f t="shared" si="48"/>
        <v>5.8271824740807013E-2</v>
      </c>
      <c r="J37" s="41">
        <f t="shared" ref="J37:N37" si="49">J36/J35</f>
        <v>2.1422109657956281E-2</v>
      </c>
      <c r="K37" s="41">
        <f t="shared" si="49"/>
        <v>5.1798055172610095E-2</v>
      </c>
      <c r="L37" s="41" t="e">
        <f t="shared" si="49"/>
        <v>#DIV/0!</v>
      </c>
      <c r="M37" s="41" t="e">
        <f t="shared" si="49"/>
        <v>#DIV/0!</v>
      </c>
      <c r="N37" s="41" t="e">
        <f t="shared" si="49"/>
        <v>#DIV/0!</v>
      </c>
    </row>
    <row r="38" spans="2:14" ht="25.5">
      <c r="B38" s="43" t="s">
        <v>295</v>
      </c>
      <c r="C38" s="44">
        <f>+C138</f>
        <v>27637116000</v>
      </c>
      <c r="D38" s="44">
        <f t="shared" ref="D38:I38" si="50">+D138</f>
        <v>33033180000</v>
      </c>
      <c r="E38" s="44">
        <f t="shared" si="50"/>
        <v>34583689000</v>
      </c>
      <c r="F38" s="44">
        <f t="shared" si="50"/>
        <v>29827666000</v>
      </c>
      <c r="G38" s="44">
        <f t="shared" si="50"/>
        <v>75706652000</v>
      </c>
      <c r="H38" s="44">
        <f t="shared" si="50"/>
        <v>132087516000</v>
      </c>
      <c r="I38" s="44">
        <f t="shared" si="50"/>
        <v>87274202000</v>
      </c>
      <c r="J38" s="44">
        <f>+J138</f>
        <v>48749561000</v>
      </c>
      <c r="K38" s="44">
        <f t="shared" ref="K38:N38" si="51">+K138</f>
        <v>63122658000</v>
      </c>
      <c r="L38" s="44">
        <f t="shared" si="51"/>
        <v>0</v>
      </c>
      <c r="M38" s="44">
        <f t="shared" si="51"/>
        <v>0</v>
      </c>
      <c r="N38" s="44">
        <f t="shared" si="51"/>
        <v>0</v>
      </c>
    </row>
    <row r="39" spans="2:14" ht="25.5">
      <c r="B39" s="30" t="s">
        <v>296</v>
      </c>
      <c r="C39" s="45">
        <f>C38/C35</f>
        <v>1.2242037928802477E-2</v>
      </c>
      <c r="D39" s="45">
        <f t="shared" ref="D39:I39" si="52">D38/D35</f>
        <v>1.4390939303827708E-2</v>
      </c>
      <c r="E39" s="45">
        <f t="shared" si="52"/>
        <v>1.5055815141284042E-2</v>
      </c>
      <c r="F39" s="45">
        <f t="shared" si="52"/>
        <v>1.2877033586629553E-2</v>
      </c>
      <c r="G39" s="45">
        <f t="shared" si="52"/>
        <v>3.0620987770189349E-2</v>
      </c>
      <c r="H39" s="45">
        <f t="shared" si="52"/>
        <v>4.673491285097589E-2</v>
      </c>
      <c r="I39" s="45">
        <f t="shared" si="52"/>
        <v>3.0490051797127316E-2</v>
      </c>
      <c r="J39" s="45">
        <f t="shared" ref="J39:N39" si="53">J38/J35</f>
        <v>1.6884921943970874E-2</v>
      </c>
      <c r="K39" s="45">
        <f t="shared" si="53"/>
        <v>2.2391422244243155E-2</v>
      </c>
      <c r="L39" s="45" t="e">
        <f t="shared" si="53"/>
        <v>#DIV/0!</v>
      </c>
      <c r="M39" s="45" t="e">
        <f t="shared" si="53"/>
        <v>#DIV/0!</v>
      </c>
      <c r="N39" s="45" t="e">
        <f t="shared" si="53"/>
        <v>#DIV/0!</v>
      </c>
    </row>
    <row r="40" spans="2:14" ht="25.5">
      <c r="B40" s="46" t="s">
        <v>159</v>
      </c>
      <c r="C40" s="121">
        <f>+C139</f>
        <v>5.4799999999999995</v>
      </c>
      <c r="D40" s="121">
        <f t="shared" ref="D40:I40" si="54">+D139</f>
        <v>5.8</v>
      </c>
      <c r="E40" s="121">
        <f t="shared" si="54"/>
        <v>5.9899999999999993</v>
      </c>
      <c r="F40" s="121">
        <f t="shared" si="54"/>
        <v>5.17</v>
      </c>
      <c r="G40" s="121">
        <f t="shared" si="54"/>
        <v>13.11</v>
      </c>
      <c r="H40" s="121">
        <f t="shared" si="54"/>
        <v>22.8</v>
      </c>
      <c r="I40" s="121">
        <f t="shared" si="54"/>
        <v>15.14</v>
      </c>
      <c r="J40" s="121">
        <f t="shared" ref="J40:N40" si="55">+J139</f>
        <v>8.4600000000000009</v>
      </c>
      <c r="K40" s="121">
        <f t="shared" si="55"/>
        <v>10.95</v>
      </c>
      <c r="L40" s="121">
        <f t="shared" si="55"/>
        <v>0</v>
      </c>
      <c r="M40" s="121">
        <f t="shared" si="55"/>
        <v>0</v>
      </c>
      <c r="N40" s="121">
        <f t="shared" si="55"/>
        <v>0</v>
      </c>
    </row>
    <row r="41" spans="2:14" ht="25.5">
      <c r="B41" s="48" t="s">
        <v>160</v>
      </c>
      <c r="C41" s="49">
        <f t="shared" ref="C41:I41" si="56">C38/C15</f>
        <v>4.6623299088618619E-2</v>
      </c>
      <c r="D41" s="49">
        <f t="shared" si="56"/>
        <v>4.7510662740246457E-2</v>
      </c>
      <c r="E41" s="49">
        <f t="shared" si="56"/>
        <v>5.90089232876604E-2</v>
      </c>
      <c r="F41" s="49">
        <f t="shared" si="56"/>
        <v>4.1168787511885671E-2</v>
      </c>
      <c r="G41" s="49">
        <f t="shared" si="56"/>
        <v>0.10057199393867459</v>
      </c>
      <c r="H41" s="49">
        <f t="shared" si="56"/>
        <v>0.16871163536673608</v>
      </c>
      <c r="I41" s="49">
        <f t="shared" si="56"/>
        <v>0.10734195529512726</v>
      </c>
      <c r="J41" s="49">
        <f>J38/J15</f>
        <v>6.0023325557548274E-2</v>
      </c>
      <c r="K41" s="49">
        <f t="shared" ref="K41:N41" si="57">K38/K15</f>
        <v>7.6478798327322087E-2</v>
      </c>
      <c r="L41" s="49" t="e">
        <f t="shared" si="57"/>
        <v>#DIV/0!</v>
      </c>
      <c r="M41" s="49" t="e">
        <f t="shared" si="57"/>
        <v>#DIV/0!</v>
      </c>
      <c r="N41" s="49" t="e">
        <f t="shared" si="57"/>
        <v>#DIV/0!</v>
      </c>
    </row>
    <row r="42" spans="2:14" ht="25.5">
      <c r="B42" s="48" t="s">
        <v>382</v>
      </c>
      <c r="C42" s="49">
        <f>AVERAGE(G41:I41)</f>
        <v>0.12554186153351263</v>
      </c>
      <c r="D42" s="49"/>
      <c r="E42" s="49"/>
      <c r="F42" s="49"/>
      <c r="G42" s="49"/>
      <c r="H42" s="49"/>
      <c r="I42" s="49"/>
      <c r="J42" s="49"/>
      <c r="K42" s="49"/>
      <c r="L42" s="49"/>
      <c r="M42" s="49"/>
      <c r="N42" s="49"/>
    </row>
    <row r="43" spans="2:14" ht="25.5">
      <c r="B43" s="48" t="s">
        <v>298</v>
      </c>
      <c r="C43" s="50">
        <f>+C151</f>
        <v>-6361812000</v>
      </c>
      <c r="D43" s="50">
        <f t="shared" ref="D43:I43" si="58">+D151</f>
        <v>34160446000</v>
      </c>
      <c r="E43" s="50">
        <f t="shared" si="58"/>
        <v>58171367000</v>
      </c>
      <c r="F43" s="50">
        <f t="shared" si="58"/>
        <v>102340926000</v>
      </c>
      <c r="G43" s="50">
        <f t="shared" si="58"/>
        <v>153965626000</v>
      </c>
      <c r="H43" s="50">
        <f t="shared" si="58"/>
        <v>172903568000</v>
      </c>
      <c r="I43" s="50">
        <f t="shared" si="58"/>
        <v>147358716000</v>
      </c>
      <c r="J43" s="50">
        <f>+J151</f>
        <v>72849245000</v>
      </c>
      <c r="K43" s="50">
        <f t="shared" ref="K43:N43" si="59">+K151</f>
        <v>99257024000</v>
      </c>
      <c r="L43" s="50">
        <f t="shared" si="59"/>
        <v>0</v>
      </c>
      <c r="M43" s="50">
        <f t="shared" si="59"/>
        <v>0</v>
      </c>
      <c r="N43" s="50">
        <f t="shared" si="59"/>
        <v>0</v>
      </c>
    </row>
    <row r="44" spans="2:14" ht="25.5">
      <c r="B44" s="51" t="s">
        <v>111</v>
      </c>
      <c r="C44" s="51">
        <f>SUM(C46:C49)</f>
        <v>0</v>
      </c>
      <c r="D44" s="51">
        <f t="shared" ref="D44:F44" si="60">SUM(D46:D49)</f>
        <v>0</v>
      </c>
      <c r="E44" s="51">
        <f t="shared" si="60"/>
        <v>1.7170000000000001</v>
      </c>
      <c r="F44" s="51">
        <f t="shared" si="60"/>
        <v>4.4930000000000003</v>
      </c>
      <c r="G44" s="51">
        <f>SUM(G46:G49)</f>
        <v>9.9469999999999992</v>
      </c>
      <c r="H44" s="51">
        <f>SUM(H46:H49)</f>
        <v>16.877489999999998</v>
      </c>
      <c r="I44" s="51">
        <f t="shared" ref="I44:N44" si="61">SUM(I46:I48)</f>
        <v>10.863950000000001</v>
      </c>
      <c r="J44" s="51">
        <f t="shared" si="61"/>
        <v>9.0760499999999986</v>
      </c>
      <c r="K44" s="51">
        <f t="shared" si="61"/>
        <v>8.7626799999999996</v>
      </c>
      <c r="L44" s="51">
        <f t="shared" si="61"/>
        <v>0</v>
      </c>
      <c r="M44" s="51">
        <f t="shared" si="61"/>
        <v>0</v>
      </c>
      <c r="N44" s="51">
        <f t="shared" si="61"/>
        <v>0</v>
      </c>
    </row>
    <row r="45" spans="2:14" ht="25.5">
      <c r="B45" s="51" t="s">
        <v>112</v>
      </c>
      <c r="C45" s="51">
        <f>+C46+C47</f>
        <v>0</v>
      </c>
      <c r="D45" s="51">
        <f t="shared" ref="D45:H45" si="62">+D46+D47</f>
        <v>0</v>
      </c>
      <c r="E45" s="51">
        <f t="shared" si="62"/>
        <v>1.7170000000000001</v>
      </c>
      <c r="F45" s="51">
        <f t="shared" si="62"/>
        <v>4.4930000000000003</v>
      </c>
      <c r="G45" s="51">
        <f t="shared" si="62"/>
        <v>8.109</v>
      </c>
      <c r="H45" s="51">
        <f t="shared" si="62"/>
        <v>16.877489999999998</v>
      </c>
      <c r="I45" s="51">
        <f>+I46+I47</f>
        <v>10.863950000000001</v>
      </c>
      <c r="J45" s="51">
        <f t="shared" ref="J45:N45" si="63">+J46+J47</f>
        <v>9.0760499999999986</v>
      </c>
      <c r="K45" s="51">
        <f t="shared" si="63"/>
        <v>8.7626799999999996</v>
      </c>
      <c r="L45" s="51">
        <f t="shared" si="63"/>
        <v>0</v>
      </c>
      <c r="M45" s="51">
        <f t="shared" si="63"/>
        <v>0</v>
      </c>
      <c r="N45" s="51">
        <f t="shared" si="63"/>
        <v>0</v>
      </c>
    </row>
    <row r="46" spans="2:14" ht="18">
      <c r="B46" s="135" t="s">
        <v>114</v>
      </c>
      <c r="C46" s="94"/>
      <c r="D46" s="94">
        <v>0</v>
      </c>
      <c r="E46" s="94">
        <v>1.7170000000000001</v>
      </c>
      <c r="F46" s="94">
        <v>4.4930000000000003</v>
      </c>
      <c r="G46" s="94">
        <f>2.038+0.655</f>
        <v>2.6929999999999996</v>
      </c>
      <c r="H46" s="94">
        <v>3.7654899999999998</v>
      </c>
      <c r="I46" s="155">
        <v>4.0669500000000003</v>
      </c>
      <c r="J46" s="155">
        <v>4.7568599999999996</v>
      </c>
      <c r="K46" s="155">
        <v>2.0248699999999999</v>
      </c>
      <c r="L46" s="155"/>
      <c r="M46" s="155"/>
      <c r="N46" s="155"/>
    </row>
    <row r="47" spans="2:14" ht="18">
      <c r="B47" s="135" t="s">
        <v>115</v>
      </c>
      <c r="C47" s="94"/>
      <c r="D47" s="94"/>
      <c r="E47" s="94"/>
      <c r="F47" s="94"/>
      <c r="G47" s="94">
        <f>2.933+2.483</f>
        <v>5.4160000000000004</v>
      </c>
      <c r="H47" s="94">
        <f>3.819+2.823+6.47</f>
        <v>13.111999999999998</v>
      </c>
      <c r="I47" s="155">
        <f>1.462+2.445+2.89</f>
        <v>6.7970000000000006</v>
      </c>
      <c r="J47" s="155">
        <f>2.48724+0.86011+0.97184</f>
        <v>4.3191899999999999</v>
      </c>
      <c r="K47" s="155">
        <f>0.54785+1.94579+4.24417</f>
        <v>6.7378100000000005</v>
      </c>
      <c r="L47" s="155"/>
      <c r="M47" s="155"/>
      <c r="N47" s="155"/>
    </row>
    <row r="48" spans="2:14" ht="18">
      <c r="B48" s="135" t="s">
        <v>116</v>
      </c>
      <c r="C48" s="94"/>
      <c r="D48" s="94"/>
      <c r="E48" s="94"/>
      <c r="F48" s="94"/>
      <c r="G48" s="94"/>
      <c r="H48" s="94"/>
      <c r="I48" s="155"/>
      <c r="J48" s="155"/>
      <c r="K48" s="155"/>
      <c r="L48" s="155"/>
      <c r="M48" s="155"/>
      <c r="N48" s="155"/>
    </row>
    <row r="49" spans="2:16" ht="18">
      <c r="B49" s="135" t="s">
        <v>117</v>
      </c>
      <c r="C49" s="94"/>
      <c r="D49" s="94"/>
      <c r="E49" s="94"/>
      <c r="F49" s="94"/>
      <c r="G49" s="94">
        <v>1.8380000000000001</v>
      </c>
      <c r="H49" s="94"/>
      <c r="I49" s="94"/>
      <c r="J49" s="94"/>
      <c r="K49" s="94"/>
      <c r="L49" s="94"/>
      <c r="M49" s="94"/>
      <c r="N49" s="94"/>
    </row>
    <row r="50" spans="2:16" ht="25.5">
      <c r="B50" s="51" t="s">
        <v>119</v>
      </c>
      <c r="C50" s="94">
        <f t="shared" ref="C50:K50" si="64">SUM(C52:C55)</f>
        <v>0</v>
      </c>
      <c r="D50" s="94">
        <f t="shared" si="64"/>
        <v>1.7167300000000001</v>
      </c>
      <c r="E50" s="94">
        <f t="shared" si="64"/>
        <v>4.4932699999999999</v>
      </c>
      <c r="F50" s="94">
        <f t="shared" si="64"/>
        <v>4.5229400000000002</v>
      </c>
      <c r="G50" s="94">
        <f t="shared" si="64"/>
        <v>9.1754899999999999</v>
      </c>
      <c r="H50" s="94">
        <f t="shared" si="64"/>
        <v>17.17839</v>
      </c>
      <c r="I50" s="94">
        <f t="shared" si="64"/>
        <v>11.553979999999999</v>
      </c>
      <c r="J50" s="94">
        <f t="shared" si="64"/>
        <v>6.3440599999999998</v>
      </c>
      <c r="K50" s="94">
        <f t="shared" si="64"/>
        <v>6.7378100000000005</v>
      </c>
      <c r="L50" s="94"/>
      <c r="M50" s="94"/>
      <c r="N50" s="94"/>
    </row>
    <row r="51" spans="2:16" ht="25.5">
      <c r="B51" s="51" t="s">
        <v>120</v>
      </c>
      <c r="C51" s="94">
        <f t="shared" ref="C51:K51" si="65">SUM(C52:C54)</f>
        <v>0</v>
      </c>
      <c r="D51" s="94">
        <f t="shared" si="65"/>
        <v>1.7167300000000001</v>
      </c>
      <c r="E51" s="94">
        <f t="shared" si="65"/>
        <v>4.4932699999999999</v>
      </c>
      <c r="F51" s="94">
        <f t="shared" si="65"/>
        <v>2.6929400000000001</v>
      </c>
      <c r="G51" s="94">
        <f t="shared" si="65"/>
        <v>9.1754899999999999</v>
      </c>
      <c r="H51" s="94">
        <f t="shared" si="65"/>
        <v>17.17839</v>
      </c>
      <c r="I51" s="94">
        <f t="shared" si="65"/>
        <v>11.553979999999999</v>
      </c>
      <c r="J51" s="94">
        <f t="shared" si="65"/>
        <v>6.3440599999999998</v>
      </c>
      <c r="K51" s="94">
        <f t="shared" si="65"/>
        <v>6.7378100000000005</v>
      </c>
      <c r="L51" s="94"/>
      <c r="M51" s="94"/>
      <c r="N51" s="94"/>
    </row>
    <row r="52" spans="2:16" ht="18">
      <c r="B52" s="135" t="s">
        <v>121</v>
      </c>
      <c r="C52" s="94"/>
      <c r="D52" s="851">
        <v>1.7167300000000001</v>
      </c>
      <c r="E52" s="94">
        <v>4.4932699999999999</v>
      </c>
      <c r="F52" s="851">
        <f>2.03769+0.65525</f>
        <v>2.6929400000000001</v>
      </c>
      <c r="G52" s="94">
        <v>3.7654899999999998</v>
      </c>
      <c r="H52" s="94">
        <v>4.0669500000000003</v>
      </c>
      <c r="I52" s="94">
        <v>4.7568599999999996</v>
      </c>
      <c r="J52" s="94">
        <v>2.0248699999999999</v>
      </c>
      <c r="K52" s="94"/>
      <c r="L52" s="94"/>
      <c r="M52" s="94"/>
      <c r="N52" s="94"/>
    </row>
    <row r="53" spans="2:16" ht="18">
      <c r="B53" s="135" t="s">
        <v>122</v>
      </c>
      <c r="C53" s="94"/>
      <c r="D53" s="94"/>
      <c r="E53" s="94"/>
      <c r="F53" s="94"/>
      <c r="G53" s="94">
        <f>2.48+2.93</f>
        <v>5.41</v>
      </c>
      <c r="H53" s="94">
        <f>6.47+2.8227+3.81874</f>
        <v>13.11144</v>
      </c>
      <c r="I53" s="94">
        <f>2.89043+2.44451+1.46218</f>
        <v>6.7971199999999996</v>
      </c>
      <c r="J53" s="94">
        <f>2.48724+0.86011+0.97184</f>
        <v>4.3191899999999999</v>
      </c>
      <c r="K53" s="94">
        <f>0.54785+1.94579+4.24417</f>
        <v>6.7378100000000005</v>
      </c>
      <c r="L53" s="94"/>
      <c r="M53" s="94"/>
      <c r="N53" s="94"/>
    </row>
    <row r="54" spans="2:16" ht="18">
      <c r="B54" s="135" t="s">
        <v>123</v>
      </c>
      <c r="C54" s="94"/>
      <c r="D54" s="94"/>
      <c r="E54" s="94"/>
      <c r="F54" s="94"/>
      <c r="G54" s="94"/>
      <c r="H54" s="94"/>
      <c r="I54" s="94"/>
      <c r="J54" s="94"/>
      <c r="K54" s="94"/>
      <c r="L54" s="94"/>
      <c r="M54" s="94"/>
      <c r="N54" s="94"/>
    </row>
    <row r="55" spans="2:16" ht="18">
      <c r="B55" s="135" t="s">
        <v>124</v>
      </c>
      <c r="C55" s="94"/>
      <c r="D55" s="94"/>
      <c r="E55" s="94"/>
      <c r="F55" s="94">
        <v>1.83</v>
      </c>
      <c r="G55" s="94"/>
      <c r="H55" s="94"/>
      <c r="I55" s="94"/>
      <c r="J55" s="94"/>
      <c r="K55" s="94"/>
      <c r="L55" s="94"/>
      <c r="M55" s="94"/>
      <c r="N55" s="94"/>
    </row>
    <row r="56" spans="2:16" ht="25.5">
      <c r="B56" s="541" t="s">
        <v>167</v>
      </c>
      <c r="C56" s="99">
        <f t="shared" ref="C56:N56" si="66">C51/C40</f>
        <v>0</v>
      </c>
      <c r="D56" s="99">
        <f t="shared" si="66"/>
        <v>0.29598793103448279</v>
      </c>
      <c r="E56" s="99">
        <f t="shared" si="66"/>
        <v>0.75012854757929892</v>
      </c>
      <c r="F56" s="99">
        <f t="shared" si="66"/>
        <v>0.52087814313346226</v>
      </c>
      <c r="G56" s="99">
        <f t="shared" si="66"/>
        <v>0.69988482074752101</v>
      </c>
      <c r="H56" s="99">
        <f t="shared" si="66"/>
        <v>0.75343815789473678</v>
      </c>
      <c r="I56" s="99">
        <f t="shared" si="66"/>
        <v>0.76314266842800516</v>
      </c>
      <c r="J56" s="99">
        <f t="shared" si="66"/>
        <v>0.74988888888888883</v>
      </c>
      <c r="K56" s="99">
        <f t="shared" si="66"/>
        <v>0.61532511415525126</v>
      </c>
      <c r="L56" s="99" t="e">
        <f t="shared" si="66"/>
        <v>#DIV/0!</v>
      </c>
      <c r="M56" s="99" t="e">
        <f t="shared" si="66"/>
        <v>#DIV/0!</v>
      </c>
      <c r="N56" s="99" t="e">
        <f t="shared" si="66"/>
        <v>#DIV/0!</v>
      </c>
    </row>
    <row r="57" spans="2:16" ht="28.5">
      <c r="B57" s="540" t="s">
        <v>303</v>
      </c>
      <c r="C57" s="54">
        <f>AVERAGE(I56:K56)</f>
        <v>0.70945222382404838</v>
      </c>
      <c r="D57" s="54"/>
      <c r="E57" s="54"/>
      <c r="F57" s="54"/>
      <c r="G57" s="54"/>
      <c r="H57" s="54"/>
      <c r="I57" s="54"/>
      <c r="J57" s="54"/>
      <c r="K57" s="54"/>
      <c r="L57" s="54"/>
      <c r="M57" s="54"/>
      <c r="N57" s="54"/>
    </row>
    <row r="58" spans="2:16" ht="25.5">
      <c r="B58" s="541" t="s">
        <v>299</v>
      </c>
      <c r="C58" s="99">
        <f t="shared" ref="C58:I58" si="67">+C44/C19</f>
        <v>0</v>
      </c>
      <c r="D58" s="99">
        <f t="shared" si="67"/>
        <v>0</v>
      </c>
      <c r="E58" s="99">
        <f t="shared" si="67"/>
        <v>1.1446666666666667E-2</v>
      </c>
      <c r="F58" s="99">
        <f t="shared" si="67"/>
        <v>4.1990654205607478E-2</v>
      </c>
      <c r="G58" s="99">
        <f t="shared" si="67"/>
        <v>0.11566279069767441</v>
      </c>
      <c r="H58" s="99">
        <f t="shared" si="67"/>
        <v>0.14549560344827583</v>
      </c>
      <c r="I58" s="99">
        <f t="shared" si="67"/>
        <v>6.7061419753086424E-2</v>
      </c>
      <c r="J58" s="99">
        <f t="shared" ref="J58:N58" si="68">+J44/J19</f>
        <v>5.6760787992495301E-2</v>
      </c>
      <c r="K58" s="99">
        <f>+K44/K19</f>
        <v>5.69411917603483E-2</v>
      </c>
      <c r="L58" s="99" t="e">
        <f t="shared" si="68"/>
        <v>#DIV/0!</v>
      </c>
      <c r="M58" s="99" t="e">
        <f t="shared" si="68"/>
        <v>#DIV/0!</v>
      </c>
      <c r="N58" s="99" t="e">
        <f t="shared" si="68"/>
        <v>#DIV/0!</v>
      </c>
    </row>
    <row r="59" spans="2:16" ht="25.5">
      <c r="B59" s="542" t="s">
        <v>384</v>
      </c>
      <c r="C59" s="534">
        <f>AVERAGE(I58:K58)</f>
        <v>6.0254466501976668E-2</v>
      </c>
      <c r="D59" s="534"/>
      <c r="E59" s="534"/>
      <c r="F59" s="534"/>
      <c r="G59" s="534"/>
      <c r="H59" s="534"/>
      <c r="I59" s="534"/>
      <c r="J59" s="534"/>
      <c r="K59" s="534"/>
      <c r="L59" s="534"/>
      <c r="M59" s="534"/>
      <c r="N59" s="534"/>
      <c r="O59" s="534"/>
      <c r="P59" s="534"/>
    </row>
    <row r="60" spans="2:16" ht="25.5">
      <c r="B60" s="543" t="s">
        <v>176</v>
      </c>
      <c r="C60" s="355">
        <f>+C41*(100%-C56)</f>
        <v>4.6623299088618619E-2</v>
      </c>
      <c r="D60" s="355">
        <f t="shared" ref="D60:I60" si="69">+D41*(100%-D56)</f>
        <v>3.3448079973683813E-2</v>
      </c>
      <c r="E60" s="355">
        <f t="shared" si="69"/>
        <v>1.4744645367669435E-2</v>
      </c>
      <c r="F60" s="549">
        <f t="shared" si="69"/>
        <v>1.9724865917638595E-2</v>
      </c>
      <c r="G60" s="355">
        <f t="shared" si="69"/>
        <v>3.0183181988684558E-2</v>
      </c>
      <c r="H60" s="355">
        <f t="shared" si="69"/>
        <v>4.1597851600613925E-2</v>
      </c>
      <c r="I60" s="355">
        <f t="shared" si="69"/>
        <v>2.5424729096924205E-2</v>
      </c>
      <c r="J60" s="355">
        <f t="shared" ref="J60:N60" si="70">+J41*(100%-J56)</f>
        <v>1.5012500647782355E-2</v>
      </c>
      <c r="K60" s="355">
        <f t="shared" si="70"/>
        <v>2.9419473016106184E-2</v>
      </c>
      <c r="L60" s="355" t="e">
        <f t="shared" si="70"/>
        <v>#DIV/0!</v>
      </c>
      <c r="M60" s="355" t="e">
        <f t="shared" si="70"/>
        <v>#DIV/0!</v>
      </c>
      <c r="N60" s="355" t="e">
        <f t="shared" si="70"/>
        <v>#DIV/0!</v>
      </c>
    </row>
    <row r="61" spans="2:16" ht="25.5">
      <c r="B61" s="542" t="s">
        <v>306</v>
      </c>
      <c r="C61" s="534">
        <f>AVERAGE(I60:K60)</f>
        <v>2.3285567586937578E-2</v>
      </c>
      <c r="D61" s="534"/>
      <c r="E61" s="534"/>
      <c r="F61" s="534"/>
      <c r="G61" s="534"/>
      <c r="H61" s="534"/>
      <c r="I61" s="534"/>
      <c r="J61" s="534"/>
      <c r="K61" s="534"/>
      <c r="L61" s="534"/>
      <c r="M61" s="534"/>
      <c r="N61" s="534"/>
      <c r="O61" s="534"/>
    </row>
    <row r="62" spans="2:16" ht="25.5">
      <c r="B62" s="543" t="s">
        <v>300</v>
      </c>
      <c r="C62" s="785">
        <f ca="1">B3</f>
        <v>130.83000000000001</v>
      </c>
    </row>
    <row r="64" spans="2:16">
      <c r="B64" s="75" t="s">
        <v>307</v>
      </c>
    </row>
    <row r="65" spans="2:14" ht="14.65" thickBot="1"/>
    <row r="66" spans="2:14">
      <c r="B66" s="57" t="s">
        <v>385</v>
      </c>
      <c r="C66" s="158">
        <v>2017</v>
      </c>
      <c r="D66" s="158">
        <v>2018</v>
      </c>
      <c r="E66" s="158">
        <v>2019</v>
      </c>
      <c r="F66" s="158">
        <v>2020</v>
      </c>
      <c r="G66" s="158">
        <v>2021</v>
      </c>
      <c r="H66" s="158">
        <v>2022</v>
      </c>
      <c r="I66" s="158">
        <v>2023</v>
      </c>
      <c r="J66" s="158">
        <v>2024</v>
      </c>
      <c r="K66" s="158">
        <v>2025</v>
      </c>
      <c r="L66" s="158">
        <v>2026</v>
      </c>
      <c r="M66" s="158">
        <v>2027</v>
      </c>
      <c r="N66" s="158">
        <v>2028</v>
      </c>
    </row>
    <row r="67" spans="2:14">
      <c r="B67" s="157" t="s">
        <v>309</v>
      </c>
      <c r="C67" s="66"/>
      <c r="D67" s="66"/>
      <c r="E67" s="66"/>
      <c r="F67" s="66"/>
      <c r="G67" s="66"/>
      <c r="H67" s="66"/>
      <c r="I67" s="66"/>
      <c r="J67" s="66"/>
      <c r="K67" s="66"/>
      <c r="L67" s="66"/>
      <c r="M67" s="66"/>
      <c r="N67" s="66"/>
    </row>
    <row r="68" spans="2:14">
      <c r="B68" s="58" t="s">
        <v>310</v>
      </c>
      <c r="C68" s="64">
        <v>495421451000</v>
      </c>
      <c r="D68" s="64">
        <v>372240505000</v>
      </c>
      <c r="E68" s="64">
        <v>362131869000</v>
      </c>
      <c r="F68" s="159">
        <v>509492882000</v>
      </c>
      <c r="G68" s="64">
        <v>528258623000</v>
      </c>
      <c r="H68" s="141">
        <v>497234617000</v>
      </c>
      <c r="I68" s="64">
        <v>501113633000</v>
      </c>
      <c r="J68" s="64">
        <v>540722656000</v>
      </c>
      <c r="K68" s="64">
        <v>428859315000</v>
      </c>
      <c r="L68" s="64"/>
      <c r="M68" s="64"/>
      <c r="N68" s="64"/>
    </row>
    <row r="69" spans="2:14">
      <c r="B69" s="59" t="s">
        <v>386</v>
      </c>
      <c r="C69" s="66"/>
      <c r="D69" s="66"/>
      <c r="E69" s="66"/>
      <c r="F69" s="66"/>
      <c r="G69" s="66"/>
      <c r="H69" s="160"/>
      <c r="I69" s="66"/>
      <c r="J69" s="66"/>
      <c r="K69" s="66"/>
      <c r="L69" s="66"/>
      <c r="M69" s="66"/>
      <c r="N69" s="66"/>
    </row>
    <row r="70" spans="2:14">
      <c r="B70" s="59" t="s">
        <v>387</v>
      </c>
      <c r="C70" s="66"/>
      <c r="D70" s="66"/>
      <c r="E70" s="66"/>
      <c r="F70" s="66"/>
      <c r="G70" s="66"/>
      <c r="H70" s="160"/>
      <c r="I70" s="66"/>
      <c r="J70" s="66"/>
      <c r="K70" s="66"/>
      <c r="L70" s="66"/>
      <c r="M70" s="66"/>
      <c r="N70" s="66"/>
    </row>
    <row r="71" spans="2:14">
      <c r="B71" s="59" t="s">
        <v>388</v>
      </c>
      <c r="C71" s="66"/>
      <c r="D71" s="66"/>
      <c r="E71" s="66"/>
      <c r="F71" s="66"/>
      <c r="G71" s="66"/>
      <c r="H71" s="160"/>
      <c r="I71" s="66"/>
      <c r="J71" s="66"/>
      <c r="K71" s="66"/>
      <c r="L71" s="66"/>
      <c r="M71" s="66"/>
      <c r="N71" s="66"/>
    </row>
    <row r="72" spans="2:14">
      <c r="B72" s="59" t="s">
        <v>389</v>
      </c>
      <c r="C72" s="66">
        <v>47072802000</v>
      </c>
      <c r="D72" s="66">
        <v>57597056000</v>
      </c>
      <c r="E72" s="66">
        <v>91813009000</v>
      </c>
      <c r="F72" s="66">
        <v>91520384000</v>
      </c>
      <c r="G72" s="66">
        <v>93719439000</v>
      </c>
      <c r="H72" s="160">
        <v>81633411000</v>
      </c>
      <c r="I72" s="66">
        <v>141894404000</v>
      </c>
      <c r="J72" s="66">
        <v>96566203000</v>
      </c>
      <c r="K72" s="66">
        <v>82288249000</v>
      </c>
      <c r="L72" s="66"/>
      <c r="M72" s="66"/>
      <c r="N72" s="66"/>
    </row>
    <row r="73" spans="2:14">
      <c r="B73" s="59" t="s">
        <v>390</v>
      </c>
      <c r="C73" s="66"/>
      <c r="D73" s="66"/>
      <c r="E73" s="66"/>
      <c r="F73" s="66"/>
      <c r="G73" s="66"/>
      <c r="H73" s="160"/>
      <c r="I73" s="66"/>
      <c r="J73" s="66"/>
      <c r="K73" s="66"/>
      <c r="L73" s="66"/>
      <c r="M73" s="66"/>
      <c r="N73" s="66"/>
    </row>
    <row r="74" spans="2:14">
      <c r="B74" s="59" t="s">
        <v>391</v>
      </c>
      <c r="C74" s="161">
        <v>194156534000</v>
      </c>
      <c r="D74" s="66">
        <v>194938323000</v>
      </c>
      <c r="E74" s="66">
        <v>195744022000</v>
      </c>
      <c r="F74" s="66">
        <v>188729604000</v>
      </c>
      <c r="G74" s="66">
        <v>231873795000</v>
      </c>
      <c r="H74" s="160">
        <v>245353255000</v>
      </c>
      <c r="I74" s="66">
        <v>218438262000</v>
      </c>
      <c r="J74" s="66">
        <v>236299514000</v>
      </c>
      <c r="K74" s="66">
        <v>224747456000</v>
      </c>
      <c r="L74" s="66"/>
      <c r="M74" s="66"/>
      <c r="N74" s="66"/>
    </row>
    <row r="75" spans="2:14">
      <c r="B75" s="59" t="s">
        <v>392</v>
      </c>
      <c r="C75" s="66"/>
      <c r="D75" s="66"/>
      <c r="E75" s="66"/>
      <c r="F75" s="66"/>
      <c r="G75" s="66"/>
      <c r="H75" s="160"/>
      <c r="I75" s="66"/>
      <c r="J75" s="66"/>
      <c r="L75" s="66"/>
      <c r="M75" s="66"/>
      <c r="N75" s="66"/>
    </row>
    <row r="76" spans="2:14">
      <c r="B76" s="59" t="s">
        <v>318</v>
      </c>
      <c r="C76" s="66">
        <f t="shared" ref="C76:I76" si="71">+C68-C69-C74-C75-C73-C72-C71-C70</f>
        <v>254192115000</v>
      </c>
      <c r="D76" s="66">
        <f t="shared" si="71"/>
        <v>119705126000</v>
      </c>
      <c r="E76" s="66">
        <f t="shared" si="71"/>
        <v>74574838000</v>
      </c>
      <c r="F76" s="66">
        <f t="shared" si="71"/>
        <v>229242894000</v>
      </c>
      <c r="G76" s="66">
        <f t="shared" si="71"/>
        <v>202665389000</v>
      </c>
      <c r="H76" s="66">
        <f t="shared" si="71"/>
        <v>170247951000</v>
      </c>
      <c r="I76" s="66">
        <f t="shared" si="71"/>
        <v>140780967000</v>
      </c>
      <c r="J76" s="66">
        <v>207856939000</v>
      </c>
      <c r="K76" s="66">
        <v>121823610000</v>
      </c>
      <c r="L76" s="66"/>
      <c r="M76" s="66"/>
      <c r="N76" s="66"/>
    </row>
    <row r="77" spans="2:14">
      <c r="B77" s="58" t="s">
        <v>319</v>
      </c>
      <c r="C77" s="64">
        <v>1406173449000</v>
      </c>
      <c r="D77" s="64">
        <v>1440158117000</v>
      </c>
      <c r="E77" s="64">
        <v>1715699802000</v>
      </c>
      <c r="F77" s="159">
        <v>1672456693000</v>
      </c>
      <c r="G77" s="64">
        <v>1692223547000</v>
      </c>
      <c r="H77" s="141">
        <v>1831402008000</v>
      </c>
      <c r="I77" s="64">
        <v>1883062262000</v>
      </c>
      <c r="J77" s="64">
        <v>1965201632000</v>
      </c>
      <c r="K77" s="64">
        <v>2091693921000</v>
      </c>
      <c r="L77" s="64"/>
      <c r="M77" s="64"/>
      <c r="N77" s="64"/>
    </row>
    <row r="78" spans="2:14">
      <c r="B78" s="59" t="s">
        <v>393</v>
      </c>
      <c r="C78" s="66"/>
      <c r="D78" s="66"/>
      <c r="E78" s="66"/>
      <c r="F78" s="66"/>
      <c r="G78" s="66"/>
      <c r="H78" s="160"/>
      <c r="I78" s="66"/>
      <c r="J78" s="66"/>
      <c r="K78" s="66"/>
      <c r="L78" s="66"/>
      <c r="M78" s="66"/>
      <c r="N78" s="66"/>
    </row>
    <row r="79" spans="2:14">
      <c r="B79" s="59" t="s">
        <v>394</v>
      </c>
      <c r="C79" s="66"/>
      <c r="D79" s="66"/>
      <c r="E79" s="66"/>
      <c r="F79" s="66"/>
      <c r="G79" s="66"/>
      <c r="H79" s="160"/>
      <c r="I79" s="66"/>
      <c r="J79" s="66"/>
      <c r="K79" s="66"/>
      <c r="L79" s="66"/>
      <c r="M79" s="66"/>
      <c r="N79" s="66"/>
    </row>
    <row r="80" spans="2:14">
      <c r="B80" s="59" t="s">
        <v>395</v>
      </c>
      <c r="C80" s="66"/>
      <c r="D80" s="66"/>
      <c r="E80" s="66"/>
      <c r="F80" s="66"/>
      <c r="G80" s="66"/>
      <c r="H80" s="160"/>
      <c r="I80" s="66"/>
      <c r="J80" s="66"/>
      <c r="K80" s="66"/>
      <c r="L80" s="66"/>
      <c r="M80" s="66"/>
      <c r="N80" s="66"/>
    </row>
    <row r="81" spans="2:14">
      <c r="B81" s="59" t="s">
        <v>396</v>
      </c>
      <c r="C81" s="66">
        <v>474253454000</v>
      </c>
      <c r="D81" s="66">
        <v>474866906000</v>
      </c>
      <c r="E81" s="66"/>
      <c r="F81" s="66"/>
      <c r="G81" s="66"/>
      <c r="H81" s="160"/>
      <c r="I81" s="66"/>
      <c r="J81" s="66"/>
      <c r="K81" s="66"/>
      <c r="L81" s="66"/>
      <c r="M81" s="66"/>
      <c r="N81" s="66"/>
    </row>
    <row r="82" spans="2:14">
      <c r="B82" s="59" t="s">
        <v>397</v>
      </c>
      <c r="C82" s="66"/>
      <c r="D82" s="66"/>
      <c r="E82" s="66"/>
      <c r="F82" s="66"/>
      <c r="G82" s="66"/>
      <c r="H82" s="160"/>
      <c r="I82" s="66"/>
      <c r="J82" s="66"/>
      <c r="K82" s="66"/>
      <c r="L82" s="66"/>
      <c r="M82" s="66"/>
      <c r="N82" s="66"/>
    </row>
    <row r="83" spans="2:14">
      <c r="B83" s="59" t="s">
        <v>398</v>
      </c>
      <c r="C83" s="66">
        <v>409971302000</v>
      </c>
      <c r="D83" s="66">
        <v>439408717000</v>
      </c>
      <c r="E83" s="66">
        <v>723285880000</v>
      </c>
      <c r="F83" s="66">
        <v>693189777000</v>
      </c>
      <c r="G83" s="66">
        <v>713964975000</v>
      </c>
      <c r="H83" s="160">
        <v>762789713000</v>
      </c>
      <c r="I83" s="66">
        <v>867477999000</v>
      </c>
      <c r="J83" s="66">
        <v>931196026000</v>
      </c>
      <c r="K83" s="66">
        <v>1050161555000</v>
      </c>
      <c r="L83" s="66"/>
      <c r="M83" s="66"/>
      <c r="N83" s="66"/>
    </row>
    <row r="84" spans="2:14">
      <c r="B84" s="59" t="s">
        <v>399</v>
      </c>
      <c r="C84" s="66"/>
      <c r="D84" s="66"/>
      <c r="E84" s="66"/>
      <c r="F84" s="66"/>
      <c r="G84" s="66"/>
      <c r="H84" s="160"/>
      <c r="I84" s="66"/>
      <c r="J84" s="66"/>
      <c r="K84" s="66"/>
      <c r="L84" s="66"/>
      <c r="M84" s="66"/>
      <c r="N84" s="66"/>
    </row>
    <row r="85" spans="2:14">
      <c r="B85" s="59" t="s">
        <v>400</v>
      </c>
      <c r="C85" s="66"/>
      <c r="D85" s="66"/>
      <c r="E85" s="66"/>
      <c r="F85" s="161"/>
      <c r="G85" s="66"/>
      <c r="H85" s="160"/>
      <c r="I85" s="66"/>
      <c r="J85" s="66"/>
      <c r="K85" s="66"/>
      <c r="L85" s="66"/>
      <c r="M85" s="66"/>
      <c r="N85" s="66"/>
    </row>
    <row r="86" spans="2:14">
      <c r="B86" s="59" t="s">
        <v>401</v>
      </c>
      <c r="C86" s="66">
        <v>413330095000</v>
      </c>
      <c r="D86" s="66">
        <v>429105580000</v>
      </c>
      <c r="E86" s="66"/>
      <c r="F86" s="66"/>
      <c r="G86" s="66"/>
      <c r="H86" s="160"/>
      <c r="I86" s="66"/>
      <c r="J86" s="66"/>
      <c r="K86" s="66"/>
      <c r="L86" s="66"/>
      <c r="M86" s="66"/>
      <c r="N86" s="66"/>
    </row>
    <row r="87" spans="2:14">
      <c r="B87" s="59" t="s">
        <v>328</v>
      </c>
      <c r="C87" s="66">
        <f t="shared" ref="C87:I87" si="72">+C77-C84-C85-C83-C78-C86-C82-C81-C80-C79</f>
        <v>108618598000</v>
      </c>
      <c r="D87" s="66">
        <f t="shared" si="72"/>
        <v>96776914000</v>
      </c>
      <c r="E87" s="66">
        <f t="shared" si="72"/>
        <v>992413922000</v>
      </c>
      <c r="F87" s="66">
        <f t="shared" si="72"/>
        <v>979266916000</v>
      </c>
      <c r="G87" s="66">
        <f t="shared" si="72"/>
        <v>978258572000</v>
      </c>
      <c r="H87" s="66">
        <f t="shared" si="72"/>
        <v>1068612295000</v>
      </c>
      <c r="I87" s="66">
        <f t="shared" si="72"/>
        <v>1015584263000</v>
      </c>
      <c r="J87" s="66">
        <v>1034005606000</v>
      </c>
      <c r="K87" s="66">
        <v>1041532366000</v>
      </c>
      <c r="L87" s="66"/>
      <c r="M87" s="66"/>
      <c r="N87" s="66"/>
    </row>
    <row r="88" spans="2:14" ht="14.65" thickBot="1">
      <c r="B88" s="60" t="s">
        <v>329</v>
      </c>
      <c r="C88" s="70">
        <f t="shared" ref="C88:H88" si="73">+C77+C68</f>
        <v>1901594900000</v>
      </c>
      <c r="D88" s="70">
        <f t="shared" si="73"/>
        <v>1812398622000</v>
      </c>
      <c r="E88" s="70">
        <f t="shared" si="73"/>
        <v>2077831671000</v>
      </c>
      <c r="F88" s="70">
        <f t="shared" si="73"/>
        <v>2181949575000</v>
      </c>
      <c r="G88" s="70">
        <f t="shared" si="73"/>
        <v>2220482170000</v>
      </c>
      <c r="H88" s="162">
        <f t="shared" si="73"/>
        <v>2328636625000</v>
      </c>
      <c r="I88" s="70">
        <v>2384172895000</v>
      </c>
      <c r="J88" s="70">
        <v>2505924288000</v>
      </c>
      <c r="K88" s="70">
        <v>2520553236000</v>
      </c>
      <c r="L88" s="70"/>
      <c r="M88" s="70"/>
      <c r="N88" s="70"/>
    </row>
    <row r="89" spans="2:14" ht="14.65" thickBot="1">
      <c r="B89" s="61"/>
      <c r="C89" s="72"/>
      <c r="D89" s="72"/>
      <c r="E89" s="72"/>
      <c r="F89" s="72"/>
      <c r="G89" s="72"/>
      <c r="H89" s="163"/>
      <c r="I89" s="72"/>
      <c r="J89" s="72"/>
      <c r="K89" s="72"/>
      <c r="L89" s="72"/>
      <c r="M89" s="72"/>
      <c r="N89" s="72"/>
    </row>
    <row r="90" spans="2:14">
      <c r="B90" s="57" t="s">
        <v>330</v>
      </c>
      <c r="C90" s="62"/>
      <c r="D90" s="62"/>
      <c r="E90" s="62"/>
      <c r="F90" s="62"/>
      <c r="G90" s="62"/>
      <c r="H90" s="164"/>
      <c r="I90" s="62"/>
      <c r="J90" s="62"/>
      <c r="K90" s="62"/>
      <c r="L90" s="62"/>
      <c r="M90" s="62"/>
      <c r="N90" s="62"/>
    </row>
    <row r="91" spans="2:14">
      <c r="B91" s="58" t="s">
        <v>310</v>
      </c>
      <c r="C91" s="64">
        <v>570710880000</v>
      </c>
      <c r="D91" s="64">
        <v>541987012000</v>
      </c>
      <c r="E91" s="64">
        <v>560807937000</v>
      </c>
      <c r="F91" s="64">
        <v>604195479000</v>
      </c>
      <c r="G91" s="64">
        <v>626612174000</v>
      </c>
      <c r="H91" s="141">
        <v>652437841000</v>
      </c>
      <c r="I91" s="64">
        <v>650842072000</v>
      </c>
      <c r="J91" s="64">
        <v>683458500000</v>
      </c>
      <c r="K91" s="64">
        <v>590177356000</v>
      </c>
      <c r="L91" s="64"/>
      <c r="M91" s="64"/>
      <c r="N91" s="64"/>
    </row>
    <row r="92" spans="2:14">
      <c r="B92" s="59" t="s">
        <v>402</v>
      </c>
      <c r="C92" s="66"/>
      <c r="D92" s="66"/>
      <c r="E92" s="66">
        <v>139326993000</v>
      </c>
      <c r="F92" s="66">
        <v>206317781000</v>
      </c>
      <c r="G92" s="66"/>
      <c r="H92" s="160"/>
      <c r="I92" s="66"/>
      <c r="J92" s="66"/>
      <c r="K92" s="66"/>
      <c r="L92" s="66"/>
      <c r="M92" s="66"/>
      <c r="N92" s="66"/>
    </row>
    <row r="93" spans="2:14">
      <c r="B93" s="59" t="s">
        <v>403</v>
      </c>
      <c r="C93" s="66"/>
      <c r="D93" s="66"/>
      <c r="E93" s="66"/>
      <c r="F93" s="66"/>
      <c r="G93" s="66"/>
      <c r="H93" s="160"/>
      <c r="I93" s="66"/>
      <c r="J93" s="66"/>
      <c r="K93" s="66"/>
      <c r="L93" s="66"/>
      <c r="M93" s="66"/>
      <c r="N93" s="66"/>
    </row>
    <row r="94" spans="2:14">
      <c r="B94" s="59" t="s">
        <v>404</v>
      </c>
      <c r="C94" s="66"/>
      <c r="D94" s="66"/>
      <c r="E94" s="66"/>
      <c r="F94" s="66"/>
      <c r="G94" s="66"/>
      <c r="H94" s="160"/>
      <c r="I94" s="66"/>
      <c r="J94" s="66"/>
      <c r="K94" s="66"/>
      <c r="L94" s="66"/>
      <c r="M94" s="66"/>
      <c r="N94" s="66"/>
    </row>
    <row r="95" spans="2:14">
      <c r="B95" s="59" t="s">
        <v>405</v>
      </c>
      <c r="C95" s="66">
        <v>414359808000</v>
      </c>
      <c r="D95" s="66">
        <v>419290522000</v>
      </c>
      <c r="E95" s="66">
        <v>382858400000</v>
      </c>
      <c r="F95" s="66">
        <v>362548985000</v>
      </c>
      <c r="G95" s="66">
        <v>423761616000</v>
      </c>
      <c r="H95" s="160">
        <v>446797555000</v>
      </c>
      <c r="I95" s="66">
        <v>428081895000</v>
      </c>
      <c r="J95" s="66">
        <v>405665774000</v>
      </c>
      <c r="K95" s="66">
        <v>422434616000</v>
      </c>
      <c r="L95" s="66"/>
      <c r="M95" s="66"/>
      <c r="N95" s="66"/>
    </row>
    <row r="96" spans="2:14">
      <c r="B96" s="59" t="s">
        <v>406</v>
      </c>
      <c r="C96" s="66"/>
      <c r="D96" s="66"/>
      <c r="E96" s="66"/>
      <c r="F96" s="66"/>
      <c r="G96" s="66"/>
      <c r="H96" s="160"/>
      <c r="I96" s="66"/>
      <c r="J96" s="66"/>
      <c r="K96" s="66"/>
      <c r="L96" s="66"/>
      <c r="M96" s="66"/>
      <c r="N96" s="66"/>
    </row>
    <row r="97" spans="2:14">
      <c r="B97" s="59" t="s">
        <v>407</v>
      </c>
      <c r="C97" s="66"/>
      <c r="D97" s="66"/>
      <c r="E97" s="66"/>
      <c r="F97" s="66"/>
      <c r="G97" s="66"/>
      <c r="H97" s="160"/>
      <c r="I97" s="66"/>
      <c r="J97" s="66"/>
      <c r="K97" s="66"/>
      <c r="L97" s="66"/>
      <c r="M97" s="66"/>
      <c r="N97" s="66"/>
    </row>
    <row r="98" spans="2:14">
      <c r="B98" s="59" t="s">
        <v>408</v>
      </c>
      <c r="C98" s="66"/>
      <c r="D98" s="66"/>
      <c r="E98" s="66"/>
      <c r="F98" s="66"/>
      <c r="G98" s="66"/>
      <c r="H98" s="160"/>
      <c r="I98" s="66"/>
      <c r="J98" s="66"/>
      <c r="K98" s="66"/>
      <c r="L98" s="66"/>
      <c r="M98" s="66"/>
      <c r="N98" s="66"/>
    </row>
    <row r="99" spans="2:14">
      <c r="B99" s="59" t="s">
        <v>409</v>
      </c>
      <c r="C99" s="66"/>
      <c r="D99" s="66"/>
      <c r="E99" s="66"/>
      <c r="F99" s="66"/>
      <c r="G99" s="66"/>
      <c r="H99" s="160"/>
      <c r="I99" s="66"/>
      <c r="J99" s="66"/>
      <c r="K99" s="66"/>
      <c r="L99" s="66"/>
      <c r="M99" s="66"/>
      <c r="N99" s="66"/>
    </row>
    <row r="100" spans="2:14">
      <c r="B100" s="59" t="s">
        <v>410</v>
      </c>
      <c r="C100" s="66">
        <f t="shared" ref="C100:I100" si="74">+C91-C92-C98-C99-C97-C96-C95-C94-C93</f>
        <v>156351072000</v>
      </c>
      <c r="D100" s="66">
        <f t="shared" si="74"/>
        <v>122696490000</v>
      </c>
      <c r="E100" s="66">
        <f t="shared" si="74"/>
        <v>38622544000</v>
      </c>
      <c r="F100" s="66">
        <f t="shared" si="74"/>
        <v>35328713000</v>
      </c>
      <c r="G100" s="66">
        <f t="shared" si="74"/>
        <v>202850558000</v>
      </c>
      <c r="H100" s="66">
        <f t="shared" si="74"/>
        <v>205640286000</v>
      </c>
      <c r="I100" s="66">
        <f t="shared" si="74"/>
        <v>222760177000</v>
      </c>
      <c r="J100" s="66">
        <v>277792726000</v>
      </c>
      <c r="K100" s="66">
        <v>167742740000</v>
      </c>
      <c r="L100" s="66"/>
      <c r="M100" s="66"/>
      <c r="N100" s="66"/>
    </row>
    <row r="101" spans="2:14">
      <c r="B101" s="58" t="s">
        <v>319</v>
      </c>
      <c r="C101" s="64">
        <v>738109246000</v>
      </c>
      <c r="D101" s="64">
        <v>575132317000</v>
      </c>
      <c r="E101" s="64">
        <v>795608153000</v>
      </c>
      <c r="F101" s="64">
        <v>853232734000</v>
      </c>
      <c r="G101" s="64">
        <v>841108222000</v>
      </c>
      <c r="H101" s="141">
        <v>888867557000</v>
      </c>
      <c r="I101" s="64">
        <v>920282451000</v>
      </c>
      <c r="J101" s="64">
        <v>1010288846000</v>
      </c>
      <c r="K101" s="64">
        <v>1105014350000</v>
      </c>
      <c r="L101" s="64"/>
      <c r="M101" s="64"/>
      <c r="N101" s="64"/>
    </row>
    <row r="102" spans="2:14">
      <c r="B102" s="59" t="s">
        <v>411</v>
      </c>
      <c r="C102" s="66">
        <v>727070816000</v>
      </c>
      <c r="D102" s="66">
        <v>567503809000</v>
      </c>
      <c r="E102" s="66">
        <v>790225109000</v>
      </c>
      <c r="F102" s="66">
        <v>848123094000</v>
      </c>
      <c r="G102" s="66">
        <v>838520375000</v>
      </c>
      <c r="H102" s="160">
        <v>876600247000</v>
      </c>
      <c r="I102" s="66">
        <v>909666309000</v>
      </c>
      <c r="J102" s="66">
        <v>996225701000</v>
      </c>
      <c r="K102" s="66">
        <v>1094064241000</v>
      </c>
      <c r="L102" s="66"/>
      <c r="M102" s="66"/>
      <c r="N102" s="66"/>
    </row>
    <row r="103" spans="2:14">
      <c r="B103" s="59" t="s">
        <v>412</v>
      </c>
      <c r="C103" s="66"/>
      <c r="D103" s="66"/>
      <c r="E103" s="66"/>
      <c r="F103" s="66"/>
      <c r="G103" s="66"/>
      <c r="H103" s="160"/>
      <c r="I103" s="66"/>
      <c r="J103" s="66"/>
      <c r="K103" s="66"/>
      <c r="L103" s="66"/>
      <c r="M103" s="66"/>
      <c r="N103" s="66"/>
    </row>
    <row r="104" spans="2:14">
      <c r="B104" s="59" t="s">
        <v>413</v>
      </c>
      <c r="C104" s="66"/>
      <c r="D104" s="66"/>
      <c r="E104" s="66"/>
      <c r="F104" s="66"/>
      <c r="G104" s="66"/>
      <c r="H104" s="160"/>
      <c r="I104" s="66"/>
      <c r="J104" s="66"/>
      <c r="K104" s="66"/>
      <c r="L104" s="66"/>
      <c r="M104" s="66"/>
      <c r="N104" s="66"/>
    </row>
    <row r="105" spans="2:14">
      <c r="B105" s="59" t="s">
        <v>414</v>
      </c>
      <c r="C105" s="66"/>
      <c r="D105" s="66"/>
      <c r="E105" s="66"/>
      <c r="F105" s="66"/>
      <c r="G105" s="66"/>
      <c r="H105" s="160"/>
      <c r="I105" s="66"/>
      <c r="J105" s="66"/>
      <c r="K105" s="66"/>
      <c r="L105" s="66"/>
      <c r="M105" s="66"/>
      <c r="N105" s="66"/>
    </row>
    <row r="106" spans="2:14">
      <c r="B106" s="59" t="s">
        <v>341</v>
      </c>
      <c r="C106" s="66">
        <f t="shared" ref="C106:I106" si="75">+C101-C102-C104-C105-C103</f>
        <v>11038430000</v>
      </c>
      <c r="D106" s="66">
        <f t="shared" si="75"/>
        <v>7628508000</v>
      </c>
      <c r="E106" s="66">
        <f t="shared" si="75"/>
        <v>5383044000</v>
      </c>
      <c r="F106" s="66">
        <f t="shared" si="75"/>
        <v>5109640000</v>
      </c>
      <c r="G106" s="66">
        <f t="shared" si="75"/>
        <v>2587847000</v>
      </c>
      <c r="H106" s="66">
        <f t="shared" si="75"/>
        <v>12267310000</v>
      </c>
      <c r="I106" s="66">
        <f t="shared" si="75"/>
        <v>10616142000</v>
      </c>
      <c r="J106" s="66">
        <v>14063145000</v>
      </c>
      <c r="K106" s="66">
        <v>10950109000</v>
      </c>
      <c r="L106" s="66"/>
      <c r="M106" s="66"/>
      <c r="N106" s="66"/>
    </row>
    <row r="107" spans="2:14" ht="14.65" thickBot="1">
      <c r="B107" s="60" t="s">
        <v>342</v>
      </c>
      <c r="C107" s="70">
        <f t="shared" ref="C107:I107" si="76">+C101+C91</f>
        <v>1308820126000</v>
      </c>
      <c r="D107" s="70">
        <f t="shared" si="76"/>
        <v>1117119329000</v>
      </c>
      <c r="E107" s="70">
        <f t="shared" si="76"/>
        <v>1356416090000</v>
      </c>
      <c r="F107" s="70">
        <f t="shared" si="76"/>
        <v>1457428213000</v>
      </c>
      <c r="G107" s="70">
        <f t="shared" si="76"/>
        <v>1467720396000</v>
      </c>
      <c r="H107" s="162">
        <f t="shared" si="76"/>
        <v>1541305398000</v>
      </c>
      <c r="I107" s="162">
        <f t="shared" si="76"/>
        <v>1571124523000</v>
      </c>
      <c r="J107" s="70">
        <v>1693747346000</v>
      </c>
      <c r="K107" s="70">
        <v>1695191706000</v>
      </c>
      <c r="L107" s="70"/>
      <c r="M107" s="70"/>
      <c r="N107" s="70"/>
    </row>
    <row r="108" spans="2:14" ht="14.65" thickBot="1">
      <c r="B108" s="61"/>
      <c r="C108" s="61"/>
      <c r="D108" s="61"/>
      <c r="E108" s="61"/>
      <c r="F108" s="61"/>
      <c r="G108" s="61"/>
      <c r="H108" s="61"/>
      <c r="I108" s="61"/>
      <c r="J108" s="61"/>
      <c r="K108" s="61"/>
      <c r="L108" s="61"/>
      <c r="M108" s="61"/>
      <c r="N108" s="61"/>
    </row>
    <row r="109" spans="2:14">
      <c r="B109" s="57" t="s">
        <v>343</v>
      </c>
      <c r="C109" s="62"/>
      <c r="D109" s="62"/>
      <c r="E109" s="62"/>
      <c r="F109" s="62"/>
      <c r="G109" s="62"/>
      <c r="H109" s="164"/>
      <c r="I109" s="62"/>
      <c r="J109" s="62"/>
      <c r="K109" s="62"/>
      <c r="L109" s="62"/>
      <c r="M109" s="62"/>
      <c r="N109" s="62"/>
    </row>
    <row r="110" spans="2:14">
      <c r="B110" s="59" t="s">
        <v>415</v>
      </c>
      <c r="C110" s="160">
        <v>1195165045000</v>
      </c>
      <c r="D110" s="160">
        <v>523741973000</v>
      </c>
      <c r="E110" s="160">
        <v>523741973000</v>
      </c>
      <c r="F110" s="160">
        <v>523741973000</v>
      </c>
      <c r="G110" s="160">
        <v>523741973000</v>
      </c>
      <c r="H110" s="160">
        <v>523741973000</v>
      </c>
      <c r="I110" s="160">
        <v>523741973000</v>
      </c>
      <c r="J110" s="160">
        <v>522908615000</v>
      </c>
      <c r="K110" s="160">
        <v>522908615000</v>
      </c>
      <c r="L110" s="160"/>
      <c r="M110" s="160"/>
      <c r="N110" s="160"/>
    </row>
    <row r="111" spans="2:14">
      <c r="B111" s="59" t="s">
        <v>680</v>
      </c>
      <c r="C111" s="160"/>
      <c r="D111" s="160"/>
      <c r="E111" s="160"/>
      <c r="F111" s="160"/>
      <c r="G111" s="160"/>
      <c r="H111" s="160">
        <v>-833358000</v>
      </c>
      <c r="I111" s="160">
        <v>-833358000</v>
      </c>
      <c r="J111" s="160"/>
      <c r="K111" s="160"/>
      <c r="L111" s="160"/>
      <c r="M111" s="160"/>
      <c r="N111" s="160"/>
    </row>
    <row r="112" spans="2:14">
      <c r="B112" s="59" t="s">
        <v>416</v>
      </c>
      <c r="C112" s="66">
        <v>-740067795000</v>
      </c>
      <c r="D112" s="66">
        <v>23091667000</v>
      </c>
      <c r="E112" s="66">
        <v>47300249000</v>
      </c>
      <c r="F112" s="66">
        <v>52616978000</v>
      </c>
      <c r="G112" s="66">
        <v>79857936000</v>
      </c>
      <c r="H112" s="160">
        <v>114581948000</v>
      </c>
      <c r="I112" s="66">
        <v>140754103000</v>
      </c>
      <c r="J112" s="66">
        <v>137196521000</v>
      </c>
      <c r="K112" s="66">
        <v>149818052000</v>
      </c>
      <c r="L112" s="66"/>
      <c r="M112" s="66"/>
      <c r="N112" s="66"/>
    </row>
    <row r="113" spans="2:14">
      <c r="B113" s="59" t="s">
        <v>345</v>
      </c>
      <c r="C113" s="66">
        <v>137677533000</v>
      </c>
      <c r="D113" s="66">
        <v>148445653000</v>
      </c>
      <c r="E113" s="66">
        <v>15033359000</v>
      </c>
      <c r="F113" s="66">
        <v>148162411000</v>
      </c>
      <c r="G113" s="66">
        <v>149160865000</v>
      </c>
      <c r="H113" s="160">
        <v>145428266000</v>
      </c>
      <c r="I113" s="66">
        <v>149385654000</v>
      </c>
      <c r="J113" s="66">
        <v>152071806000</v>
      </c>
      <c r="K113" s="66">
        <v>152634863000</v>
      </c>
      <c r="L113" s="66"/>
      <c r="M113" s="66"/>
      <c r="N113" s="66"/>
    </row>
    <row r="114" spans="2:14">
      <c r="B114" s="59" t="s">
        <v>419</v>
      </c>
      <c r="C114" s="66">
        <v>-9000</v>
      </c>
      <c r="D114" s="66">
        <v>0</v>
      </c>
      <c r="E114" s="66">
        <v>0</v>
      </c>
      <c r="F114" s="66">
        <v>0</v>
      </c>
      <c r="G114" s="66">
        <v>0</v>
      </c>
      <c r="H114" s="160">
        <v>4412398000</v>
      </c>
      <c r="I114" s="66">
        <v>0</v>
      </c>
      <c r="J114" s="66"/>
      <c r="K114" s="66"/>
      <c r="L114" s="66"/>
      <c r="M114" s="66"/>
      <c r="N114" s="66"/>
    </row>
    <row r="115" spans="2:14" ht="14.65" thickBot="1">
      <c r="B115" s="60" t="s">
        <v>420</v>
      </c>
      <c r="C115" s="70">
        <f t="shared" ref="C115:G115" si="77">+C110+C113+C112+C111</f>
        <v>592774783000</v>
      </c>
      <c r="D115" s="70">
        <f t="shared" si="77"/>
        <v>695279293000</v>
      </c>
      <c r="E115" s="70">
        <f t="shared" si="77"/>
        <v>586075581000</v>
      </c>
      <c r="F115" s="70">
        <f t="shared" si="77"/>
        <v>724521362000</v>
      </c>
      <c r="G115" s="70">
        <f t="shared" si="77"/>
        <v>752760774000</v>
      </c>
      <c r="H115" s="70">
        <f t="shared" ref="H115:N115" si="78">+H110+H113+H112+H111</f>
        <v>782918829000</v>
      </c>
      <c r="I115" s="70">
        <f t="shared" si="78"/>
        <v>813048372000</v>
      </c>
      <c r="J115" s="70">
        <f t="shared" si="78"/>
        <v>812176942000</v>
      </c>
      <c r="K115" s="70">
        <f t="shared" si="78"/>
        <v>825361530000</v>
      </c>
      <c r="L115" s="70">
        <f t="shared" si="78"/>
        <v>0</v>
      </c>
      <c r="M115" s="70">
        <f t="shared" si="78"/>
        <v>0</v>
      </c>
      <c r="N115" s="70">
        <f t="shared" si="78"/>
        <v>0</v>
      </c>
    </row>
    <row r="116" spans="2:14" ht="14.65" thickBot="1">
      <c r="B116" s="60" t="s">
        <v>347</v>
      </c>
      <c r="C116" s="70">
        <f>+C115+C114</f>
        <v>592774774000</v>
      </c>
      <c r="D116" s="70">
        <f t="shared" ref="D116:I116" si="79">+D115+D114</f>
        <v>695279293000</v>
      </c>
      <c r="E116" s="70">
        <f t="shared" si="79"/>
        <v>586075581000</v>
      </c>
      <c r="F116" s="70">
        <f t="shared" si="79"/>
        <v>724521362000</v>
      </c>
      <c r="G116" s="70">
        <f t="shared" si="79"/>
        <v>752760774000</v>
      </c>
      <c r="H116" s="70">
        <f t="shared" si="79"/>
        <v>787331227000</v>
      </c>
      <c r="I116" s="70">
        <f t="shared" si="79"/>
        <v>813048372000</v>
      </c>
      <c r="J116" s="70">
        <f t="shared" ref="J116:N116" si="80">+J115+J114</f>
        <v>812176942000</v>
      </c>
      <c r="K116" s="70">
        <f t="shared" si="80"/>
        <v>825361530000</v>
      </c>
      <c r="L116" s="70">
        <f t="shared" si="80"/>
        <v>0</v>
      </c>
      <c r="M116" s="70">
        <f t="shared" si="80"/>
        <v>0</v>
      </c>
      <c r="N116" s="70">
        <f t="shared" si="80"/>
        <v>0</v>
      </c>
    </row>
    <row r="118" spans="2:14" ht="14.65" thickBot="1">
      <c r="B118" s="75" t="s">
        <v>348</v>
      </c>
    </row>
    <row r="119" spans="2:14" ht="14.65" thickBot="1">
      <c r="B119" s="82" t="s">
        <v>308</v>
      </c>
      <c r="C119" s="88">
        <v>2017</v>
      </c>
      <c r="D119" s="88">
        <v>2018</v>
      </c>
      <c r="E119" s="88">
        <v>2019</v>
      </c>
      <c r="F119" s="88">
        <v>2020</v>
      </c>
      <c r="G119" s="88">
        <v>2021</v>
      </c>
      <c r="H119" s="88">
        <v>2022</v>
      </c>
      <c r="I119" s="88">
        <v>2023</v>
      </c>
      <c r="J119" s="88">
        <v>2024</v>
      </c>
      <c r="K119" s="88">
        <v>2025</v>
      </c>
      <c r="L119" s="88">
        <v>2026</v>
      </c>
      <c r="M119" s="88">
        <v>2027</v>
      </c>
      <c r="N119" s="88">
        <v>2028</v>
      </c>
    </row>
    <row r="120" spans="2:14">
      <c r="B120" s="83" t="s">
        <v>349</v>
      </c>
      <c r="C120" s="90">
        <v>2257558436000</v>
      </c>
      <c r="D120" s="90">
        <v>2295415143000</v>
      </c>
      <c r="E120" s="90">
        <v>2297031989000</v>
      </c>
      <c r="F120" s="90">
        <v>2316346059000</v>
      </c>
      <c r="G120" s="90">
        <v>2472377853000</v>
      </c>
      <c r="H120" s="90">
        <v>2826313519000</v>
      </c>
      <c r="I120" s="90">
        <v>2862382871000</v>
      </c>
      <c r="J120" s="90">
        <v>2887165316000</v>
      </c>
      <c r="K120" s="90">
        <v>2819055320000</v>
      </c>
      <c r="L120" s="90"/>
      <c r="M120" s="90"/>
      <c r="N120" s="90"/>
    </row>
    <row r="121" spans="2:14">
      <c r="B121" s="85" t="s">
        <v>534</v>
      </c>
      <c r="C121" s="66">
        <v>-1620100232000</v>
      </c>
      <c r="D121" s="66">
        <v>-1641622644000</v>
      </c>
      <c r="E121" s="66">
        <v>-1615166287000</v>
      </c>
      <c r="F121" s="66">
        <v>-1627452989000</v>
      </c>
      <c r="G121" s="66">
        <v>-1751647287000</v>
      </c>
      <c r="H121" s="66">
        <v>-1991018811000</v>
      </c>
      <c r="I121" s="66">
        <v>-1984483020000</v>
      </c>
      <c r="J121" s="66">
        <v>-2001462623000</v>
      </c>
      <c r="K121" s="66">
        <v>-1910945777000</v>
      </c>
      <c r="L121" s="66"/>
      <c r="M121" s="66"/>
      <c r="N121" s="66"/>
    </row>
    <row r="122" spans="2:14">
      <c r="B122" s="86" t="s">
        <v>422</v>
      </c>
      <c r="C122" s="64">
        <f t="shared" ref="C122:F122" si="81">+C120+C121</f>
        <v>637458204000</v>
      </c>
      <c r="D122" s="64">
        <f>+D120+D121</f>
        <v>653792499000</v>
      </c>
      <c r="E122" s="64">
        <f t="shared" si="81"/>
        <v>681865702000</v>
      </c>
      <c r="F122" s="64">
        <f t="shared" si="81"/>
        <v>688893070000</v>
      </c>
      <c r="G122" s="64">
        <f>+G120+G121</f>
        <v>720730566000</v>
      </c>
      <c r="H122" s="64">
        <f t="shared" ref="H122:J122" si="82">+H120+H121</f>
        <v>835294708000</v>
      </c>
      <c r="I122" s="64">
        <f t="shared" si="82"/>
        <v>877899851000</v>
      </c>
      <c r="J122" s="64">
        <f t="shared" si="82"/>
        <v>885702693000</v>
      </c>
      <c r="K122" s="64">
        <f>K120+K121</f>
        <v>908109543000</v>
      </c>
      <c r="L122" s="64"/>
      <c r="M122" s="64"/>
      <c r="N122" s="64"/>
    </row>
    <row r="123" spans="2:14">
      <c r="B123" s="85" t="s">
        <v>592</v>
      </c>
      <c r="C123" s="64"/>
      <c r="D123" s="64"/>
      <c r="E123" s="64"/>
      <c r="F123" s="117"/>
      <c r="G123" s="117"/>
      <c r="H123" s="117"/>
      <c r="I123" s="117"/>
      <c r="J123" s="117"/>
      <c r="K123" s="1368"/>
      <c r="L123" s="117"/>
      <c r="M123" s="117"/>
      <c r="N123" s="117"/>
    </row>
    <row r="124" spans="2:14" ht="15">
      <c r="B124" s="85" t="s">
        <v>536</v>
      </c>
      <c r="C124" s="117">
        <v>-24678045000</v>
      </c>
      <c r="D124" s="117">
        <v>-28388220000</v>
      </c>
      <c r="E124" s="117">
        <v>-31335181000</v>
      </c>
      <c r="F124" s="117">
        <v>-31207032000</v>
      </c>
      <c r="G124" s="117">
        <v>-31430985000</v>
      </c>
      <c r="H124" s="117">
        <v>-38911652000</v>
      </c>
      <c r="I124" s="117">
        <v>-41557289000</v>
      </c>
      <c r="J124" s="117">
        <v>-45366859000</v>
      </c>
      <c r="K124" s="1369">
        <v>-47018446000</v>
      </c>
      <c r="L124" s="117"/>
      <c r="M124" s="117"/>
      <c r="N124" s="117"/>
    </row>
    <row r="125" spans="2:14" ht="15">
      <c r="B125" s="85" t="s">
        <v>537</v>
      </c>
      <c r="C125" s="117">
        <v>-518771264000</v>
      </c>
      <c r="D125" s="117">
        <v>-522850319000</v>
      </c>
      <c r="E125" s="117">
        <v>-538742881000</v>
      </c>
      <c r="F125" s="117">
        <v>-558166401000</v>
      </c>
      <c r="G125" s="117">
        <v>-543349029000</v>
      </c>
      <c r="H125" s="117">
        <v>-621618721000</v>
      </c>
      <c r="I125" s="117">
        <v>-674560064000</v>
      </c>
      <c r="J125" s="117">
        <v>-716997862000</v>
      </c>
      <c r="K125" s="1370">
        <v>-762876955000</v>
      </c>
      <c r="L125" s="117"/>
      <c r="M125" s="117"/>
      <c r="N125" s="117"/>
    </row>
    <row r="126" spans="2:14" ht="15">
      <c r="B126" s="85" t="s">
        <v>427</v>
      </c>
      <c r="C126" s="117">
        <v>3374531000</v>
      </c>
      <c r="D126" s="117">
        <v>-10652114000</v>
      </c>
      <c r="E126" s="117">
        <v>-8447331000</v>
      </c>
      <c r="F126" s="117">
        <v>-8622403000</v>
      </c>
      <c r="G126" s="117">
        <v>-14716552000</v>
      </c>
      <c r="H126" s="117">
        <v>15426443000</v>
      </c>
      <c r="I126" s="117">
        <v>5013775000</v>
      </c>
      <c r="J126" s="117">
        <v>-61488800000</v>
      </c>
      <c r="K126" s="1371">
        <v>47807441000</v>
      </c>
      <c r="L126" s="117"/>
      <c r="M126" s="117"/>
      <c r="N126" s="117"/>
    </row>
    <row r="127" spans="2:14">
      <c r="B127" s="86" t="s">
        <v>428</v>
      </c>
      <c r="C127" s="64">
        <f t="shared" ref="C127:G127" si="83">+C122+C126+C123+C124+C125</f>
        <v>97383426000</v>
      </c>
      <c r="D127" s="64">
        <f t="shared" si="83"/>
        <v>91901846000</v>
      </c>
      <c r="E127" s="64">
        <f t="shared" si="83"/>
        <v>103340309000</v>
      </c>
      <c r="F127" s="64">
        <f t="shared" si="83"/>
        <v>90897234000</v>
      </c>
      <c r="G127" s="64">
        <f t="shared" si="83"/>
        <v>131234000000</v>
      </c>
      <c r="H127" s="64">
        <f>+H122+H126+H123+H124+H125</f>
        <v>190190778000</v>
      </c>
      <c r="I127" s="64">
        <f>+I122+I126+I123+I124+I125</f>
        <v>166796273000</v>
      </c>
      <c r="J127" s="64">
        <f>+J122+J126+J123+J124+J125</f>
        <v>61849172000</v>
      </c>
      <c r="K127" s="64">
        <f>+K122+K126+K123+K124+K125</f>
        <v>146021583000</v>
      </c>
      <c r="L127" s="64"/>
      <c r="M127" s="64"/>
      <c r="N127" s="64"/>
    </row>
    <row r="128" spans="2:14">
      <c r="B128" s="85" t="s">
        <v>429</v>
      </c>
      <c r="C128" s="66">
        <v>1016085000</v>
      </c>
      <c r="D128" s="66">
        <v>1267759000</v>
      </c>
      <c r="E128" s="66">
        <v>771274000</v>
      </c>
      <c r="F128" s="66">
        <v>955808000</v>
      </c>
      <c r="G128" s="131">
        <v>1641716000</v>
      </c>
      <c r="H128" s="131">
        <v>11600146000</v>
      </c>
      <c r="I128" s="131">
        <v>8824640000</v>
      </c>
      <c r="J128" s="131"/>
      <c r="K128" s="131">
        <v>3989272000</v>
      </c>
      <c r="L128" s="131"/>
      <c r="M128" s="131"/>
      <c r="N128" s="131"/>
    </row>
    <row r="129" spans="2:14">
      <c r="B129" s="85" t="s">
        <v>430</v>
      </c>
      <c r="C129" s="66">
        <v>-66148972000</v>
      </c>
      <c r="D129" s="66">
        <v>-56051057000</v>
      </c>
      <c r="E129" s="66">
        <v>-50056832000</v>
      </c>
      <c r="F129" s="66">
        <v>-49478352000</v>
      </c>
      <c r="G129" s="131">
        <v>-47889429000</v>
      </c>
      <c r="H129" s="131">
        <v>-53084198000</v>
      </c>
      <c r="I129" s="131">
        <v>-53331233000</v>
      </c>
      <c r="J129" s="131"/>
      <c r="K129" s="131">
        <v>-61438471000</v>
      </c>
      <c r="L129" s="131"/>
      <c r="M129" s="131"/>
      <c r="N129" s="131"/>
    </row>
    <row r="130" spans="2:14">
      <c r="B130" s="85" t="s">
        <v>431</v>
      </c>
      <c r="C130" s="66">
        <v>-1964428000</v>
      </c>
      <c r="D130" s="66">
        <v>-2980776000</v>
      </c>
      <c r="E130" s="66">
        <v>-3331565000</v>
      </c>
      <c r="F130" s="66">
        <v>-955008000</v>
      </c>
      <c r="G130" s="131">
        <v>75388000</v>
      </c>
      <c r="H130" s="131">
        <v>-554302000</v>
      </c>
      <c r="I130" s="131">
        <v>-73118000</v>
      </c>
      <c r="J130" s="131"/>
      <c r="K130" s="131">
        <v>844504000</v>
      </c>
      <c r="L130" s="131"/>
      <c r="M130" s="131"/>
      <c r="N130" s="131"/>
    </row>
    <row r="131" spans="2:14">
      <c r="B131" s="85" t="s">
        <v>432</v>
      </c>
      <c r="C131" s="66">
        <v>8099289000</v>
      </c>
      <c r="D131" s="66">
        <v>659581000</v>
      </c>
      <c r="E131" s="66">
        <v>482564000</v>
      </c>
      <c r="F131" s="66">
        <v>-607732000</v>
      </c>
      <c r="G131" s="131">
        <v>142626000</v>
      </c>
      <c r="H131" s="131">
        <v>-185025000</v>
      </c>
      <c r="I131" s="131">
        <v>-516052000</v>
      </c>
      <c r="J131" s="131"/>
      <c r="K131" s="131">
        <v>-18411052000</v>
      </c>
      <c r="L131" s="131"/>
      <c r="M131" s="131"/>
      <c r="N131" s="131"/>
    </row>
    <row r="132" spans="2:14">
      <c r="B132" s="85" t="s">
        <v>433</v>
      </c>
      <c r="C132" s="66">
        <v>-10002815000</v>
      </c>
      <c r="D132" s="66">
        <v>-17921127000</v>
      </c>
      <c r="E132" s="66">
        <v>-11406483000</v>
      </c>
      <c r="F132" s="66">
        <v>-11322714000</v>
      </c>
      <c r="G132" s="131">
        <v>-28737823000</v>
      </c>
      <c r="H132" s="131">
        <v>-59415732000</v>
      </c>
      <c r="I132" s="131">
        <v>-21494771000</v>
      </c>
      <c r="J132" s="131"/>
      <c r="K132" s="131">
        <v>-186340000</v>
      </c>
      <c r="L132" s="131"/>
      <c r="M132" s="131"/>
      <c r="N132" s="131"/>
    </row>
    <row r="133" spans="2:14">
      <c r="B133" s="86" t="s">
        <v>362</v>
      </c>
      <c r="C133" s="64">
        <f t="shared" ref="C133:E133" si="84">+C127+C128+C129+C130+C131+C132</f>
        <v>28382585000</v>
      </c>
      <c r="D133" s="64">
        <f t="shared" si="84"/>
        <v>16876226000</v>
      </c>
      <c r="E133" s="64">
        <f t="shared" si="84"/>
        <v>39799267000</v>
      </c>
      <c r="F133" s="64">
        <f>+F127+F128+F129+F130+F131+F132</f>
        <v>29489236000</v>
      </c>
      <c r="G133" s="64">
        <f t="shared" ref="G133:I133" si="85">+G127+G128+G129+G130+G131+G132</f>
        <v>56466478000</v>
      </c>
      <c r="H133" s="64">
        <f t="shared" si="85"/>
        <v>88551667000</v>
      </c>
      <c r="I133" s="64">
        <f t="shared" si="85"/>
        <v>100205739000</v>
      </c>
      <c r="J133" s="64">
        <v>47026990000</v>
      </c>
      <c r="K133" s="64">
        <f>SUM(K127:K132)</f>
        <v>70819496000</v>
      </c>
      <c r="L133" s="64"/>
      <c r="M133" s="64"/>
      <c r="N133" s="64"/>
    </row>
    <row r="134" spans="2:14">
      <c r="B134" s="85" t="s">
        <v>363</v>
      </c>
      <c r="C134" s="66">
        <v>-2083843000</v>
      </c>
      <c r="D134" s="66">
        <v>16336424000</v>
      </c>
      <c r="E134" s="66">
        <v>-5215578000</v>
      </c>
      <c r="F134" s="66">
        <v>338430000</v>
      </c>
      <c r="G134" s="91">
        <v>13398790000</v>
      </c>
      <c r="H134" s="91">
        <v>42972723000</v>
      </c>
      <c r="I134" s="91">
        <v>-12931537000</v>
      </c>
      <c r="J134" s="91">
        <v>1722571000</v>
      </c>
      <c r="K134" s="91">
        <v>-7696838000</v>
      </c>
      <c r="L134" s="91"/>
      <c r="M134" s="91"/>
      <c r="N134" s="91"/>
    </row>
    <row r="135" spans="2:14">
      <c r="B135" s="85" t="s">
        <v>832</v>
      </c>
      <c r="C135" s="132">
        <v>1338374000</v>
      </c>
      <c r="D135" s="132">
        <v>-179470000</v>
      </c>
      <c r="E135" s="132">
        <v>0</v>
      </c>
      <c r="F135" s="132">
        <v>0</v>
      </c>
      <c r="G135" s="278">
        <v>5841384000</v>
      </c>
      <c r="H135" s="278">
        <v>535080000</v>
      </c>
      <c r="I135" s="278">
        <v>0</v>
      </c>
      <c r="J135" s="278"/>
      <c r="K135" s="278"/>
      <c r="L135" s="278"/>
      <c r="M135" s="278"/>
      <c r="N135" s="278"/>
    </row>
    <row r="136" spans="2:14">
      <c r="B136" s="84" t="s">
        <v>365</v>
      </c>
      <c r="C136" s="130">
        <f t="shared" ref="C136:G136" si="86">+C133+C134+C135</f>
        <v>27637116000</v>
      </c>
      <c r="D136" s="130">
        <f t="shared" si="86"/>
        <v>33033180000</v>
      </c>
      <c r="E136" s="130">
        <f t="shared" si="86"/>
        <v>34583689000</v>
      </c>
      <c r="F136" s="130">
        <f t="shared" si="86"/>
        <v>29827666000</v>
      </c>
      <c r="G136" s="130">
        <f t="shared" si="86"/>
        <v>75706652000</v>
      </c>
      <c r="H136" s="130">
        <f t="shared" ref="H136:N136" si="87">+H133+H134+H135</f>
        <v>132059470000</v>
      </c>
      <c r="I136" s="130">
        <f t="shared" si="87"/>
        <v>87274202000</v>
      </c>
      <c r="J136" s="130">
        <f t="shared" si="87"/>
        <v>48749561000</v>
      </c>
      <c r="K136" s="130">
        <f t="shared" si="87"/>
        <v>63122658000</v>
      </c>
      <c r="L136" s="130">
        <f t="shared" si="87"/>
        <v>0</v>
      </c>
      <c r="M136" s="130">
        <f t="shared" si="87"/>
        <v>0</v>
      </c>
      <c r="N136" s="130">
        <f t="shared" si="87"/>
        <v>0</v>
      </c>
    </row>
    <row r="137" spans="2:14">
      <c r="B137" s="87" t="s">
        <v>435</v>
      </c>
      <c r="C137" s="66">
        <v>0</v>
      </c>
      <c r="D137" s="66">
        <v>0</v>
      </c>
      <c r="E137" s="66">
        <v>0</v>
      </c>
      <c r="F137" s="66">
        <v>0</v>
      </c>
      <c r="G137" s="91">
        <v>0</v>
      </c>
      <c r="H137" s="91">
        <v>-28046000</v>
      </c>
      <c r="I137" s="91"/>
      <c r="J137" s="91"/>
      <c r="K137" s="91"/>
      <c r="L137" s="91"/>
      <c r="M137" s="91"/>
      <c r="N137" s="91"/>
    </row>
    <row r="138" spans="2:14">
      <c r="B138" s="84" t="s">
        <v>436</v>
      </c>
      <c r="C138" s="64">
        <f>+C136-C137</f>
        <v>27637116000</v>
      </c>
      <c r="D138" s="64">
        <f t="shared" ref="D138:I138" si="88">+D136-D137</f>
        <v>33033180000</v>
      </c>
      <c r="E138" s="64">
        <f t="shared" si="88"/>
        <v>34583689000</v>
      </c>
      <c r="F138" s="64">
        <f t="shared" si="88"/>
        <v>29827666000</v>
      </c>
      <c r="G138" s="64">
        <f t="shared" si="88"/>
        <v>75706652000</v>
      </c>
      <c r="H138" s="64">
        <f t="shared" si="88"/>
        <v>132087516000</v>
      </c>
      <c r="I138" s="64">
        <f t="shared" si="88"/>
        <v>87274202000</v>
      </c>
      <c r="J138" s="64">
        <f t="shared" ref="J138:N138" si="89">+J136-J137</f>
        <v>48749561000</v>
      </c>
      <c r="K138" s="64">
        <f t="shared" si="89"/>
        <v>63122658000</v>
      </c>
      <c r="L138" s="64">
        <f t="shared" si="89"/>
        <v>0</v>
      </c>
      <c r="M138" s="64">
        <f t="shared" si="89"/>
        <v>0</v>
      </c>
      <c r="N138" s="64">
        <f t="shared" si="89"/>
        <v>0</v>
      </c>
    </row>
    <row r="139" spans="2:14">
      <c r="B139" s="84" t="s">
        <v>366</v>
      </c>
      <c r="C139" s="310">
        <f>0.00548*1000</f>
        <v>5.4799999999999995</v>
      </c>
      <c r="D139" s="310">
        <f>0.0058*1000</f>
        <v>5.8</v>
      </c>
      <c r="E139" s="310">
        <f>0.00599*1000</f>
        <v>5.9899999999999993</v>
      </c>
      <c r="F139" s="311">
        <f>0.00517*1000</f>
        <v>5.17</v>
      </c>
      <c r="G139" s="311">
        <f>0.01311*1000</f>
        <v>13.11</v>
      </c>
      <c r="H139" s="311">
        <f>0.0228*1000</f>
        <v>22.8</v>
      </c>
      <c r="I139" s="311">
        <f>0.01514*1000</f>
        <v>15.14</v>
      </c>
      <c r="J139" s="311">
        <v>8.4600000000000009</v>
      </c>
      <c r="K139" s="311">
        <v>10.95</v>
      </c>
      <c r="L139" s="311"/>
      <c r="M139" s="311"/>
      <c r="N139" s="311"/>
    </row>
    <row r="141" spans="2:14" ht="14.65" thickBot="1">
      <c r="B141" s="75" t="s">
        <v>367</v>
      </c>
    </row>
    <row r="142" spans="2:14" ht="14.65" thickBot="1">
      <c r="B142" s="82" t="s">
        <v>308</v>
      </c>
      <c r="C142" s="88">
        <v>2017</v>
      </c>
      <c r="D142" s="88">
        <v>2018</v>
      </c>
      <c r="E142" s="88">
        <v>2019</v>
      </c>
      <c r="F142" s="88">
        <v>2020</v>
      </c>
      <c r="G142" s="88">
        <v>2021</v>
      </c>
      <c r="H142" s="88">
        <v>2022</v>
      </c>
      <c r="I142" s="88">
        <v>2023</v>
      </c>
      <c r="J142" s="88">
        <v>2024</v>
      </c>
      <c r="K142" s="88">
        <v>2025</v>
      </c>
      <c r="L142" s="88">
        <v>2026</v>
      </c>
      <c r="M142" s="88">
        <v>2027</v>
      </c>
      <c r="N142" s="88">
        <v>2028</v>
      </c>
    </row>
    <row r="143" spans="2:14">
      <c r="B143" s="83" t="s">
        <v>368</v>
      </c>
      <c r="C143" s="90">
        <v>87210976000</v>
      </c>
      <c r="D143" s="90">
        <v>124143648000</v>
      </c>
      <c r="E143" s="90">
        <v>145019585000</v>
      </c>
      <c r="F143" s="90">
        <v>177522660000</v>
      </c>
      <c r="G143" s="90">
        <v>239845737000</v>
      </c>
      <c r="H143" s="90">
        <v>270586441000</v>
      </c>
      <c r="I143" s="90">
        <v>286300949000</v>
      </c>
      <c r="J143" s="90">
        <v>225119298000</v>
      </c>
      <c r="K143" s="90">
        <v>265972752000</v>
      </c>
      <c r="L143" s="90"/>
      <c r="M143" s="90"/>
      <c r="N143" s="90"/>
    </row>
    <row r="144" spans="2:14">
      <c r="B144" s="86" t="s">
        <v>369</v>
      </c>
      <c r="C144" s="91">
        <v>-36382971000</v>
      </c>
      <c r="D144" s="93">
        <v>-10885323000</v>
      </c>
      <c r="E144" s="93">
        <v>-54742367000</v>
      </c>
      <c r="F144" s="66">
        <v>-40897535000</v>
      </c>
      <c r="G144" s="93">
        <v>-47195563000</v>
      </c>
      <c r="H144" s="66">
        <v>-11881499000</v>
      </c>
      <c r="I144" s="66">
        <v>-90174035000</v>
      </c>
      <c r="J144" s="66">
        <v>-109908936000</v>
      </c>
      <c r="K144" s="66">
        <v>17009776000</v>
      </c>
      <c r="L144" s="66"/>
      <c r="M144" s="66"/>
      <c r="N144" s="66"/>
    </row>
    <row r="145" spans="2:14">
      <c r="B145" s="85" t="s">
        <v>370</v>
      </c>
      <c r="C145" s="93">
        <v>-17466843000</v>
      </c>
      <c r="D145" s="93">
        <v>-38167605000</v>
      </c>
      <c r="E145" s="93">
        <v>-35568942000</v>
      </c>
      <c r="F145" s="93">
        <v>-26453486000</v>
      </c>
      <c r="G145" s="93">
        <v>-35918629000</v>
      </c>
      <c r="H145" s="93">
        <v>-46253550000</v>
      </c>
      <c r="I145" s="93">
        <v>-87768509000</v>
      </c>
      <c r="J145" s="93">
        <v>-92362142000</v>
      </c>
      <c r="K145" s="93">
        <v>-103799939000</v>
      </c>
      <c r="L145" s="93"/>
      <c r="M145" s="93"/>
      <c r="N145" s="93"/>
    </row>
    <row r="146" spans="2:14">
      <c r="B146" s="86" t="s">
        <v>372</v>
      </c>
      <c r="C146" s="120">
        <v>11215445000</v>
      </c>
      <c r="D146" s="120">
        <v>-141154704000</v>
      </c>
      <c r="E146" s="64">
        <v>-122110863000</v>
      </c>
      <c r="F146" s="120">
        <v>10280727000</v>
      </c>
      <c r="G146" s="120">
        <v>-276572451000</v>
      </c>
      <c r="H146" s="120">
        <v>-247967443000</v>
      </c>
      <c r="I146" s="120">
        <v>-215440241000</v>
      </c>
      <c r="J146" s="120">
        <v>-65538604000</v>
      </c>
      <c r="K146" s="120">
        <v>-353371961000</v>
      </c>
      <c r="L146" s="120"/>
      <c r="M146" s="120"/>
      <c r="N146" s="120"/>
    </row>
    <row r="147" spans="2:14">
      <c r="B147" s="85" t="s">
        <v>373</v>
      </c>
      <c r="C147" s="93">
        <v>0</v>
      </c>
      <c r="D147" s="93">
        <v>0</v>
      </c>
      <c r="E147" s="66">
        <v>-987682000</v>
      </c>
      <c r="F147" s="93">
        <v>-25962167000</v>
      </c>
      <c r="G147" s="93">
        <v>-57413560000</v>
      </c>
      <c r="H147" s="93">
        <v>-97363504000</v>
      </c>
      <c r="I147" s="93">
        <v>-62611871000</v>
      </c>
      <c r="J147" s="93">
        <v>-52307143000</v>
      </c>
      <c r="K147" s="93">
        <v>-50501127000</v>
      </c>
      <c r="L147" s="93"/>
      <c r="M147" s="93"/>
      <c r="N147" s="93"/>
    </row>
    <row r="148" spans="2:14">
      <c r="B148" s="85" t="s">
        <v>437</v>
      </c>
      <c r="C148" s="93">
        <v>-76105945000</v>
      </c>
      <c r="D148" s="93">
        <v>-51815597000</v>
      </c>
      <c r="E148" s="66">
        <v>-51279276000</v>
      </c>
      <c r="F148" s="93">
        <v>-48728248000</v>
      </c>
      <c r="G148" s="93">
        <v>-49961482000</v>
      </c>
      <c r="H148" s="93">
        <v>-51429323000</v>
      </c>
      <c r="I148" s="93">
        <v>-51173724000</v>
      </c>
      <c r="J148" s="93">
        <v>-59907911000</v>
      </c>
      <c r="K148" s="93">
        <v>-62915789000</v>
      </c>
      <c r="L148" s="93"/>
      <c r="M148" s="93"/>
      <c r="N148" s="93"/>
    </row>
    <row r="149" spans="2:14">
      <c r="B149" s="86" t="s">
        <v>375</v>
      </c>
      <c r="C149" s="64">
        <v>110540362000</v>
      </c>
      <c r="D149" s="64">
        <v>82643983000</v>
      </c>
      <c r="E149" s="64"/>
      <c r="F149" s="64"/>
      <c r="G149" s="64"/>
      <c r="H149" s="64">
        <v>124531412000</v>
      </c>
      <c r="I149" s="64">
        <v>105218085000</v>
      </c>
      <c r="J149" s="64">
        <v>49671758000</v>
      </c>
      <c r="K149" s="64">
        <v>-70389433000</v>
      </c>
      <c r="L149" s="64"/>
      <c r="M149" s="64"/>
      <c r="N149" s="64"/>
    </row>
    <row r="150" spans="2:14">
      <c r="B150" s="85"/>
      <c r="C150" s="66"/>
      <c r="D150" s="66"/>
      <c r="E150" s="66"/>
      <c r="F150" s="66"/>
      <c r="G150" s="66"/>
      <c r="H150" s="66"/>
      <c r="I150" s="66"/>
      <c r="J150" s="66"/>
      <c r="K150" s="66"/>
      <c r="L150" s="66"/>
      <c r="M150" s="66"/>
      <c r="N150" s="66"/>
    </row>
    <row r="151" spans="2:14">
      <c r="B151" s="84" t="s">
        <v>376</v>
      </c>
      <c r="C151" s="131">
        <f>+C143+C145+C148</f>
        <v>-6361812000</v>
      </c>
      <c r="D151" s="131">
        <f>+D143+D145+D148</f>
        <v>34160446000</v>
      </c>
      <c r="E151" s="131">
        <f t="shared" ref="D151:G151" si="90">+E143+E145+E148</f>
        <v>58171367000</v>
      </c>
      <c r="F151" s="131">
        <f t="shared" si="90"/>
        <v>102340926000</v>
      </c>
      <c r="G151" s="131">
        <f t="shared" si="90"/>
        <v>153965626000</v>
      </c>
      <c r="H151" s="131">
        <f>+H143+H145+H148</f>
        <v>172903568000</v>
      </c>
      <c r="I151" s="131">
        <f>+I143+I145+I148</f>
        <v>147358716000</v>
      </c>
      <c r="J151" s="131">
        <f>+J143+J145+J148</f>
        <v>72849245000</v>
      </c>
      <c r="K151" s="131">
        <f>+K143+K145+K148</f>
        <v>99257024000</v>
      </c>
      <c r="L151" s="131"/>
      <c r="M151" s="131"/>
      <c r="N151" s="131"/>
    </row>
  </sheetData>
  <conditionalFormatting sqref="C67:H73 D74:H74 C75:H107 I76:N107 I75:J75 L75:N75 I67:N74">
    <cfRule type="cellIs" dxfId="27" priority="18" operator="lessThan">
      <formula>0</formula>
    </cfRule>
  </conditionalFormatting>
  <conditionalFormatting sqref="C120:N123 C127:N139 C124:J126 L124:N126">
    <cfRule type="cellIs" dxfId="26" priority="2" operator="lessThan">
      <formula>0</formula>
    </cfRule>
  </conditionalFormatting>
  <conditionalFormatting sqref="C143:N151">
    <cfRule type="cellIs" dxfId="25" priority="1" operator="lessThan">
      <formula>0</formula>
    </cfRule>
  </conditionalFormatting>
  <conditionalFormatting sqref="C109:N116">
    <cfRule type="cellIs" dxfId="24" priority="3" operator="lessThan">
      <formula>0</formula>
    </cfRule>
  </conditionalFormatting>
  <pageMargins left="0.7" right="0.7" top="0.75" bottom="0.75" header="0.3" footer="0.3"/>
  <pageSetup paperSize="9" orientation="portrait" r:id="rId1"/>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A7B85-05BC-452A-BEC7-948119CB9A1F}">
  <sheetPr codeName="Hoja16"/>
  <dimension ref="B2:P151"/>
  <sheetViews>
    <sheetView zoomScale="80" zoomScaleNormal="80" workbookViewId="0">
      <pane xSplit="2" topLeftCell="F12" activePane="topRight" state="frozen"/>
      <selection pane="topRight" activeCell="J16" sqref="J16:R16"/>
    </sheetView>
  </sheetViews>
  <sheetFormatPr defaultColWidth="10.7109375" defaultRowHeight="14.25"/>
  <cols>
    <col min="1" max="1" width="3" customWidth="1"/>
    <col min="2" max="2" width="64.7109375" customWidth="1"/>
    <col min="3" max="3" width="33.28515625" bestFit="1" customWidth="1"/>
    <col min="4" max="4" width="36.7109375" bestFit="1" customWidth="1"/>
    <col min="5" max="7" width="33.28515625" bestFit="1" customWidth="1"/>
    <col min="8" max="8" width="30.7109375" bestFit="1" customWidth="1"/>
    <col min="9" max="14" width="25.42578125" bestFit="1" customWidth="1"/>
  </cols>
  <sheetData>
    <row r="2" spans="2:14" ht="21">
      <c r="B2" s="313">
        <f ca="1">TODAY()-1</f>
        <v>46105</v>
      </c>
      <c r="C2" s="314"/>
      <c r="D2" s="344" t="s">
        <v>265</v>
      </c>
      <c r="E2" s="345" t="s">
        <v>266</v>
      </c>
    </row>
    <row r="3" spans="2:14" ht="25.5">
      <c r="B3" s="376" cm="1">
        <f t="array" aca="1" ref="B3" ca="1">_FV(B6,"Precio")</f>
        <v>379</v>
      </c>
      <c r="C3" s="316"/>
      <c r="D3" s="346">
        <f>AVERAGE(H63:K63)</f>
        <v>37.7926371</v>
      </c>
      <c r="E3" s="346">
        <f>AVERAGE(H62:K62)</f>
        <v>37.7926371</v>
      </c>
      <c r="F3" s="727">
        <f>$D$3*(1+$G$2)/G3</f>
        <v>472.40796375000002</v>
      </c>
      <c r="G3" s="726">
        <v>0.08</v>
      </c>
    </row>
    <row r="4" spans="2:14" ht="28.5">
      <c r="B4" s="319"/>
      <c r="C4" s="320"/>
      <c r="D4" s="328"/>
      <c r="E4" s="328"/>
      <c r="F4" s="727">
        <f>$D$3*(1+$G$2)/G4</f>
        <v>377.92637099999996</v>
      </c>
      <c r="G4" s="726">
        <v>0.1</v>
      </c>
    </row>
    <row r="5" spans="2:14" ht="28.5">
      <c r="B5" s="322"/>
      <c r="C5" s="323"/>
    </row>
    <row r="6" spans="2:14" ht="23.25">
      <c r="B6" s="170" t="e" vm="63">
        <v>#VALUE!</v>
      </c>
    </row>
    <row r="7" spans="2:14" ht="33.4">
      <c r="B7" s="170" t="s">
        <v>833</v>
      </c>
      <c r="C7" s="3">
        <v>2017</v>
      </c>
      <c r="D7" s="3">
        <v>2018</v>
      </c>
      <c r="E7" s="3">
        <v>2019</v>
      </c>
      <c r="F7" s="3">
        <v>2020</v>
      </c>
      <c r="G7" s="3">
        <v>2021</v>
      </c>
      <c r="H7" s="3">
        <v>2022</v>
      </c>
      <c r="I7" s="3">
        <v>2023</v>
      </c>
      <c r="J7" s="3">
        <v>2024</v>
      </c>
      <c r="K7" s="3">
        <v>2025</v>
      </c>
      <c r="L7" s="3">
        <v>2026</v>
      </c>
      <c r="M7" s="3">
        <v>2027</v>
      </c>
      <c r="N7" s="3">
        <v>2028</v>
      </c>
    </row>
    <row r="8" spans="2:14" ht="25.5">
      <c r="B8" s="4" t="s">
        <v>267</v>
      </c>
      <c r="C8" s="5">
        <f>+C86</f>
        <v>161910000</v>
      </c>
      <c r="D8" s="5">
        <f t="shared" ref="D8:I8" si="0">+D86</f>
        <v>134754000</v>
      </c>
      <c r="E8" s="5">
        <f t="shared" si="0"/>
        <v>126059000</v>
      </c>
      <c r="F8" s="5">
        <f t="shared" si="0"/>
        <v>127661000</v>
      </c>
      <c r="G8" s="5">
        <f t="shared" si="0"/>
        <v>122696000</v>
      </c>
      <c r="H8" s="5">
        <f t="shared" si="0"/>
        <v>117176000</v>
      </c>
      <c r="I8" s="5">
        <f t="shared" si="0"/>
        <v>101130000</v>
      </c>
      <c r="J8" s="5">
        <f t="shared" ref="J8:N8" si="1">+J86</f>
        <v>102060000</v>
      </c>
      <c r="K8" s="5">
        <f t="shared" si="1"/>
        <v>92850000</v>
      </c>
      <c r="L8" s="5">
        <f t="shared" si="1"/>
        <v>0</v>
      </c>
      <c r="M8" s="5">
        <f t="shared" si="1"/>
        <v>0</v>
      </c>
      <c r="N8" s="5">
        <f t="shared" si="1"/>
        <v>0</v>
      </c>
    </row>
    <row r="9" spans="2:14" ht="25.5">
      <c r="B9" s="146" t="s">
        <v>377</v>
      </c>
      <c r="C9" s="147">
        <f>+C88</f>
        <v>0</v>
      </c>
      <c r="D9" s="147">
        <f t="shared" ref="D9:I9" si="2">+D88</f>
        <v>64943000</v>
      </c>
      <c r="E9" s="147">
        <f t="shared" si="2"/>
        <v>53871000</v>
      </c>
      <c r="F9" s="147">
        <f t="shared" si="2"/>
        <v>43955000</v>
      </c>
      <c r="G9" s="147">
        <f t="shared" si="2"/>
        <v>40315000</v>
      </c>
      <c r="H9" s="147">
        <f t="shared" si="2"/>
        <v>48476000</v>
      </c>
      <c r="I9" s="147">
        <f t="shared" si="2"/>
        <v>42558000</v>
      </c>
      <c r="J9" s="147">
        <f t="shared" ref="J9:N9" si="3">+J88</f>
        <v>47967000</v>
      </c>
      <c r="K9" s="147">
        <f t="shared" si="3"/>
        <v>50692000</v>
      </c>
      <c r="L9" s="147">
        <f t="shared" si="3"/>
        <v>0</v>
      </c>
      <c r="M9" s="147">
        <f t="shared" si="3"/>
        <v>0</v>
      </c>
      <c r="N9" s="147">
        <f t="shared" si="3"/>
        <v>0</v>
      </c>
    </row>
    <row r="10" spans="2:14" ht="25.5">
      <c r="B10" s="146" t="s">
        <v>378</v>
      </c>
      <c r="C10" s="147">
        <f>+C89</f>
        <v>33542000</v>
      </c>
      <c r="D10" s="147">
        <f t="shared" ref="D10:I10" si="4">+D89</f>
        <v>30861000</v>
      </c>
      <c r="E10" s="147">
        <f t="shared" si="4"/>
        <v>25918000</v>
      </c>
      <c r="F10" s="147">
        <f t="shared" si="4"/>
        <v>28844000</v>
      </c>
      <c r="G10" s="147">
        <f t="shared" si="4"/>
        <v>33672000</v>
      </c>
      <c r="H10" s="147">
        <f t="shared" si="4"/>
        <v>44670000</v>
      </c>
      <c r="I10" s="147">
        <f t="shared" si="4"/>
        <v>31715000</v>
      </c>
      <c r="J10" s="147">
        <f t="shared" ref="J10:N10" si="5">+J89</f>
        <v>26694000</v>
      </c>
      <c r="K10" s="147">
        <f t="shared" si="5"/>
        <v>33089000</v>
      </c>
      <c r="L10" s="147">
        <f t="shared" si="5"/>
        <v>0</v>
      </c>
      <c r="M10" s="147">
        <f t="shared" si="5"/>
        <v>0</v>
      </c>
      <c r="N10" s="147">
        <f t="shared" si="5"/>
        <v>0</v>
      </c>
    </row>
    <row r="11" spans="2:14" ht="25.5">
      <c r="B11" s="4" t="s">
        <v>519</v>
      </c>
      <c r="C11" s="5">
        <f>+C91</f>
        <v>11411000</v>
      </c>
      <c r="D11" s="5">
        <f t="shared" ref="D11:I11" si="6">+D91</f>
        <v>9976000</v>
      </c>
      <c r="E11" s="5">
        <f t="shared" si="6"/>
        <v>11516000</v>
      </c>
      <c r="F11" s="5">
        <f t="shared" si="6"/>
        <v>9058000</v>
      </c>
      <c r="G11" s="5">
        <f t="shared" si="6"/>
        <v>8910000</v>
      </c>
      <c r="H11" s="5">
        <f t="shared" si="6"/>
        <v>7957000</v>
      </c>
      <c r="I11" s="5">
        <f t="shared" si="6"/>
        <v>8646000</v>
      </c>
      <c r="J11" s="5">
        <f t="shared" ref="J11:N11" si="7">+J91</f>
        <v>7629000</v>
      </c>
      <c r="K11" s="5">
        <f t="shared" si="7"/>
        <v>7384000</v>
      </c>
      <c r="L11" s="5">
        <f t="shared" si="7"/>
        <v>0</v>
      </c>
      <c r="M11" s="5">
        <f t="shared" si="7"/>
        <v>0</v>
      </c>
      <c r="N11" s="5">
        <f t="shared" si="7"/>
        <v>0</v>
      </c>
    </row>
    <row r="12" spans="2:14" ht="25.5">
      <c r="B12" s="8" t="s">
        <v>272</v>
      </c>
      <c r="C12" s="9">
        <f>+C8+C11</f>
        <v>173321000</v>
      </c>
      <c r="D12" s="9">
        <f t="shared" ref="D12:I12" si="8">+D8+D11</f>
        <v>144730000</v>
      </c>
      <c r="E12" s="9">
        <f t="shared" si="8"/>
        <v>137575000</v>
      </c>
      <c r="F12" s="9">
        <f t="shared" si="8"/>
        <v>136719000</v>
      </c>
      <c r="G12" s="9">
        <f t="shared" si="8"/>
        <v>131606000</v>
      </c>
      <c r="H12" s="9">
        <f t="shared" si="8"/>
        <v>125133000</v>
      </c>
      <c r="I12" s="9">
        <f t="shared" si="8"/>
        <v>109776000</v>
      </c>
      <c r="J12" s="9">
        <f t="shared" ref="J12:N12" si="9">+J8+J11</f>
        <v>109689000</v>
      </c>
      <c r="K12" s="9">
        <f t="shared" si="9"/>
        <v>100234000</v>
      </c>
      <c r="L12" s="9">
        <f t="shared" si="9"/>
        <v>0</v>
      </c>
      <c r="M12" s="9">
        <f t="shared" si="9"/>
        <v>0</v>
      </c>
      <c r="N12" s="9">
        <f t="shared" si="9"/>
        <v>0</v>
      </c>
    </row>
    <row r="13" spans="2:14" ht="25.5">
      <c r="B13" s="10" t="s">
        <v>273</v>
      </c>
      <c r="C13" s="11">
        <f>+C100</f>
        <v>47533000</v>
      </c>
      <c r="D13" s="11">
        <f t="shared" ref="D13:I13" si="10">+D100</f>
        <v>37996000</v>
      </c>
      <c r="E13" s="11">
        <f t="shared" si="10"/>
        <v>36601000</v>
      </c>
      <c r="F13" s="11">
        <f t="shared" si="10"/>
        <v>51034000</v>
      </c>
      <c r="G13" s="11">
        <f t="shared" si="10"/>
        <v>59977000</v>
      </c>
      <c r="H13" s="11">
        <f t="shared" si="10"/>
        <v>53860000</v>
      </c>
      <c r="I13" s="11">
        <f t="shared" si="10"/>
        <v>38647000</v>
      </c>
      <c r="J13" s="11">
        <f t="shared" ref="J13:N13" si="11">+J100</f>
        <v>39500000</v>
      </c>
      <c r="K13" s="11">
        <f t="shared" si="11"/>
        <v>30505000</v>
      </c>
      <c r="L13" s="11">
        <f t="shared" si="11"/>
        <v>0</v>
      </c>
      <c r="M13" s="11">
        <f t="shared" si="11"/>
        <v>0</v>
      </c>
      <c r="N13" s="11">
        <f t="shared" si="11"/>
        <v>0</v>
      </c>
    </row>
    <row r="14" spans="2:14" ht="25.5">
      <c r="B14" s="10" t="s">
        <v>274</v>
      </c>
      <c r="C14" s="11">
        <f>+C108</f>
        <v>1440000</v>
      </c>
      <c r="D14" s="11">
        <f t="shared" ref="D14:I14" si="12">+D108</f>
        <v>1420000</v>
      </c>
      <c r="E14" s="11">
        <f t="shared" si="12"/>
        <v>5426000</v>
      </c>
      <c r="F14" s="11">
        <f t="shared" si="12"/>
        <v>5525000</v>
      </c>
      <c r="G14" s="11">
        <f t="shared" si="12"/>
        <v>5042000</v>
      </c>
      <c r="H14" s="11">
        <f t="shared" si="12"/>
        <v>4806000</v>
      </c>
      <c r="I14" s="11">
        <f t="shared" si="12"/>
        <v>4531000</v>
      </c>
      <c r="J14" s="11">
        <f t="shared" ref="J14:N14" si="13">+J108</f>
        <v>3077000</v>
      </c>
      <c r="K14" s="11">
        <f t="shared" si="13"/>
        <v>2968000</v>
      </c>
      <c r="L14" s="11">
        <f t="shared" si="13"/>
        <v>0</v>
      </c>
      <c r="M14" s="11">
        <f t="shared" si="13"/>
        <v>0</v>
      </c>
      <c r="N14" s="11">
        <f t="shared" si="13"/>
        <v>0</v>
      </c>
    </row>
    <row r="15" spans="2:14" ht="25.5">
      <c r="B15" s="12" t="s">
        <v>275</v>
      </c>
      <c r="C15" s="13">
        <f t="shared" ref="C15" si="14">SUM(C13:C14)</f>
        <v>48973000</v>
      </c>
      <c r="D15" s="13">
        <f t="shared" ref="D15:I15" si="15">SUM(D13:D14)</f>
        <v>39416000</v>
      </c>
      <c r="E15" s="13">
        <f t="shared" si="15"/>
        <v>42027000</v>
      </c>
      <c r="F15" s="13">
        <f t="shared" si="15"/>
        <v>56559000</v>
      </c>
      <c r="G15" s="13">
        <f t="shared" si="15"/>
        <v>65019000</v>
      </c>
      <c r="H15" s="13">
        <f t="shared" si="15"/>
        <v>58666000</v>
      </c>
      <c r="I15" s="13">
        <f t="shared" si="15"/>
        <v>43178000</v>
      </c>
      <c r="J15" s="13">
        <f t="shared" ref="J15:N15" si="16">SUM(J13:J14)</f>
        <v>42577000</v>
      </c>
      <c r="K15" s="13">
        <f t="shared" si="16"/>
        <v>33473000</v>
      </c>
      <c r="L15" s="13">
        <f t="shared" si="16"/>
        <v>0</v>
      </c>
      <c r="M15" s="13">
        <f t="shared" si="16"/>
        <v>0</v>
      </c>
      <c r="N15" s="13">
        <f t="shared" si="16"/>
        <v>0</v>
      </c>
    </row>
    <row r="16" spans="2:14" ht="25.5">
      <c r="B16" s="14" t="s">
        <v>276</v>
      </c>
      <c r="C16" s="15">
        <f>+C120</f>
        <v>124348000</v>
      </c>
      <c r="D16" s="15">
        <f t="shared" ref="D16:I16" si="17">+D120</f>
        <v>105314000</v>
      </c>
      <c r="E16" s="15">
        <f t="shared" si="17"/>
        <v>95548000</v>
      </c>
      <c r="F16" s="15">
        <f t="shared" si="17"/>
        <v>80160000</v>
      </c>
      <c r="G16" s="15">
        <f t="shared" si="17"/>
        <v>66587000</v>
      </c>
      <c r="H16" s="15">
        <f t="shared" si="17"/>
        <v>66467000</v>
      </c>
      <c r="I16" s="15">
        <f t="shared" si="17"/>
        <v>66598000</v>
      </c>
      <c r="J16" s="15">
        <f t="shared" ref="J16:N16" si="18">+J120</f>
        <v>67112000</v>
      </c>
      <c r="K16" s="15">
        <f t="shared" si="18"/>
        <v>66761000</v>
      </c>
      <c r="L16" s="15">
        <f t="shared" si="18"/>
        <v>0</v>
      </c>
      <c r="M16" s="15">
        <f t="shared" si="18"/>
        <v>0</v>
      </c>
      <c r="N16" s="15">
        <f t="shared" si="18"/>
        <v>0</v>
      </c>
    </row>
    <row r="17" spans="2:14" ht="25.5">
      <c r="B17" s="165" t="s">
        <v>278</v>
      </c>
      <c r="C17" s="166">
        <v>272116691</v>
      </c>
      <c r="D17" s="166">
        <v>272116691</v>
      </c>
      <c r="E17" s="166">
        <v>272116691</v>
      </c>
      <c r="F17" s="166">
        <v>272116691</v>
      </c>
      <c r="G17" s="166">
        <v>272116691</v>
      </c>
      <c r="H17" s="166">
        <v>272116691</v>
      </c>
      <c r="I17" s="166">
        <v>272116691</v>
      </c>
      <c r="J17" s="166">
        <v>272116691</v>
      </c>
      <c r="K17" s="166">
        <v>272116691</v>
      </c>
      <c r="L17" s="166"/>
      <c r="M17" s="166"/>
      <c r="N17" s="166"/>
    </row>
    <row r="19" spans="2:14" ht="25.5">
      <c r="B19" s="18" t="s">
        <v>597</v>
      </c>
      <c r="C19" s="19">
        <f t="shared" ref="C19:H19" si="19">(C16/C17)</f>
        <v>0.45696572137135094</v>
      </c>
      <c r="D19" s="19">
        <f t="shared" si="19"/>
        <v>0.38701778862951114</v>
      </c>
      <c r="E19" s="19">
        <f t="shared" si="19"/>
        <v>0.35112877364806705</v>
      </c>
      <c r="F19" s="19">
        <f t="shared" si="19"/>
        <v>0.29457950449647352</v>
      </c>
      <c r="G19" s="19">
        <f t="shared" si="19"/>
        <v>0.24470016798785782</v>
      </c>
      <c r="H19" s="19">
        <f t="shared" si="19"/>
        <v>0.24425918070567748</v>
      </c>
      <c r="I19" s="19">
        <f t="shared" ref="I19:N19" si="20">(I16/I17)</f>
        <v>0.24474059182205768</v>
      </c>
      <c r="J19" s="19">
        <f t="shared" si="20"/>
        <v>0.24662948734739687</v>
      </c>
      <c r="K19" s="19">
        <f>(K16/K17)</f>
        <v>0.24533959954701934</v>
      </c>
      <c r="L19" s="19" t="e">
        <f t="shared" si="20"/>
        <v>#DIV/0!</v>
      </c>
      <c r="M19" s="19" t="e">
        <f t="shared" si="20"/>
        <v>#DIV/0!</v>
      </c>
      <c r="N19" s="19" t="e">
        <f t="shared" si="20"/>
        <v>#DIV/0!</v>
      </c>
    </row>
    <row r="20" spans="2:14" ht="25.5">
      <c r="B20" s="18" t="s">
        <v>834</v>
      </c>
      <c r="C20" s="19">
        <f t="shared" ref="C20:N20" si="21">+C19*C45</f>
        <v>281.13445110208255</v>
      </c>
      <c r="D20" s="19">
        <f t="shared" si="21"/>
        <v>269.24440537166464</v>
      </c>
      <c r="E20" s="19">
        <f t="shared" si="21"/>
        <v>261.45750743382371</v>
      </c>
      <c r="F20" s="19">
        <f t="shared" si="21"/>
        <v>209.51672677807184</v>
      </c>
      <c r="G20" s="19">
        <f t="shared" si="21"/>
        <v>208.05631783167613</v>
      </c>
      <c r="H20" s="19">
        <f t="shared" si="21"/>
        <v>209.94320840833686</v>
      </c>
      <c r="I20" s="19">
        <f t="shared" si="21"/>
        <v>216.49508011987402</v>
      </c>
      <c r="J20" s="19">
        <f t="shared" si="21"/>
        <v>244.68604698709939</v>
      </c>
      <c r="K20" s="19">
        <f>+K19*K45</f>
        <v>223.54853631525307</v>
      </c>
      <c r="L20" s="19" t="e">
        <f t="shared" si="21"/>
        <v>#DIV/0!</v>
      </c>
      <c r="M20" s="19" t="e">
        <f t="shared" si="21"/>
        <v>#DIV/0!</v>
      </c>
      <c r="N20" s="19" t="e">
        <f t="shared" si="21"/>
        <v>#DIV/0!</v>
      </c>
    </row>
    <row r="21" spans="2:14" ht="25.5">
      <c r="B21" s="76" t="s">
        <v>835</v>
      </c>
      <c r="C21" s="77">
        <f>C22/C45</f>
        <v>0.37710087448392443</v>
      </c>
      <c r="D21" s="77">
        <f t="shared" ref="D21:N21" si="22">D22/D45</f>
        <v>0.22998749442999036</v>
      </c>
      <c r="E21" s="77">
        <f t="shared" si="22"/>
        <v>0.21487470118986865</v>
      </c>
      <c r="F21" s="77">
        <f t="shared" si="22"/>
        <v>0.30369495528935381</v>
      </c>
      <c r="G21" s="77">
        <f t="shared" si="22"/>
        <v>0.25992355189650101</v>
      </c>
      <c r="H21" s="77">
        <f t="shared" si="22"/>
        <v>0.3955742225221347</v>
      </c>
      <c r="I21" s="77">
        <f t="shared" si="22"/>
        <v>0.29053007608044401</v>
      </c>
      <c r="J21" s="77">
        <f t="shared" si="22"/>
        <v>0.28524775228802968</v>
      </c>
      <c r="K21" s="77">
        <f t="shared" si="22"/>
        <v>0.42858710682850809</v>
      </c>
      <c r="L21" s="77" t="e">
        <f t="shared" si="22"/>
        <v>#DIV/0!</v>
      </c>
      <c r="M21" s="77" t="e">
        <f t="shared" si="22"/>
        <v>#DIV/0!</v>
      </c>
      <c r="N21" s="77" t="e">
        <f t="shared" si="22"/>
        <v>#DIV/0!</v>
      </c>
    </row>
    <row r="22" spans="2:14" ht="25.5">
      <c r="B22" s="76" t="s">
        <v>282</v>
      </c>
      <c r="C22" s="77">
        <v>232</v>
      </c>
      <c r="D22" s="77">
        <v>160</v>
      </c>
      <c r="E22" s="77">
        <v>160</v>
      </c>
      <c r="F22" s="77">
        <v>216</v>
      </c>
      <c r="G22" s="77">
        <v>221</v>
      </c>
      <c r="H22" s="77">
        <v>340</v>
      </c>
      <c r="I22" s="77">
        <v>257</v>
      </c>
      <c r="J22" s="77">
        <v>283</v>
      </c>
      <c r="K22" s="77">
        <v>390.52</v>
      </c>
      <c r="L22" s="77"/>
      <c r="M22" s="77"/>
      <c r="N22" s="77"/>
    </row>
    <row r="23" spans="2:14" ht="25.5">
      <c r="B23" s="18" t="s">
        <v>283</v>
      </c>
      <c r="C23" s="22">
        <f t="shared" ref="C23:J23" si="23">+C21/C43</f>
        <v>519.42269212661768</v>
      </c>
      <c r="D23" s="22">
        <f t="shared" si="23"/>
        <v>17.805023955252022</v>
      </c>
      <c r="E23" s="22">
        <f t="shared" si="23"/>
        <v>11.513406268545713</v>
      </c>
      <c r="F23" s="22">
        <f t="shared" si="23"/>
        <v>10.930963369303308</v>
      </c>
      <c r="G23" s="22">
        <f t="shared" si="23"/>
        <v>4.6977814870411718</v>
      </c>
      <c r="H23" s="22">
        <f t="shared" si="23"/>
        <v>7.6233228468324281</v>
      </c>
      <c r="I23" s="22">
        <f t="shared" si="23"/>
        <v>8.1092493393374845</v>
      </c>
      <c r="J23" s="22">
        <f t="shared" si="23"/>
        <v>8.8216407078407197</v>
      </c>
      <c r="K23" s="22">
        <f>+K21/K43</f>
        <v>15.192736860280331</v>
      </c>
      <c r="L23" s="22" t="e">
        <f>+L21/L44</f>
        <v>#DIV/0!</v>
      </c>
      <c r="M23" s="22" t="e">
        <f>+M21/M44</f>
        <v>#DIV/0!</v>
      </c>
      <c r="N23" s="22" t="e">
        <f>+N21/N44</f>
        <v>#DIV/0!</v>
      </c>
    </row>
    <row r="24" spans="2:14" ht="25.5">
      <c r="B24" s="18" t="s">
        <v>284</v>
      </c>
      <c r="C24" s="22">
        <f t="shared" ref="C24:J24" si="24">+C22/C20</f>
        <v>0.82522792596400296</v>
      </c>
      <c r="D24" s="22">
        <f t="shared" si="24"/>
        <v>0.59425561611627997</v>
      </c>
      <c r="E24" s="22">
        <f t="shared" si="24"/>
        <v>0.6119541242872778</v>
      </c>
      <c r="F24" s="22">
        <f t="shared" si="24"/>
        <v>1.0309439409522443</v>
      </c>
      <c r="G24" s="22">
        <f t="shared" si="24"/>
        <v>1.0622123966396237</v>
      </c>
      <c r="H24" s="22">
        <f t="shared" si="24"/>
        <v>1.6194855864958697</v>
      </c>
      <c r="I24" s="22">
        <f t="shared" si="24"/>
        <v>1.18709395085421</v>
      </c>
      <c r="J24" s="22">
        <f t="shared" si="24"/>
        <v>1.1565841349953259</v>
      </c>
      <c r="K24" s="22">
        <f>+K22/K20</f>
        <v>1.7469136968505135</v>
      </c>
      <c r="L24" s="22" t="e">
        <f t="shared" ref="K24:N24" si="25">+L21/L20</f>
        <v>#DIV/0!</v>
      </c>
      <c r="M24" s="22" t="e">
        <f t="shared" si="25"/>
        <v>#DIV/0!</v>
      </c>
      <c r="N24" s="22" t="e">
        <f t="shared" si="25"/>
        <v>#DIV/0!</v>
      </c>
    </row>
    <row r="25" spans="2:14" ht="25.5">
      <c r="B25" s="18" t="s">
        <v>285</v>
      </c>
      <c r="C25" s="22">
        <f t="shared" ref="C25:N25" si="26">+C23*C24</f>
        <v>428.64211092228754</v>
      </c>
      <c r="D25" s="22">
        <f t="shared" si="26"/>
        <v>10.580735480493415</v>
      </c>
      <c r="E25" s="22">
        <f t="shared" si="26"/>
        <v>7.0456764506315466</v>
      </c>
      <c r="F25" s="22">
        <f t="shared" si="26"/>
        <v>11.269210454354175</v>
      </c>
      <c r="G25" s="22">
        <f t="shared" si="26"/>
        <v>4.9900417322392583</v>
      </c>
      <c r="H25" s="22">
        <f t="shared" si="26"/>
        <v>12.345861471649778</v>
      </c>
      <c r="I25" s="22">
        <f t="shared" si="26"/>
        <v>9.6264408366960268</v>
      </c>
      <c r="J25" s="22">
        <f t="shared" si="26"/>
        <v>10.202969687317513</v>
      </c>
      <c r="K25" s="22">
        <f t="shared" si="26"/>
        <v>26.540400113869374</v>
      </c>
      <c r="L25" s="22" t="e">
        <f t="shared" si="26"/>
        <v>#DIV/0!</v>
      </c>
      <c r="M25" s="22" t="e">
        <f t="shared" si="26"/>
        <v>#DIV/0!</v>
      </c>
      <c r="N25" s="22" t="e">
        <f t="shared" si="26"/>
        <v>#DIV/0!</v>
      </c>
    </row>
    <row r="26" spans="2:14" ht="25.5">
      <c r="B26" s="23" t="s">
        <v>286</v>
      </c>
      <c r="C26" s="24">
        <v>0</v>
      </c>
      <c r="D26" s="24">
        <v>0</v>
      </c>
      <c r="E26" s="24">
        <v>0</v>
      </c>
      <c r="F26" s="24">
        <v>0</v>
      </c>
      <c r="G26" s="24">
        <v>1</v>
      </c>
      <c r="H26" s="24">
        <v>1</v>
      </c>
      <c r="I26" s="24">
        <v>1</v>
      </c>
      <c r="J26" s="24">
        <v>1</v>
      </c>
      <c r="K26" s="24">
        <v>1</v>
      </c>
      <c r="L26" s="24">
        <v>1</v>
      </c>
      <c r="M26" s="24">
        <v>1</v>
      </c>
      <c r="N26" s="24">
        <v>1</v>
      </c>
    </row>
    <row r="27" spans="2:14" ht="25.5">
      <c r="B27" s="23" t="s">
        <v>287</v>
      </c>
      <c r="C27" s="24">
        <v>1</v>
      </c>
      <c r="D27" s="24">
        <v>1</v>
      </c>
      <c r="E27" s="24">
        <v>1</v>
      </c>
      <c r="F27" s="24">
        <v>1</v>
      </c>
      <c r="G27" s="24">
        <v>1.5</v>
      </c>
      <c r="H27" s="24">
        <v>1.5</v>
      </c>
      <c r="I27" s="24">
        <v>1.5</v>
      </c>
      <c r="J27" s="24">
        <v>1.5</v>
      </c>
      <c r="K27" s="24">
        <v>1.5</v>
      </c>
      <c r="L27" s="24">
        <v>1.5</v>
      </c>
      <c r="M27" s="24">
        <v>1.5</v>
      </c>
      <c r="N27" s="24">
        <v>1.5</v>
      </c>
    </row>
    <row r="28" spans="2:14" ht="25.5">
      <c r="B28" s="25" t="s">
        <v>288</v>
      </c>
      <c r="C28" s="26">
        <f t="shared" ref="C28:N28" si="27">+C26*C20</f>
        <v>0</v>
      </c>
      <c r="D28" s="26">
        <f t="shared" si="27"/>
        <v>0</v>
      </c>
      <c r="E28" s="26">
        <f t="shared" si="27"/>
        <v>0</v>
      </c>
      <c r="F28" s="26">
        <f t="shared" si="27"/>
        <v>0</v>
      </c>
      <c r="G28" s="26">
        <f t="shared" si="27"/>
        <v>208.05631783167613</v>
      </c>
      <c r="H28" s="26">
        <f t="shared" si="27"/>
        <v>209.94320840833686</v>
      </c>
      <c r="I28" s="26">
        <f t="shared" si="27"/>
        <v>216.49508011987402</v>
      </c>
      <c r="J28" s="26">
        <f t="shared" si="27"/>
        <v>244.68604698709939</v>
      </c>
      <c r="K28" s="26">
        <f t="shared" si="27"/>
        <v>223.54853631525307</v>
      </c>
      <c r="L28" s="26" t="e">
        <f t="shared" si="27"/>
        <v>#DIV/0!</v>
      </c>
      <c r="M28" s="26" t="e">
        <f t="shared" si="27"/>
        <v>#DIV/0!</v>
      </c>
      <c r="N28" s="26" t="e">
        <f t="shared" si="27"/>
        <v>#DIV/0!</v>
      </c>
    </row>
    <row r="29" spans="2:14" ht="25.5">
      <c r="B29" s="25" t="s">
        <v>289</v>
      </c>
      <c r="C29" s="26">
        <f>AVERAGE(C28,C30)</f>
        <v>140.56722555104128</v>
      </c>
      <c r="D29" s="26">
        <f t="shared" ref="D29:H29" si="28">AVERAGE(D28,D30)</f>
        <v>134.62220268583232</v>
      </c>
      <c r="E29" s="26">
        <f t="shared" si="28"/>
        <v>130.72875371691185</v>
      </c>
      <c r="F29" s="26">
        <f t="shared" si="28"/>
        <v>104.75836338903592</v>
      </c>
      <c r="G29" s="26">
        <f t="shared" si="28"/>
        <v>260.07039728959518</v>
      </c>
      <c r="H29" s="26">
        <f t="shared" si="28"/>
        <v>262.42901051042105</v>
      </c>
      <c r="I29" s="26">
        <f t="shared" ref="I29:N29" si="29">AVERAGE(I28,I30)</f>
        <v>270.6188501498425</v>
      </c>
      <c r="J29" s="26">
        <f t="shared" si="29"/>
        <v>305.85755873387421</v>
      </c>
      <c r="K29" s="26">
        <f t="shared" si="29"/>
        <v>279.43567039406634</v>
      </c>
      <c r="L29" s="26" t="e">
        <f t="shared" si="29"/>
        <v>#DIV/0!</v>
      </c>
      <c r="M29" s="26" t="e">
        <f t="shared" si="29"/>
        <v>#DIV/0!</v>
      </c>
      <c r="N29" s="26" t="e">
        <f t="shared" si="29"/>
        <v>#DIV/0!</v>
      </c>
    </row>
    <row r="30" spans="2:14" ht="25.5">
      <c r="B30" s="25" t="s">
        <v>290</v>
      </c>
      <c r="C30" s="26">
        <f t="shared" ref="C30:N30" si="30">+C20*C27</f>
        <v>281.13445110208255</v>
      </c>
      <c r="D30" s="26">
        <f t="shared" si="30"/>
        <v>269.24440537166464</v>
      </c>
      <c r="E30" s="26">
        <f t="shared" si="30"/>
        <v>261.45750743382371</v>
      </c>
      <c r="F30" s="26">
        <f t="shared" si="30"/>
        <v>209.51672677807184</v>
      </c>
      <c r="G30" s="26">
        <f t="shared" si="30"/>
        <v>312.0844767475142</v>
      </c>
      <c r="H30" s="26">
        <f t="shared" si="30"/>
        <v>314.91481261250527</v>
      </c>
      <c r="I30" s="26">
        <f t="shared" si="30"/>
        <v>324.74262017981101</v>
      </c>
      <c r="J30" s="26">
        <f t="shared" si="30"/>
        <v>367.02907048064907</v>
      </c>
      <c r="K30" s="26">
        <f t="shared" si="30"/>
        <v>335.32280447287962</v>
      </c>
      <c r="L30" s="26" t="e">
        <f t="shared" si="30"/>
        <v>#DIV/0!</v>
      </c>
      <c r="M30" s="26" t="e">
        <f t="shared" si="30"/>
        <v>#DIV/0!</v>
      </c>
      <c r="N30" s="26" t="e">
        <f t="shared" si="30"/>
        <v>#DIV/0!</v>
      </c>
    </row>
    <row r="32" spans="2:14" ht="25.5">
      <c r="B32" s="27" t="s">
        <v>291</v>
      </c>
      <c r="C32" s="28">
        <f t="shared" ref="C32:I32" si="31">C8-C13</f>
        <v>114377000</v>
      </c>
      <c r="D32" s="28">
        <f t="shared" si="31"/>
        <v>96758000</v>
      </c>
      <c r="E32" s="28">
        <f t="shared" si="31"/>
        <v>89458000</v>
      </c>
      <c r="F32" s="28">
        <f t="shared" si="31"/>
        <v>76627000</v>
      </c>
      <c r="G32" s="28">
        <f t="shared" si="31"/>
        <v>62719000</v>
      </c>
      <c r="H32" s="28">
        <f t="shared" si="31"/>
        <v>63316000</v>
      </c>
      <c r="I32" s="28">
        <f t="shared" si="31"/>
        <v>62483000</v>
      </c>
      <c r="J32" s="28">
        <f t="shared" ref="J32:N32" si="32">J8-J13</f>
        <v>62560000</v>
      </c>
      <c r="K32" s="28">
        <f t="shared" si="32"/>
        <v>62345000</v>
      </c>
      <c r="L32" s="28">
        <f t="shared" si="32"/>
        <v>0</v>
      </c>
      <c r="M32" s="28">
        <f t="shared" si="32"/>
        <v>0</v>
      </c>
      <c r="N32" s="28">
        <f t="shared" si="32"/>
        <v>0</v>
      </c>
    </row>
    <row r="33" spans="2:14" ht="25.5">
      <c r="B33" s="30" t="s">
        <v>149</v>
      </c>
      <c r="C33" s="31">
        <f t="shared" ref="C33:I33" si="33">C8/C13</f>
        <v>3.4062651210737802</v>
      </c>
      <c r="D33" s="31">
        <f t="shared" si="33"/>
        <v>3.54653121381198</v>
      </c>
      <c r="E33" s="31">
        <f t="shared" si="33"/>
        <v>3.4441408704680199</v>
      </c>
      <c r="F33" s="31">
        <f t="shared" si="33"/>
        <v>2.5014892032762472</v>
      </c>
      <c r="G33" s="31">
        <f t="shared" si="33"/>
        <v>2.0457175250512698</v>
      </c>
      <c r="H33" s="98">
        <f t="shared" si="33"/>
        <v>2.1755662829558116</v>
      </c>
      <c r="I33" s="98">
        <f t="shared" si="33"/>
        <v>2.6167619737625172</v>
      </c>
      <c r="J33" s="98">
        <f t="shared" ref="J33:N33" si="34">J8/J13</f>
        <v>2.5837974683544305</v>
      </c>
      <c r="K33" s="98">
        <f t="shared" si="34"/>
        <v>3.0437633174889362</v>
      </c>
      <c r="L33" s="98" t="e">
        <f t="shared" si="34"/>
        <v>#DIV/0!</v>
      </c>
      <c r="M33" s="98" t="e">
        <f t="shared" si="34"/>
        <v>#DIV/0!</v>
      </c>
      <c r="N33" s="98" t="e">
        <f t="shared" si="34"/>
        <v>#DIV/0!</v>
      </c>
    </row>
    <row r="34" spans="2:14" ht="25.5">
      <c r="B34" s="30" t="s">
        <v>292</v>
      </c>
      <c r="C34" s="31">
        <f>(C8-C10)/C13</f>
        <v>2.7006079986535672</v>
      </c>
      <c r="D34" s="31">
        <f t="shared" ref="D34:I34" si="35">(D8-D10)/D13</f>
        <v>2.7343141383303506</v>
      </c>
      <c r="E34" s="31">
        <f t="shared" si="35"/>
        <v>2.7360181415808311</v>
      </c>
      <c r="F34" s="31">
        <f t="shared" si="35"/>
        <v>1.9362973703805306</v>
      </c>
      <c r="G34" s="31">
        <f t="shared" si="35"/>
        <v>1.4843023158877571</v>
      </c>
      <c r="H34" s="31">
        <f t="shared" si="35"/>
        <v>1.3461938358707761</v>
      </c>
      <c r="I34" s="31">
        <f t="shared" si="35"/>
        <v>1.7961290656454576</v>
      </c>
      <c r="J34" s="31">
        <f t="shared" ref="J34:N34" si="36">(J8-J10)/J13</f>
        <v>1.9079999999999999</v>
      </c>
      <c r="K34" s="31">
        <f t="shared" si="36"/>
        <v>1.9590558924766432</v>
      </c>
      <c r="L34" s="31" t="e">
        <f t="shared" si="36"/>
        <v>#DIV/0!</v>
      </c>
      <c r="M34" s="31" t="e">
        <f t="shared" si="36"/>
        <v>#DIV/0!</v>
      </c>
      <c r="N34" s="31" t="e">
        <f t="shared" si="36"/>
        <v>#DIV/0!</v>
      </c>
    </row>
    <row r="35" spans="2:14" ht="25.5">
      <c r="B35" s="32" t="s">
        <v>153</v>
      </c>
      <c r="C35" s="33">
        <f t="shared" ref="C35:I35" si="37">C15/C12</f>
        <v>0.28255664345347647</v>
      </c>
      <c r="D35" s="33">
        <f t="shared" si="37"/>
        <v>0.27234160160298487</v>
      </c>
      <c r="E35" s="33">
        <f t="shared" si="37"/>
        <v>0.3054842813011085</v>
      </c>
      <c r="F35" s="33">
        <f t="shared" si="37"/>
        <v>0.41368792925635794</v>
      </c>
      <c r="G35" s="33">
        <f t="shared" si="37"/>
        <v>0.4940428247952221</v>
      </c>
      <c r="H35" s="33">
        <f t="shared" si="37"/>
        <v>0.46882916576762323</v>
      </c>
      <c r="I35" s="33">
        <f t="shared" si="37"/>
        <v>0.39332823203614631</v>
      </c>
      <c r="J35" s="33">
        <f t="shared" ref="J35:N35" si="38">J15/J12</f>
        <v>0.38816107358076013</v>
      </c>
      <c r="K35" s="33">
        <f t="shared" si="38"/>
        <v>0.33394856036873716</v>
      </c>
      <c r="L35" s="33" t="e">
        <f t="shared" si="38"/>
        <v>#DIV/0!</v>
      </c>
      <c r="M35" s="33" t="e">
        <f t="shared" si="38"/>
        <v>#DIV/0!</v>
      </c>
      <c r="N35" s="33" t="e">
        <f t="shared" si="38"/>
        <v>#DIV/0!</v>
      </c>
    </row>
    <row r="37" spans="2:14" ht="18">
      <c r="I37" s="34"/>
      <c r="J37" s="34"/>
      <c r="K37" s="34"/>
      <c r="L37" s="34"/>
      <c r="M37" s="34"/>
      <c r="N37" s="34"/>
    </row>
    <row r="38" spans="2:14" ht="25.5">
      <c r="B38" s="35" t="s">
        <v>293</v>
      </c>
      <c r="C38" s="36">
        <f>+C124</f>
        <v>132931000</v>
      </c>
      <c r="D38" s="36">
        <f t="shared" ref="D38:N38" si="39">+D124</f>
        <v>147223000</v>
      </c>
      <c r="E38" s="36">
        <f t="shared" si="39"/>
        <v>128480000</v>
      </c>
      <c r="F38" s="36">
        <f t="shared" si="39"/>
        <v>118391000</v>
      </c>
      <c r="G38" s="36">
        <f t="shared" si="39"/>
        <v>159278000</v>
      </c>
      <c r="H38" s="36">
        <f t="shared" si="39"/>
        <v>160190000</v>
      </c>
      <c r="I38" s="36">
        <f t="shared" si="39"/>
        <v>136973000</v>
      </c>
      <c r="J38" s="36">
        <f t="shared" si="39"/>
        <v>136092000</v>
      </c>
      <c r="K38" s="36">
        <f t="shared" si="39"/>
        <v>140977000</v>
      </c>
      <c r="L38" s="36">
        <f t="shared" si="39"/>
        <v>0</v>
      </c>
      <c r="M38" s="36">
        <f t="shared" si="39"/>
        <v>0</v>
      </c>
      <c r="N38" s="36">
        <f t="shared" si="39"/>
        <v>0</v>
      </c>
    </row>
    <row r="39" spans="2:14" ht="25.5">
      <c r="B39" s="39" t="s">
        <v>156</v>
      </c>
      <c r="C39" s="40">
        <f>+C131</f>
        <v>1684000</v>
      </c>
      <c r="D39" s="40">
        <f t="shared" ref="D39:N39" si="40">+D131</f>
        <v>4883000</v>
      </c>
      <c r="E39" s="40">
        <f t="shared" si="40"/>
        <v>7266000</v>
      </c>
      <c r="F39" s="40">
        <f t="shared" si="40"/>
        <v>10323000</v>
      </c>
      <c r="G39" s="40">
        <f t="shared" si="40"/>
        <v>21913000</v>
      </c>
      <c r="H39" s="40">
        <f t="shared" si="40"/>
        <v>21517000</v>
      </c>
      <c r="I39" s="40">
        <f t="shared" si="40"/>
        <v>13156000</v>
      </c>
      <c r="J39" s="40">
        <f t="shared" si="40"/>
        <v>11955000</v>
      </c>
      <c r="K39" s="40">
        <f t="shared" si="40"/>
        <v>9672000</v>
      </c>
      <c r="L39" s="40">
        <f t="shared" si="40"/>
        <v>0</v>
      </c>
      <c r="M39" s="40">
        <f t="shared" si="40"/>
        <v>0</v>
      </c>
      <c r="N39" s="40">
        <f t="shared" si="40"/>
        <v>0</v>
      </c>
    </row>
    <row r="40" spans="2:14" ht="25.5">
      <c r="B40" s="35" t="s">
        <v>294</v>
      </c>
      <c r="C40" s="41">
        <f>C39/C38</f>
        <v>1.2668226373080771E-2</v>
      </c>
      <c r="D40" s="41">
        <f t="shared" ref="D40:N40" si="41">D39/D38</f>
        <v>3.3167371945959534E-2</v>
      </c>
      <c r="E40" s="41">
        <f t="shared" si="41"/>
        <v>5.6553549190535492E-2</v>
      </c>
      <c r="F40" s="41">
        <f t="shared" si="41"/>
        <v>8.7194127932021859E-2</v>
      </c>
      <c r="G40" s="41">
        <f t="shared" si="41"/>
        <v>0.13757706651263829</v>
      </c>
      <c r="H40" s="41">
        <f t="shared" si="41"/>
        <v>0.1343217429302703</v>
      </c>
      <c r="I40" s="41">
        <f t="shared" si="41"/>
        <v>9.6048126273061113E-2</v>
      </c>
      <c r="J40" s="41">
        <f t="shared" si="41"/>
        <v>8.784498721453135E-2</v>
      </c>
      <c r="K40" s="41">
        <f t="shared" si="41"/>
        <v>6.8606935883158249E-2</v>
      </c>
      <c r="L40" s="41" t="e">
        <f t="shared" si="41"/>
        <v>#DIV/0!</v>
      </c>
      <c r="M40" s="41" t="e">
        <f t="shared" si="41"/>
        <v>#DIV/0!</v>
      </c>
      <c r="N40" s="41" t="e">
        <f t="shared" si="41"/>
        <v>#DIV/0!</v>
      </c>
    </row>
    <row r="41" spans="2:14" ht="25.5">
      <c r="B41" s="43" t="s">
        <v>295</v>
      </c>
      <c r="C41" s="44">
        <f>+C138</f>
        <v>-205000</v>
      </c>
      <c r="D41" s="44">
        <f t="shared" ref="D41:N41" si="42">+D138</f>
        <v>3196000</v>
      </c>
      <c r="E41" s="44">
        <f t="shared" si="42"/>
        <v>4828000</v>
      </c>
      <c r="F41" s="44">
        <f t="shared" si="42"/>
        <v>7515000</v>
      </c>
      <c r="G41" s="44">
        <f t="shared" si="42"/>
        <v>15112000</v>
      </c>
      <c r="H41" s="44">
        <f t="shared" si="42"/>
        <v>14120000</v>
      </c>
      <c r="I41" s="44">
        <f t="shared" si="42"/>
        <v>9749000</v>
      </c>
      <c r="J41" s="44">
        <f t="shared" si="42"/>
        <v>8799000</v>
      </c>
      <c r="K41" s="44">
        <f t="shared" si="42"/>
        <v>7677000</v>
      </c>
      <c r="L41" s="44">
        <f t="shared" si="42"/>
        <v>0</v>
      </c>
      <c r="M41" s="44">
        <f t="shared" si="42"/>
        <v>0</v>
      </c>
      <c r="N41" s="44">
        <f t="shared" si="42"/>
        <v>0</v>
      </c>
    </row>
    <row r="42" spans="2:14" ht="25.5">
      <c r="B42" s="30" t="s">
        <v>296</v>
      </c>
      <c r="C42" s="45">
        <f>C41/C38</f>
        <v>-1.5421534480294288E-3</v>
      </c>
      <c r="D42" s="45">
        <f t="shared" ref="D42:N42" si="43">D41/D38</f>
        <v>2.170856455852686E-2</v>
      </c>
      <c r="E42" s="45">
        <f t="shared" si="43"/>
        <v>3.757783312577833E-2</v>
      </c>
      <c r="F42" s="45">
        <f t="shared" si="43"/>
        <v>6.3476108825839803E-2</v>
      </c>
      <c r="G42" s="45">
        <f t="shared" si="43"/>
        <v>9.487813759590151E-2</v>
      </c>
      <c r="H42" s="45">
        <f t="shared" si="43"/>
        <v>8.8145327423684375E-2</v>
      </c>
      <c r="I42" s="45">
        <f t="shared" si="43"/>
        <v>7.1174611054733411E-2</v>
      </c>
      <c r="J42" s="45">
        <f t="shared" si="43"/>
        <v>6.4654792346353934E-2</v>
      </c>
      <c r="K42" s="45">
        <f t="shared" si="43"/>
        <v>5.4455691353908792E-2</v>
      </c>
      <c r="L42" s="45" t="e">
        <f t="shared" si="43"/>
        <v>#DIV/0!</v>
      </c>
      <c r="M42" s="45" t="e">
        <f t="shared" si="43"/>
        <v>#DIV/0!</v>
      </c>
      <c r="N42" s="45" t="e">
        <f t="shared" si="43"/>
        <v>#DIV/0!</v>
      </c>
    </row>
    <row r="43" spans="2:14" ht="25.5">
      <c r="B43" s="46" t="s">
        <v>836</v>
      </c>
      <c r="C43" s="116">
        <f>+C139</f>
        <v>7.2599999999999997E-4</v>
      </c>
      <c r="D43" s="116">
        <f t="shared" ref="D43:N43" si="44">+D139</f>
        <v>1.2917E-2</v>
      </c>
      <c r="E43" s="116">
        <f t="shared" si="44"/>
        <v>1.8662999999999999E-2</v>
      </c>
      <c r="F43" s="116">
        <f t="shared" si="44"/>
        <v>2.7782999999999999E-2</v>
      </c>
      <c r="G43" s="116">
        <f t="shared" si="44"/>
        <v>5.5329000000000003E-2</v>
      </c>
      <c r="H43" s="116">
        <f t="shared" si="44"/>
        <v>5.1889999999999999E-2</v>
      </c>
      <c r="I43" s="116">
        <f t="shared" si="44"/>
        <v>3.5826999999999998E-2</v>
      </c>
      <c r="J43" s="116">
        <f t="shared" si="44"/>
        <v>3.2335000000000003E-2</v>
      </c>
      <c r="K43" s="116">
        <f t="shared" si="44"/>
        <v>2.8209999999999999E-2</v>
      </c>
      <c r="L43" s="116">
        <f t="shared" si="44"/>
        <v>0</v>
      </c>
      <c r="M43" s="116">
        <f t="shared" si="44"/>
        <v>0</v>
      </c>
      <c r="N43" s="116">
        <f t="shared" si="44"/>
        <v>0</v>
      </c>
    </row>
    <row r="44" spans="2:14" ht="25.5">
      <c r="B44" s="46" t="s">
        <v>159</v>
      </c>
      <c r="C44" s="167">
        <f t="shared" ref="C44" si="45">+C43*C45</f>
        <v>0.44664972000000003</v>
      </c>
      <c r="D44" s="167">
        <f t="shared" ref="D44:N44" si="46">+D43*D45</f>
        <v>8.9862277300000013</v>
      </c>
      <c r="E44" s="167">
        <f t="shared" si="46"/>
        <v>13.89684306</v>
      </c>
      <c r="F44" s="167">
        <f t="shared" si="46"/>
        <v>19.760380919999999</v>
      </c>
      <c r="G44" s="167">
        <f t="shared" si="46"/>
        <v>47.043482250000004</v>
      </c>
      <c r="H44" s="167">
        <f t="shared" si="46"/>
        <v>44.599973899999995</v>
      </c>
      <c r="I44" s="167">
        <f t="shared" si="46"/>
        <v>31.69220593</v>
      </c>
      <c r="J44" s="167">
        <f>+J43*J45</f>
        <v>32.0802002</v>
      </c>
      <c r="K44" s="167">
        <f>+K43*K45</f>
        <v>25.704387799999999</v>
      </c>
      <c r="L44" s="167">
        <f t="shared" si="46"/>
        <v>0</v>
      </c>
      <c r="M44" s="167">
        <f t="shared" si="46"/>
        <v>0</v>
      </c>
      <c r="N44" s="167">
        <f t="shared" si="46"/>
        <v>0</v>
      </c>
    </row>
    <row r="45" spans="2:14" ht="25.5">
      <c r="B45" s="79" t="s">
        <v>600</v>
      </c>
      <c r="C45" s="79">
        <v>615.22</v>
      </c>
      <c r="D45" s="173">
        <v>695.69</v>
      </c>
      <c r="E45" s="173">
        <v>744.62</v>
      </c>
      <c r="F45" s="173">
        <v>711.24</v>
      </c>
      <c r="G45" s="173">
        <v>850.25</v>
      </c>
      <c r="H45" s="173">
        <v>859.51</v>
      </c>
      <c r="I45" s="173">
        <v>884.59</v>
      </c>
      <c r="J45" s="173">
        <v>992.12</v>
      </c>
      <c r="K45" s="173">
        <v>911.18</v>
      </c>
      <c r="L45" s="173"/>
      <c r="M45" s="173"/>
      <c r="N45" s="173"/>
    </row>
    <row r="46" spans="2:14" ht="25.5">
      <c r="B46" s="48" t="s">
        <v>160</v>
      </c>
      <c r="C46" s="49">
        <f t="shared" ref="C46:N46" si="47">C41/C16</f>
        <v>-1.6485990928684015E-3</v>
      </c>
      <c r="D46" s="49">
        <f t="shared" si="47"/>
        <v>3.0347342233701124E-2</v>
      </c>
      <c r="E46" s="49">
        <f t="shared" si="47"/>
        <v>5.0529576757231964E-2</v>
      </c>
      <c r="F46" s="49">
        <f t="shared" si="47"/>
        <v>9.375E-2</v>
      </c>
      <c r="G46" s="49">
        <f t="shared" si="47"/>
        <v>0.22695120669199695</v>
      </c>
      <c r="H46" s="49">
        <f t="shared" si="47"/>
        <v>0.21243624655844254</v>
      </c>
      <c r="I46" s="49">
        <f t="shared" si="47"/>
        <v>0.14638577735067118</v>
      </c>
      <c r="J46" s="49">
        <f t="shared" si="47"/>
        <v>0.13110919060674692</v>
      </c>
      <c r="K46" s="49">
        <f t="shared" si="47"/>
        <v>0.11499228591542966</v>
      </c>
      <c r="L46" s="49" t="e">
        <f t="shared" si="47"/>
        <v>#DIV/0!</v>
      </c>
      <c r="M46" s="49" t="e">
        <f t="shared" si="47"/>
        <v>#DIV/0!</v>
      </c>
      <c r="N46" s="49" t="e">
        <f t="shared" si="47"/>
        <v>#DIV/0!</v>
      </c>
    </row>
    <row r="47" spans="2:14" ht="25.5">
      <c r="B47" s="48" t="s">
        <v>382</v>
      </c>
      <c r="C47" s="49">
        <f>AVERAGE(G46:I46)</f>
        <v>0.19525774353370354</v>
      </c>
      <c r="D47" s="49"/>
      <c r="E47" s="49"/>
      <c r="F47" s="49"/>
      <c r="G47" s="49"/>
      <c r="H47" s="49"/>
      <c r="I47" s="49"/>
      <c r="J47" s="49"/>
      <c r="K47" s="49"/>
      <c r="L47" s="49"/>
      <c r="M47" s="49"/>
      <c r="N47" s="49"/>
    </row>
    <row r="48" spans="2:14" ht="25.5">
      <c r="B48" s="48" t="s">
        <v>298</v>
      </c>
      <c r="C48" s="50">
        <f>+C151</f>
        <v>15423000</v>
      </c>
      <c r="D48" s="50">
        <f t="shared" ref="D48:I48" si="48">+D151</f>
        <v>20449000</v>
      </c>
      <c r="E48" s="50">
        <f t="shared" si="48"/>
        <v>21540000</v>
      </c>
      <c r="F48" s="50">
        <f t="shared" si="48"/>
        <v>30304000</v>
      </c>
      <c r="G48" s="50">
        <f t="shared" si="48"/>
        <v>15548000</v>
      </c>
      <c r="H48" s="50">
        <f t="shared" si="48"/>
        <v>-5600000</v>
      </c>
      <c r="I48" s="50">
        <f t="shared" si="48"/>
        <v>16240000</v>
      </c>
      <c r="J48" s="50">
        <f t="shared" ref="J48:N48" si="49">+J151</f>
        <v>10644000</v>
      </c>
      <c r="K48" s="50">
        <f>+K151</f>
        <v>-9078000</v>
      </c>
      <c r="L48" s="50">
        <f t="shared" si="49"/>
        <v>0</v>
      </c>
      <c r="M48" s="50">
        <f t="shared" si="49"/>
        <v>0</v>
      </c>
      <c r="N48" s="50">
        <f t="shared" si="49"/>
        <v>0</v>
      </c>
    </row>
    <row r="49" spans="2:14" s="718" customFormat="1" ht="25.5">
      <c r="B49" s="1287"/>
      <c r="C49" s="1288"/>
      <c r="D49" s="1288"/>
      <c r="E49" s="1288"/>
      <c r="F49" s="1288"/>
      <c r="G49" s="1288"/>
      <c r="H49" s="1288"/>
      <c r="I49" s="1288"/>
      <c r="J49" s="1288"/>
      <c r="K49" s="1288"/>
      <c r="L49" s="1288"/>
      <c r="M49" s="1288"/>
      <c r="N49" s="1288"/>
    </row>
    <row r="50" spans="2:14" ht="25.5">
      <c r="B50" s="51" t="s">
        <v>837</v>
      </c>
      <c r="C50" s="51">
        <f t="shared" ref="C50:N50" si="50">SUM(C52:C55)</f>
        <v>2.2200000000000001E-2</v>
      </c>
      <c r="D50" s="51">
        <f t="shared" si="50"/>
        <v>7.4039999999999995E-2</v>
      </c>
      <c r="E50" s="51">
        <f t="shared" si="50"/>
        <v>4.6439999999999995E-2</v>
      </c>
      <c r="F50" s="51">
        <f t="shared" si="50"/>
        <v>7.3779999999999998E-2</v>
      </c>
      <c r="G50" s="51">
        <f t="shared" si="50"/>
        <v>8.2900000000000001E-2</v>
      </c>
      <c r="H50" s="51">
        <f t="shared" si="50"/>
        <v>5.5329999999999997E-2</v>
      </c>
      <c r="I50" s="51">
        <f t="shared" si="50"/>
        <v>5.1889999999999999E-2</v>
      </c>
      <c r="J50" s="51">
        <f t="shared" si="50"/>
        <v>3.5830000000000001E-2</v>
      </c>
      <c r="K50" s="51">
        <f t="shared" si="50"/>
        <v>3.2329999999999998E-2</v>
      </c>
      <c r="L50" s="51">
        <f t="shared" si="50"/>
        <v>0</v>
      </c>
      <c r="M50" s="51">
        <f t="shared" si="50"/>
        <v>0</v>
      </c>
      <c r="N50" s="51">
        <f t="shared" si="50"/>
        <v>0</v>
      </c>
    </row>
    <row r="51" spans="2:14" ht="25.5">
      <c r="B51" s="51" t="s">
        <v>838</v>
      </c>
      <c r="C51" s="51">
        <f t="shared" ref="C51:L51" si="51">+C52+C53+C54</f>
        <v>2.2200000000000001E-2</v>
      </c>
      <c r="D51" s="51">
        <f t="shared" si="51"/>
        <v>5.4000000000000001E-4</v>
      </c>
      <c r="E51" s="51">
        <f t="shared" si="51"/>
        <v>9.6900000000000007E-3</v>
      </c>
      <c r="F51" s="51">
        <f t="shared" si="51"/>
        <v>1.866E-2</v>
      </c>
      <c r="G51" s="51">
        <f t="shared" si="51"/>
        <v>2.7779999999999999E-2</v>
      </c>
      <c r="H51" s="51">
        <f t="shared" si="51"/>
        <v>5.5329999999999997E-2</v>
      </c>
      <c r="I51" s="51">
        <f t="shared" si="51"/>
        <v>5.1889999999999999E-2</v>
      </c>
      <c r="J51" s="51">
        <f t="shared" si="51"/>
        <v>3.5830000000000001E-2</v>
      </c>
      <c r="K51" s="51">
        <f t="shared" si="51"/>
        <v>3.2329999999999998E-2</v>
      </c>
      <c r="L51" s="51">
        <f t="shared" si="51"/>
        <v>0</v>
      </c>
      <c r="M51" s="51">
        <f>+M52+M53</f>
        <v>0</v>
      </c>
      <c r="N51" s="51">
        <f>+N52+N53</f>
        <v>0</v>
      </c>
    </row>
    <row r="52" spans="2:14" ht="21">
      <c r="B52" s="1290" t="s">
        <v>839</v>
      </c>
      <c r="C52" s="1291">
        <v>2.2200000000000001E-2</v>
      </c>
      <c r="D52" s="1291">
        <v>5.4000000000000001E-4</v>
      </c>
      <c r="E52" s="1291">
        <v>9.6900000000000007E-3</v>
      </c>
      <c r="F52" s="1291">
        <v>1.866E-2</v>
      </c>
      <c r="G52" s="1291">
        <v>2.7779999999999999E-2</v>
      </c>
      <c r="H52" s="1291">
        <v>5.5329999999999997E-2</v>
      </c>
      <c r="I52" s="1291">
        <v>5.1889999999999999E-2</v>
      </c>
      <c r="J52" s="1291">
        <v>1.0749999999999999E-2</v>
      </c>
      <c r="K52" s="1291">
        <v>3.2329999999999998E-2</v>
      </c>
      <c r="L52" s="1291"/>
      <c r="M52" s="1291"/>
      <c r="N52" s="1291"/>
    </row>
    <row r="53" spans="2:14" ht="21">
      <c r="B53" s="1290" t="s">
        <v>840</v>
      </c>
      <c r="C53" s="1291"/>
      <c r="D53" s="1291"/>
      <c r="E53" s="1291"/>
      <c r="F53" s="1291"/>
      <c r="G53" s="1291"/>
      <c r="H53" s="1291"/>
      <c r="I53" s="1291"/>
      <c r="J53" s="1291"/>
      <c r="K53" s="1291"/>
      <c r="L53" s="1291"/>
      <c r="M53" s="1291"/>
      <c r="N53" s="1291"/>
    </row>
    <row r="54" spans="2:14" ht="21">
      <c r="B54" s="1290" t="s">
        <v>841</v>
      </c>
      <c r="C54" s="1291"/>
      <c r="D54" s="1291"/>
      <c r="E54" s="1291"/>
      <c r="F54" s="1291"/>
      <c r="G54" s="1291"/>
      <c r="H54" s="1291"/>
      <c r="I54" s="1291"/>
      <c r="J54" s="1291">
        <v>2.5080000000000002E-2</v>
      </c>
      <c r="K54" s="1291"/>
      <c r="L54" s="1291"/>
      <c r="M54" s="1291"/>
      <c r="N54" s="1291"/>
    </row>
    <row r="55" spans="2:14" ht="21">
      <c r="B55" s="1290" t="s">
        <v>842</v>
      </c>
      <c r="C55" s="1291"/>
      <c r="D55" s="1291">
        <v>7.3499999999999996E-2</v>
      </c>
      <c r="E55" s="1291">
        <v>3.6749999999999998E-2</v>
      </c>
      <c r="F55" s="1291">
        <f>0.01837+0.03675</f>
        <v>5.5120000000000002E-2</v>
      </c>
      <c r="G55" s="1291">
        <f>0.01837+0.03675</f>
        <v>5.5120000000000002E-2</v>
      </c>
      <c r="H55" s="1291"/>
      <c r="I55" s="1291"/>
      <c r="J55" s="1291"/>
      <c r="K55" s="1291"/>
      <c r="L55" s="1291"/>
      <c r="M55" s="1291"/>
      <c r="N55" s="1291"/>
    </row>
    <row r="56" spans="2:14" ht="26.25">
      <c r="B56" s="51" t="s">
        <v>843</v>
      </c>
      <c r="C56" s="51">
        <f>SUM(C58:C61)</f>
        <v>7.4039999999999995E-2</v>
      </c>
      <c r="D56" s="51">
        <f>SUM(D58:D61)</f>
        <v>4.6439999999999995E-2</v>
      </c>
      <c r="E56" s="51">
        <f>SUM(E58:E61)</f>
        <v>3.703E-2</v>
      </c>
      <c r="F56" s="51">
        <f>SUM(F58:F61)</f>
        <v>8.2900000000000001E-2</v>
      </c>
      <c r="G56" s="51">
        <f>SUM(G58:G61)</f>
        <v>9.2079999999999995E-2</v>
      </c>
      <c r="H56" s="51">
        <f>SUM(H58:H61)</f>
        <v>5.1889999999999999E-2</v>
      </c>
      <c r="I56" s="51">
        <f>SUM(I58:I61)</f>
        <v>3.5830000000000001E-2</v>
      </c>
      <c r="J56" s="51">
        <f>SUM(J58:J61)</f>
        <v>3.2329999999999998E-2</v>
      </c>
      <c r="K56" s="51"/>
      <c r="L56" s="51"/>
      <c r="M56" s="51"/>
      <c r="N56" s="51"/>
    </row>
    <row r="57" spans="2:14" ht="26.25">
      <c r="B57" s="51" t="s">
        <v>844</v>
      </c>
      <c r="C57" s="51">
        <f>+C58+C59+C60</f>
        <v>5.4000000000000001E-4</v>
      </c>
      <c r="D57" s="51">
        <f>+D58+D59+D60</f>
        <v>9.6900000000000007E-3</v>
      </c>
      <c r="E57" s="51">
        <f>+E58+E59+E60</f>
        <v>1.866E-2</v>
      </c>
      <c r="F57" s="51">
        <f>+F58+F59+F60</f>
        <v>2.7779999999999999E-2</v>
      </c>
      <c r="G57" s="51">
        <f>+G58+G59+G60</f>
        <v>5.5329999999999997E-2</v>
      </c>
      <c r="H57" s="51">
        <f>+H58+H59+H60</f>
        <v>5.1889999999999999E-2</v>
      </c>
      <c r="I57" s="51">
        <f>+I58+I59+I60</f>
        <v>3.5830000000000001E-2</v>
      </c>
      <c r="J57" s="51">
        <f>+J58+J59+J60</f>
        <v>3.2329999999999998E-2</v>
      </c>
      <c r="K57" s="51"/>
      <c r="L57" s="51"/>
      <c r="M57" s="51"/>
      <c r="N57" s="51"/>
    </row>
    <row r="58" spans="2:14" ht="21">
      <c r="B58" s="1290" t="s">
        <v>845</v>
      </c>
      <c r="C58" s="1291">
        <v>5.4000000000000001E-4</v>
      </c>
      <c r="D58" s="1291">
        <v>9.6900000000000007E-3</v>
      </c>
      <c r="E58" s="1291">
        <v>1.866E-2</v>
      </c>
      <c r="F58" s="1291">
        <v>2.7779999999999999E-2</v>
      </c>
      <c r="G58" s="1291">
        <v>5.5329999999999997E-2</v>
      </c>
      <c r="H58" s="1291">
        <v>5.1889999999999999E-2</v>
      </c>
      <c r="I58" s="1291">
        <v>1.0749999999999999E-2</v>
      </c>
      <c r="J58" s="1291">
        <v>3.2329999999999998E-2</v>
      </c>
      <c r="K58" s="1291"/>
      <c r="L58" s="1291"/>
      <c r="M58" s="1291"/>
      <c r="N58" s="1291"/>
    </row>
    <row r="59" spans="2:14" ht="21">
      <c r="B59" s="1290" t="s">
        <v>846</v>
      </c>
      <c r="C59" s="1291"/>
      <c r="D59" s="1291"/>
      <c r="E59" s="1291"/>
      <c r="F59" s="1291"/>
      <c r="G59" s="1291"/>
      <c r="H59" s="1291"/>
      <c r="I59" s="1291"/>
      <c r="J59" s="1291"/>
      <c r="K59" s="1291"/>
      <c r="L59" s="1291"/>
      <c r="M59" s="1291"/>
      <c r="N59" s="1291"/>
    </row>
    <row r="60" spans="2:14" ht="21">
      <c r="B60" s="1290" t="s">
        <v>847</v>
      </c>
      <c r="C60" s="1291"/>
      <c r="D60" s="1291"/>
      <c r="E60" s="1291"/>
      <c r="F60" s="1291"/>
      <c r="G60" s="1291"/>
      <c r="H60" s="1291"/>
      <c r="I60" s="1291">
        <v>2.5080000000000002E-2</v>
      </c>
      <c r="J60" s="1291"/>
      <c r="K60" s="1291"/>
      <c r="L60" s="1291"/>
      <c r="M60" s="1291"/>
      <c r="N60" s="1291"/>
    </row>
    <row r="61" spans="2:14" ht="21">
      <c r="B61" s="1290" t="s">
        <v>848</v>
      </c>
      <c r="C61" s="1291">
        <v>7.3499999999999996E-2</v>
      </c>
      <c r="D61" s="1291">
        <v>3.6749999999999998E-2</v>
      </c>
      <c r="E61" s="1291">
        <v>1.8370000000000001E-2</v>
      </c>
      <c r="F61" s="1291">
        <f>0.03675+0.01837</f>
        <v>5.5120000000000002E-2</v>
      </c>
      <c r="G61" s="1291">
        <f>0.03675</f>
        <v>3.6749999999999998E-2</v>
      </c>
      <c r="H61" s="1291"/>
      <c r="I61" s="1291"/>
      <c r="J61" s="1291"/>
      <c r="K61" s="1291"/>
      <c r="L61" s="1291"/>
      <c r="M61" s="1291"/>
      <c r="N61" s="1291"/>
    </row>
    <row r="62" spans="2:14" ht="25.5">
      <c r="B62" s="51" t="s">
        <v>111</v>
      </c>
      <c r="C62" s="51">
        <f>SUM(C64:C67)</f>
        <v>14.747016</v>
      </c>
      <c r="D62" s="51">
        <f>SUM(D64:D67)</f>
        <v>44.657966399999999</v>
      </c>
      <c r="E62" s="51">
        <f t="shared" ref="E62:F62" si="52">SUM(E64:E67)</f>
        <v>30.831980399999999</v>
      </c>
      <c r="F62" s="51">
        <f t="shared" si="52"/>
        <v>58.844312799999997</v>
      </c>
      <c r="G62" s="51">
        <f t="shared" ref="G62:N62" si="53">SUM(G64:G67)</f>
        <v>63.093828500000001</v>
      </c>
      <c r="H62" s="51">
        <f>SUM(H64:H67)</f>
        <v>46.170118500000001</v>
      </c>
      <c r="I62" s="51">
        <f t="shared" si="53"/>
        <v>41.276419400000002</v>
      </c>
      <c r="J62" s="51">
        <f>SUM(J64:J67)</f>
        <v>33.327991099999998</v>
      </c>
      <c r="K62" s="51">
        <f t="shared" si="53"/>
        <v>30.396019399999997</v>
      </c>
      <c r="L62" s="51">
        <f t="shared" si="53"/>
        <v>0</v>
      </c>
      <c r="M62" s="51">
        <f t="shared" si="53"/>
        <v>0</v>
      </c>
      <c r="N62" s="51">
        <f t="shared" si="53"/>
        <v>0</v>
      </c>
    </row>
    <row r="63" spans="2:14" ht="25.5">
      <c r="B63" s="51" t="s">
        <v>112</v>
      </c>
      <c r="C63" s="51">
        <f t="shared" ref="C63:L63" si="54">+C64+C65+C66</f>
        <v>14.747016</v>
      </c>
      <c r="D63" s="51">
        <f t="shared" si="54"/>
        <v>0.32570640000000001</v>
      </c>
      <c r="E63" s="51">
        <f t="shared" si="54"/>
        <v>6.4332878999999998</v>
      </c>
      <c r="F63" s="51">
        <f t="shared" si="54"/>
        <v>15.9824766</v>
      </c>
      <c r="G63" s="51">
        <f t="shared" si="54"/>
        <v>19.367938200000001</v>
      </c>
      <c r="H63" s="51">
        <f t="shared" si="54"/>
        <v>46.170118500000001</v>
      </c>
      <c r="I63" s="51">
        <f t="shared" si="54"/>
        <v>41.276419400000002</v>
      </c>
      <c r="J63" s="51">
        <f t="shared" si="54"/>
        <v>33.327991099999998</v>
      </c>
      <c r="K63" s="51">
        <f t="shared" si="54"/>
        <v>30.396019399999997</v>
      </c>
      <c r="L63" s="51">
        <f t="shared" si="54"/>
        <v>0</v>
      </c>
      <c r="M63" s="51">
        <f t="shared" ref="M63:N63" si="55">+M64+M65</f>
        <v>0</v>
      </c>
      <c r="N63" s="51">
        <f t="shared" si="55"/>
        <v>0</v>
      </c>
    </row>
    <row r="64" spans="2:14" ht="21">
      <c r="B64" s="135" t="s">
        <v>114</v>
      </c>
      <c r="C64" s="325">
        <f>C52*664.28</f>
        <v>14.747016</v>
      </c>
      <c r="D64" s="325">
        <f>D52*603.16</f>
        <v>0.32570640000000001</v>
      </c>
      <c r="E64" s="325">
        <f>E52*663.91</f>
        <v>6.4332878999999998</v>
      </c>
      <c r="F64" s="325">
        <f>F52*856.51</f>
        <v>15.9824766</v>
      </c>
      <c r="G64" s="325">
        <f>G52*697.19</f>
        <v>19.367938200000001</v>
      </c>
      <c r="H64" s="325">
        <f>H52*834.45</f>
        <v>46.170118500000001</v>
      </c>
      <c r="I64" s="325">
        <f>+I52*795.46</f>
        <v>41.276419400000002</v>
      </c>
      <c r="J64" s="325">
        <f>J52*930.17</f>
        <v>9.9993274999999979</v>
      </c>
      <c r="K64" s="325">
        <f>K52*940.18</f>
        <v>30.396019399999997</v>
      </c>
      <c r="L64" s="325"/>
      <c r="M64" s="325"/>
      <c r="N64" s="325"/>
    </row>
    <row r="65" spans="2:16" ht="21">
      <c r="B65" s="135" t="s">
        <v>115</v>
      </c>
      <c r="C65" s="325"/>
      <c r="D65" s="325"/>
      <c r="E65" s="325"/>
      <c r="F65" s="325"/>
      <c r="G65" s="325"/>
      <c r="H65" s="325"/>
      <c r="I65" s="325"/>
      <c r="J65" s="325"/>
      <c r="K65" s="325"/>
      <c r="L65" s="325"/>
      <c r="M65" s="325"/>
      <c r="N65" s="325"/>
    </row>
    <row r="66" spans="2:16" ht="21">
      <c r="B66" s="135" t="s">
        <v>116</v>
      </c>
      <c r="C66" s="325"/>
      <c r="D66" s="325"/>
      <c r="E66" s="325"/>
      <c r="F66" s="325"/>
      <c r="G66" s="325"/>
      <c r="H66" s="325"/>
      <c r="I66" s="325"/>
      <c r="J66" s="325">
        <f>J54*930.17</f>
        <v>23.328663599999999</v>
      </c>
      <c r="K66" s="325"/>
      <c r="L66" s="325"/>
      <c r="M66" s="325"/>
      <c r="N66" s="325"/>
    </row>
    <row r="67" spans="2:16" ht="21">
      <c r="B67" s="135" t="s">
        <v>117</v>
      </c>
      <c r="C67" s="325"/>
      <c r="D67" s="325">
        <f>D55*603.16</f>
        <v>44.332259999999998</v>
      </c>
      <c r="E67" s="325">
        <f>E55*663.91</f>
        <v>24.398692499999999</v>
      </c>
      <c r="F67" s="325">
        <f>0.01837*856.51+0.03675*738.17</f>
        <v>42.861836199999999</v>
      </c>
      <c r="G67" s="325">
        <f>0.01837*697.19+0.03675*841.32</f>
        <v>43.725890300000003</v>
      </c>
      <c r="H67" s="325"/>
      <c r="I67" s="325"/>
      <c r="J67" s="325"/>
      <c r="K67" s="325"/>
      <c r="L67" s="325"/>
      <c r="M67" s="325"/>
      <c r="N67" s="325"/>
    </row>
    <row r="68" spans="2:16" ht="25.5">
      <c r="B68" s="51" t="s">
        <v>119</v>
      </c>
      <c r="C68" s="51">
        <f>SUM(C70:C73)</f>
        <v>44.657966399999999</v>
      </c>
      <c r="D68" s="51">
        <f t="shared" ref="D68:J68" si="56">SUM(D70:D73)</f>
        <v>30.831980399999999</v>
      </c>
      <c r="E68" s="51">
        <f t="shared" si="56"/>
        <v>31.716565299999999</v>
      </c>
      <c r="F68" s="51">
        <f t="shared" si="56"/>
        <v>59.303066000000001</v>
      </c>
      <c r="G68" s="51">
        <f t="shared" si="56"/>
        <v>77.088628499999999</v>
      </c>
      <c r="H68" s="51">
        <f t="shared" si="56"/>
        <v>41.276419400000002</v>
      </c>
      <c r="I68" s="51">
        <f t="shared" si="56"/>
        <v>33.327991099999998</v>
      </c>
      <c r="J68" s="51">
        <f t="shared" si="56"/>
        <v>30.396019399999997</v>
      </c>
      <c r="K68" s="51">
        <f>SUM(K70:K73)</f>
        <v>0</v>
      </c>
      <c r="L68" s="51"/>
      <c r="M68" s="51"/>
      <c r="N68" s="51"/>
    </row>
    <row r="69" spans="2:16" ht="25.5">
      <c r="B69" s="51" t="s">
        <v>120</v>
      </c>
      <c r="C69" s="51">
        <f t="shared" ref="C69:K69" si="57">+C70+C71+C72</f>
        <v>0.32570640000000001</v>
      </c>
      <c r="D69" s="51">
        <f t="shared" si="57"/>
        <v>6.4332878999999998</v>
      </c>
      <c r="E69" s="51">
        <f t="shared" si="57"/>
        <v>15.9824766</v>
      </c>
      <c r="F69" s="51">
        <f t="shared" si="57"/>
        <v>19.367938200000001</v>
      </c>
      <c r="G69" s="51">
        <f t="shared" si="57"/>
        <v>46.170118500000001</v>
      </c>
      <c r="H69" s="51">
        <f t="shared" si="57"/>
        <v>41.276419400000002</v>
      </c>
      <c r="I69" s="51">
        <f t="shared" si="57"/>
        <v>33.327991099999998</v>
      </c>
      <c r="J69" s="51">
        <f t="shared" si="57"/>
        <v>30.396019399999997</v>
      </c>
      <c r="K69" s="51">
        <f t="shared" si="57"/>
        <v>0</v>
      </c>
      <c r="L69" s="51"/>
      <c r="M69" s="51"/>
      <c r="N69" s="51"/>
    </row>
    <row r="70" spans="2:16" ht="21">
      <c r="B70" s="135" t="s">
        <v>121</v>
      </c>
      <c r="C70" s="325">
        <f>C58*603.16</f>
        <v>0.32570640000000001</v>
      </c>
      <c r="D70" s="325">
        <f>D58*663.91</f>
        <v>6.4332878999999998</v>
      </c>
      <c r="E70" s="325">
        <f>E58*856.51</f>
        <v>15.9824766</v>
      </c>
      <c r="F70" s="325">
        <f>F58*697.19</f>
        <v>19.367938200000001</v>
      </c>
      <c r="G70" s="325">
        <f>+G58*834.45</f>
        <v>46.170118500000001</v>
      </c>
      <c r="H70" s="325">
        <f>+H58*795.46</f>
        <v>41.276419400000002</v>
      </c>
      <c r="I70" s="325">
        <f>I58*930.17</f>
        <v>9.9993274999999979</v>
      </c>
      <c r="J70" s="325">
        <f>J58*940.18</f>
        <v>30.396019399999997</v>
      </c>
      <c r="K70" s="325"/>
      <c r="L70" s="325"/>
      <c r="M70" s="325"/>
      <c r="N70" s="325"/>
    </row>
    <row r="71" spans="2:16" ht="21">
      <c r="B71" s="135" t="s">
        <v>122</v>
      </c>
      <c r="C71" s="325"/>
      <c r="D71" s="325"/>
      <c r="E71" s="325"/>
      <c r="F71" s="325"/>
      <c r="G71" s="325"/>
      <c r="H71" s="325"/>
      <c r="I71" s="325"/>
      <c r="J71" s="325"/>
      <c r="K71" s="325"/>
      <c r="L71" s="325"/>
      <c r="M71" s="325"/>
      <c r="N71" s="325"/>
    </row>
    <row r="72" spans="2:16" ht="21">
      <c r="B72" s="135" t="s">
        <v>123</v>
      </c>
      <c r="C72" s="325"/>
      <c r="D72" s="325"/>
      <c r="E72" s="325"/>
      <c r="F72" s="325"/>
      <c r="G72" s="325"/>
      <c r="H72" s="325"/>
      <c r="I72" s="325">
        <f>I60*930.17</f>
        <v>23.328663599999999</v>
      </c>
      <c r="J72" s="325"/>
      <c r="K72" s="325"/>
      <c r="L72" s="325"/>
      <c r="M72" s="325"/>
      <c r="N72" s="325"/>
    </row>
    <row r="73" spans="2:16" ht="21">
      <c r="B73" s="135" t="s">
        <v>124</v>
      </c>
      <c r="C73" s="325">
        <f>C61*603.16</f>
        <v>44.332259999999998</v>
      </c>
      <c r="D73" s="325">
        <f>D61*663.91</f>
        <v>24.398692499999999</v>
      </c>
      <c r="E73" s="325">
        <f>+E61*856.51</f>
        <v>15.734088700000001</v>
      </c>
      <c r="F73" s="325">
        <f>0.03675*738.17+0.01837*697.19</f>
        <v>39.935127800000004</v>
      </c>
      <c r="G73" s="325">
        <f>+G61*841.32</f>
        <v>30.918510000000001</v>
      </c>
      <c r="H73" s="325"/>
      <c r="I73" s="325"/>
      <c r="J73" s="325"/>
      <c r="K73" s="325"/>
      <c r="L73" s="325"/>
      <c r="M73" s="325"/>
      <c r="N73" s="325"/>
    </row>
    <row r="74" spans="2:16" ht="25.5">
      <c r="B74" s="541" t="s">
        <v>167</v>
      </c>
      <c r="C74" s="99">
        <f>(C59+C60+C58)/C43</f>
        <v>0.74380165289256206</v>
      </c>
      <c r="D74" s="99">
        <f t="shared" ref="D74:J74" si="58">(D59+D60+D58)/D43</f>
        <v>0.75017418905318578</v>
      </c>
      <c r="E74" s="99">
        <f t="shared" si="58"/>
        <v>0.99983925413920594</v>
      </c>
      <c r="F74" s="99">
        <f t="shared" si="58"/>
        <v>0.99989202030018354</v>
      </c>
      <c r="G74" s="99">
        <f t="shared" si="58"/>
        <v>1.0000180737045672</v>
      </c>
      <c r="H74" s="99">
        <f>(H59+H60+H58)/H43</f>
        <v>1</v>
      </c>
      <c r="I74" s="99">
        <f>(I59+I60+I58)/I43</f>
        <v>1.0000837357300361</v>
      </c>
      <c r="J74" s="99">
        <f>(J59+J60+J58)/J43</f>
        <v>0.99984536879542274</v>
      </c>
      <c r="K74" s="99">
        <f>(K59+K60+K58)/K43</f>
        <v>0</v>
      </c>
      <c r="L74" s="99" t="e">
        <f>(L71+L72+M70)/L43</f>
        <v>#DIV/0!</v>
      </c>
      <c r="M74" s="99" t="e">
        <f>(M65+M66+N64)/M44</f>
        <v>#DIV/0!</v>
      </c>
      <c r="N74" s="99" t="e">
        <f>(N65+N66+O64)/N44</f>
        <v>#DIV/0!</v>
      </c>
    </row>
    <row r="75" spans="2:16" ht="28.5">
      <c r="B75" s="540" t="s">
        <v>303</v>
      </c>
      <c r="C75" s="54">
        <f>AVERAGE(G74:I74)</f>
        <v>1.0000339364782012</v>
      </c>
      <c r="D75" s="54"/>
      <c r="E75" s="54"/>
      <c r="F75" s="54"/>
      <c r="G75" s="54"/>
      <c r="H75" s="54"/>
      <c r="I75" s="54"/>
      <c r="J75" s="54"/>
      <c r="K75" s="54"/>
      <c r="L75" s="54"/>
      <c r="M75" s="54"/>
      <c r="N75" s="54"/>
    </row>
    <row r="76" spans="2:16" ht="25.5">
      <c r="B76" s="541" t="s">
        <v>849</v>
      </c>
      <c r="C76" s="99">
        <f>+C63/C22</f>
        <v>6.3564724137931031E-2</v>
      </c>
      <c r="D76" s="99">
        <f t="shared" ref="D76:I76" si="59">+D63/D22</f>
        <v>2.0356649999999999E-3</v>
      </c>
      <c r="E76" s="99">
        <f t="shared" si="59"/>
        <v>4.0208049374999999E-2</v>
      </c>
      <c r="F76" s="99">
        <f>+F63/F22</f>
        <v>7.3992947222222216E-2</v>
      </c>
      <c r="G76" s="99">
        <f t="shared" si="59"/>
        <v>8.7637729411764717E-2</v>
      </c>
      <c r="H76" s="99">
        <f>+H63/H22</f>
        <v>0.13579446617647059</v>
      </c>
      <c r="I76" s="99">
        <f t="shared" si="59"/>
        <v>0.16060863579766538</v>
      </c>
      <c r="J76" s="99">
        <f>+J63/J22</f>
        <v>0.11776675300353356</v>
      </c>
      <c r="K76" s="99">
        <f>+K63/K22</f>
        <v>7.783473163986479E-2</v>
      </c>
      <c r="L76" s="99" t="e">
        <f>+L62/L21</f>
        <v>#DIV/0!</v>
      </c>
      <c r="M76" s="99" t="e">
        <f>+M62/M21</f>
        <v>#DIV/0!</v>
      </c>
      <c r="N76" s="99" t="e">
        <f>+N62/N21</f>
        <v>#DIV/0!</v>
      </c>
    </row>
    <row r="77" spans="2:16" ht="25.5">
      <c r="B77" s="542" t="s">
        <v>384</v>
      </c>
      <c r="C77" s="534">
        <f>AVERAGE(G76:I76)</f>
        <v>0.12801361046196688</v>
      </c>
      <c r="D77" s="534"/>
      <c r="E77" s="534"/>
      <c r="F77" s="534"/>
      <c r="G77" s="534"/>
      <c r="H77" s="534"/>
      <c r="I77" s="534"/>
      <c r="J77" s="534"/>
      <c r="K77" s="534"/>
      <c r="L77" s="534"/>
      <c r="M77" s="534"/>
      <c r="N77" s="534"/>
      <c r="O77" s="534"/>
      <c r="P77" s="534"/>
    </row>
    <row r="78" spans="2:16" ht="25.5">
      <c r="B78" s="543" t="s">
        <v>176</v>
      </c>
      <c r="C78" s="355">
        <f t="shared" ref="C78:N78" si="60">+C46*(100%-C74)</f>
        <v>-4.2236836263570603E-4</v>
      </c>
      <c r="D78" s="355">
        <f t="shared" si="60"/>
        <v>7.581549383614888E-3</v>
      </c>
      <c r="E78" s="355">
        <f t="shared" si="60"/>
        <v>8.1224203114010227E-6</v>
      </c>
      <c r="F78" s="549">
        <f t="shared" si="60"/>
        <v>1.012309685779339E-5</v>
      </c>
      <c r="G78" s="355">
        <f t="shared" si="60"/>
        <v>-4.1018490609183607E-6</v>
      </c>
      <c r="H78" s="355">
        <f t="shared" si="60"/>
        <v>0</v>
      </c>
      <c r="I78" s="355">
        <f t="shared" si="60"/>
        <v>-1.225771993335471E-5</v>
      </c>
      <c r="J78" s="355">
        <f t="shared" si="60"/>
        <v>2.0273572074670886E-5</v>
      </c>
      <c r="K78" s="355">
        <f>+K46*(100%-K74)</f>
        <v>0.11499228591542966</v>
      </c>
      <c r="L78" s="355" t="e">
        <f t="shared" si="60"/>
        <v>#DIV/0!</v>
      </c>
      <c r="M78" s="355" t="e">
        <f t="shared" si="60"/>
        <v>#DIV/0!</v>
      </c>
      <c r="N78" s="355" t="e">
        <f t="shared" si="60"/>
        <v>#DIV/0!</v>
      </c>
    </row>
    <row r="79" spans="2:16" ht="25.5">
      <c r="B79" s="542" t="s">
        <v>306</v>
      </c>
      <c r="C79" s="534">
        <f>AVERAGE(G78:I78)</f>
        <v>-5.4531896647576908E-6</v>
      </c>
      <c r="D79" s="534"/>
      <c r="E79" s="534"/>
      <c r="F79" s="534"/>
      <c r="G79" s="534"/>
      <c r="H79" s="534"/>
      <c r="I79" s="534"/>
      <c r="J79" s="534"/>
      <c r="K79" s="534"/>
      <c r="L79" s="534"/>
      <c r="M79" s="534"/>
      <c r="N79" s="534"/>
      <c r="O79" s="534"/>
    </row>
    <row r="80" spans="2:16" ht="25.5">
      <c r="B80" s="543" t="s">
        <v>300</v>
      </c>
      <c r="C80" s="1283">
        <f ca="1">+B3</f>
        <v>379</v>
      </c>
      <c r="D80" s="534"/>
      <c r="E80" s="534"/>
      <c r="F80" s="534"/>
      <c r="G80" s="534"/>
      <c r="H80" s="534"/>
      <c r="I80" s="534"/>
      <c r="J80" s="534"/>
      <c r="K80" s="534"/>
      <c r="L80" s="534"/>
      <c r="M80" s="534"/>
      <c r="N80" s="534"/>
      <c r="O80" s="534"/>
    </row>
    <row r="82" spans="2:14">
      <c r="B82" s="75" t="s">
        <v>307</v>
      </c>
    </row>
    <row r="83" spans="2:14" ht="14.65" thickBot="1"/>
    <row r="84" spans="2:14" ht="14.65" thickBot="1">
      <c r="B84" s="82" t="s">
        <v>800</v>
      </c>
      <c r="C84" s="88">
        <v>2017</v>
      </c>
      <c r="D84" s="88">
        <v>2018</v>
      </c>
      <c r="E84" s="88">
        <v>2019</v>
      </c>
      <c r="F84" s="88">
        <v>2020</v>
      </c>
      <c r="G84" s="88">
        <v>2021</v>
      </c>
      <c r="H84" s="89">
        <v>2022</v>
      </c>
      <c r="I84" s="88">
        <v>2023</v>
      </c>
      <c r="J84" s="88">
        <v>2024</v>
      </c>
      <c r="K84" s="89">
        <v>2025</v>
      </c>
      <c r="L84" s="88">
        <v>2026</v>
      </c>
      <c r="M84" s="88">
        <v>2027</v>
      </c>
      <c r="N84" s="89">
        <v>2028</v>
      </c>
    </row>
    <row r="85" spans="2:14">
      <c r="B85" s="57" t="s">
        <v>309</v>
      </c>
      <c r="C85" s="62"/>
      <c r="D85" s="62"/>
      <c r="E85" s="62"/>
      <c r="F85" s="62"/>
      <c r="G85" s="62"/>
      <c r="H85" s="63"/>
      <c r="I85" s="62"/>
      <c r="J85" s="62"/>
      <c r="K85" s="62"/>
      <c r="L85" s="62"/>
      <c r="M85" s="62"/>
      <c r="N85" s="62"/>
    </row>
    <row r="86" spans="2:14">
      <c r="B86" s="58" t="s">
        <v>310</v>
      </c>
      <c r="C86" s="64">
        <v>161910000</v>
      </c>
      <c r="D86" s="64">
        <v>134754000</v>
      </c>
      <c r="E86" s="64">
        <v>126059000</v>
      </c>
      <c r="F86" s="64">
        <v>127661000</v>
      </c>
      <c r="G86" s="64">
        <v>122696000</v>
      </c>
      <c r="H86" s="65">
        <v>117176000</v>
      </c>
      <c r="I86" s="64">
        <v>101130000</v>
      </c>
      <c r="J86" s="64">
        <v>102060000</v>
      </c>
      <c r="K86" s="64">
        <v>92850000</v>
      </c>
      <c r="L86" s="64"/>
      <c r="M86" s="64"/>
      <c r="N86" s="64"/>
    </row>
    <row r="87" spans="2:14">
      <c r="B87" s="59" t="s">
        <v>311</v>
      </c>
      <c r="C87" s="66">
        <v>34954000</v>
      </c>
      <c r="D87" s="66">
        <v>34244000</v>
      </c>
      <c r="E87" s="66">
        <v>26381000</v>
      </c>
      <c r="F87" s="66">
        <v>52571000</v>
      </c>
      <c r="G87" s="66">
        <v>41672000</v>
      </c>
      <c r="H87" s="67">
        <v>23169000</v>
      </c>
      <c r="I87" s="66">
        <v>25024000</v>
      </c>
      <c r="J87" s="66">
        <v>25458000</v>
      </c>
      <c r="K87" s="66">
        <v>7991000</v>
      </c>
      <c r="L87" s="66"/>
      <c r="M87" s="66"/>
      <c r="N87" s="66"/>
    </row>
    <row r="88" spans="2:14">
      <c r="B88" s="59" t="s">
        <v>313</v>
      </c>
      <c r="C88" s="68">
        <v>0</v>
      </c>
      <c r="D88" s="66">
        <v>64943000</v>
      </c>
      <c r="E88" s="66">
        <v>53871000</v>
      </c>
      <c r="F88" s="66">
        <v>43955000</v>
      </c>
      <c r="G88" s="66">
        <v>40315000</v>
      </c>
      <c r="H88" s="67">
        <v>48476000</v>
      </c>
      <c r="I88" s="66">
        <v>42558000</v>
      </c>
      <c r="J88" s="66">
        <v>47967000</v>
      </c>
      <c r="K88" s="66">
        <v>50692000</v>
      </c>
      <c r="L88" s="66"/>
      <c r="M88" s="66"/>
      <c r="N88" s="66"/>
    </row>
    <row r="89" spans="2:14">
      <c r="B89" s="59" t="s">
        <v>698</v>
      </c>
      <c r="C89" s="66">
        <v>33542000</v>
      </c>
      <c r="D89" s="66">
        <v>30861000</v>
      </c>
      <c r="E89" s="66">
        <v>25918000</v>
      </c>
      <c r="F89" s="66">
        <v>28844000</v>
      </c>
      <c r="G89" s="66">
        <v>33672000</v>
      </c>
      <c r="H89" s="67">
        <v>44670000</v>
      </c>
      <c r="I89" s="66">
        <v>31715000</v>
      </c>
      <c r="J89" s="66">
        <v>26694000</v>
      </c>
      <c r="K89" s="66">
        <v>33089000</v>
      </c>
      <c r="L89" s="66"/>
      <c r="M89" s="66"/>
      <c r="N89" s="66"/>
    </row>
    <row r="90" spans="2:14">
      <c r="B90" s="59" t="s">
        <v>318</v>
      </c>
      <c r="C90" s="66">
        <f t="shared" ref="C90:K90" si="61">+C86-C87-C88-C89</f>
        <v>93414000</v>
      </c>
      <c r="D90" s="66">
        <f t="shared" si="61"/>
        <v>4706000</v>
      </c>
      <c r="E90" s="66">
        <f t="shared" si="61"/>
        <v>19889000</v>
      </c>
      <c r="F90" s="66">
        <f t="shared" si="61"/>
        <v>2291000</v>
      </c>
      <c r="G90" s="66">
        <f t="shared" si="61"/>
        <v>7037000</v>
      </c>
      <c r="H90" s="67">
        <f t="shared" si="61"/>
        <v>861000</v>
      </c>
      <c r="I90" s="67">
        <f t="shared" si="61"/>
        <v>1833000</v>
      </c>
      <c r="J90" s="67">
        <f t="shared" si="61"/>
        <v>1941000</v>
      </c>
      <c r="K90" s="67">
        <f t="shared" si="61"/>
        <v>1078000</v>
      </c>
      <c r="L90" s="66"/>
      <c r="M90" s="66"/>
      <c r="N90" s="66"/>
    </row>
    <row r="91" spans="2:14">
      <c r="B91" s="58" t="s">
        <v>319</v>
      </c>
      <c r="C91" s="64">
        <v>11411000</v>
      </c>
      <c r="D91" s="64">
        <v>9976000</v>
      </c>
      <c r="E91" s="64">
        <v>11516000</v>
      </c>
      <c r="F91" s="64">
        <v>9058000</v>
      </c>
      <c r="G91" s="69">
        <v>8910000</v>
      </c>
      <c r="H91" s="65">
        <v>7957000</v>
      </c>
      <c r="I91" s="69">
        <v>8646000</v>
      </c>
      <c r="J91" s="69">
        <v>7629000</v>
      </c>
      <c r="K91" s="69">
        <v>7384000</v>
      </c>
      <c r="L91" s="69"/>
      <c r="M91" s="69"/>
      <c r="N91" s="69"/>
    </row>
    <row r="92" spans="2:14">
      <c r="B92" s="59" t="s">
        <v>850</v>
      </c>
      <c r="C92" s="66">
        <v>2170000</v>
      </c>
      <c r="D92" s="66">
        <v>1861000</v>
      </c>
      <c r="E92" s="66">
        <v>1502000</v>
      </c>
      <c r="F92" s="66">
        <v>101000</v>
      </c>
      <c r="G92" s="66">
        <v>63000</v>
      </c>
      <c r="H92" s="67">
        <v>56000</v>
      </c>
      <c r="I92" s="66">
        <v>85000</v>
      </c>
      <c r="J92" s="66">
        <v>74000</v>
      </c>
      <c r="K92" s="66">
        <v>89000</v>
      </c>
      <c r="L92" s="66"/>
      <c r="M92" s="66"/>
      <c r="N92" s="66"/>
    </row>
    <row r="93" spans="2:14">
      <c r="B93" s="59" t="s">
        <v>851</v>
      </c>
      <c r="C93" s="66">
        <v>6793000</v>
      </c>
      <c r="D93" s="66">
        <v>5976000</v>
      </c>
      <c r="E93" s="66">
        <v>3028000</v>
      </c>
      <c r="F93" s="66">
        <v>2744000</v>
      </c>
      <c r="G93" s="66">
        <v>2552000</v>
      </c>
      <c r="H93" s="67">
        <v>2194000</v>
      </c>
      <c r="I93" s="66">
        <v>2938000</v>
      </c>
      <c r="J93" s="66">
        <v>3417000</v>
      </c>
      <c r="K93" s="66">
        <v>3533000</v>
      </c>
      <c r="L93" s="66"/>
      <c r="M93" s="66"/>
      <c r="N93" s="66"/>
    </row>
    <row r="94" spans="2:14">
      <c r="B94" s="59" t="s">
        <v>400</v>
      </c>
      <c r="C94" s="66">
        <v>0</v>
      </c>
      <c r="D94" s="66">
        <v>0</v>
      </c>
      <c r="E94" s="66">
        <v>5245000</v>
      </c>
      <c r="F94" s="66">
        <v>4927000</v>
      </c>
      <c r="G94" s="66">
        <v>5097000</v>
      </c>
      <c r="H94" s="67">
        <v>4282000</v>
      </c>
      <c r="I94" s="66">
        <v>4189000</v>
      </c>
      <c r="J94" s="66">
        <v>2901000</v>
      </c>
      <c r="K94" s="66">
        <v>2580000</v>
      </c>
      <c r="L94" s="66"/>
      <c r="M94" s="66"/>
      <c r="N94" s="66"/>
    </row>
    <row r="95" spans="2:14">
      <c r="B95" s="59" t="s">
        <v>852</v>
      </c>
      <c r="C95" s="66">
        <v>2128000</v>
      </c>
      <c r="D95" s="66">
        <v>1859000</v>
      </c>
      <c r="E95" s="66">
        <v>1601000</v>
      </c>
      <c r="F95" s="66">
        <v>1286000</v>
      </c>
      <c r="G95" s="66">
        <v>1198000</v>
      </c>
      <c r="H95" s="67">
        <v>1425000</v>
      </c>
      <c r="I95" s="66">
        <v>1434000</v>
      </c>
      <c r="J95" s="66">
        <v>1237000</v>
      </c>
      <c r="K95" s="66">
        <v>1182000</v>
      </c>
      <c r="L95" s="66"/>
      <c r="M95" s="66"/>
      <c r="N95" s="66"/>
    </row>
    <row r="96" spans="2:14">
      <c r="B96" s="59" t="s">
        <v>328</v>
      </c>
      <c r="C96" s="66">
        <f t="shared" ref="C96:K96" si="62">+C91-C94-C95-C93-C92</f>
        <v>320000</v>
      </c>
      <c r="D96" s="66">
        <f t="shared" si="62"/>
        <v>280000</v>
      </c>
      <c r="E96" s="66">
        <f t="shared" si="62"/>
        <v>140000</v>
      </c>
      <c r="F96" s="66">
        <f t="shared" si="62"/>
        <v>0</v>
      </c>
      <c r="G96" s="66">
        <f t="shared" si="62"/>
        <v>0</v>
      </c>
      <c r="H96" s="66">
        <f t="shared" si="62"/>
        <v>0</v>
      </c>
      <c r="I96" s="66">
        <f t="shared" si="62"/>
        <v>0</v>
      </c>
      <c r="J96" s="66">
        <f t="shared" si="62"/>
        <v>0</v>
      </c>
      <c r="K96" s="66">
        <f t="shared" si="62"/>
        <v>0</v>
      </c>
      <c r="L96" s="66"/>
      <c r="M96" s="66"/>
      <c r="N96" s="66"/>
    </row>
    <row r="97" spans="2:14" ht="14.65" thickBot="1">
      <c r="B97" s="60" t="s">
        <v>329</v>
      </c>
      <c r="C97" s="70">
        <f t="shared" ref="C97:K97" si="63">+C91+C86</f>
        <v>173321000</v>
      </c>
      <c r="D97" s="70">
        <f t="shared" si="63"/>
        <v>144730000</v>
      </c>
      <c r="E97" s="70">
        <f t="shared" si="63"/>
        <v>137575000</v>
      </c>
      <c r="F97" s="70">
        <f t="shared" si="63"/>
        <v>136719000</v>
      </c>
      <c r="G97" s="70">
        <f t="shared" si="63"/>
        <v>131606000</v>
      </c>
      <c r="H97" s="71">
        <f t="shared" si="63"/>
        <v>125133000</v>
      </c>
      <c r="I97" s="71">
        <f t="shared" si="63"/>
        <v>109776000</v>
      </c>
      <c r="J97" s="71">
        <f t="shared" si="63"/>
        <v>109689000</v>
      </c>
      <c r="K97" s="71">
        <f t="shared" si="63"/>
        <v>100234000</v>
      </c>
      <c r="L97" s="70"/>
      <c r="M97" s="70"/>
      <c r="N97" s="70"/>
    </row>
    <row r="98" spans="2:14" ht="14.65" thickBot="1">
      <c r="B98" s="61"/>
    </row>
    <row r="99" spans="2:14">
      <c r="B99" s="57" t="s">
        <v>330</v>
      </c>
      <c r="C99" s="62"/>
      <c r="D99" s="62"/>
      <c r="E99" s="62"/>
      <c r="F99" s="62"/>
      <c r="G99" s="62"/>
      <c r="H99" s="63"/>
      <c r="I99" s="62"/>
      <c r="J99" s="62"/>
      <c r="K99" s="62"/>
      <c r="L99" s="62"/>
      <c r="M99" s="62"/>
      <c r="N99" s="62"/>
    </row>
    <row r="100" spans="2:14">
      <c r="B100" s="58" t="s">
        <v>310</v>
      </c>
      <c r="C100" s="64">
        <v>47533000</v>
      </c>
      <c r="D100" s="64">
        <v>37996000</v>
      </c>
      <c r="E100" s="64">
        <v>36601000</v>
      </c>
      <c r="F100" s="64">
        <v>51034000</v>
      </c>
      <c r="G100" s="64">
        <v>59977000</v>
      </c>
      <c r="H100" s="65">
        <v>53860000</v>
      </c>
      <c r="I100" s="64">
        <v>38647000</v>
      </c>
      <c r="J100" s="64">
        <v>39500000</v>
      </c>
      <c r="K100" s="64">
        <v>30505000</v>
      </c>
      <c r="L100" s="64"/>
      <c r="M100" s="64"/>
      <c r="N100" s="64"/>
    </row>
    <row r="101" spans="2:14">
      <c r="B101" s="59" t="s">
        <v>853</v>
      </c>
      <c r="C101" s="66">
        <v>2868000</v>
      </c>
      <c r="D101" s="66">
        <v>0</v>
      </c>
      <c r="E101" s="66">
        <v>1681000</v>
      </c>
      <c r="F101" s="66">
        <v>2964000</v>
      </c>
      <c r="G101" s="66">
        <v>0</v>
      </c>
      <c r="H101" s="67">
        <v>1219000</v>
      </c>
      <c r="I101" s="66">
        <v>0</v>
      </c>
      <c r="J101" s="66">
        <v>0</v>
      </c>
      <c r="K101" s="66">
        <v>765000</v>
      </c>
      <c r="L101" s="66">
        <v>0</v>
      </c>
      <c r="M101" s="66">
        <v>0</v>
      </c>
      <c r="N101" s="66"/>
    </row>
    <row r="102" spans="2:14">
      <c r="B102" s="59" t="s">
        <v>688</v>
      </c>
      <c r="C102" s="66">
        <v>18828000</v>
      </c>
      <c r="D102" s="66">
        <v>8027000</v>
      </c>
      <c r="E102" s="66">
        <v>11681000</v>
      </c>
      <c r="F102" s="66">
        <v>17481000</v>
      </c>
      <c r="G102" s="66">
        <v>8821000</v>
      </c>
      <c r="H102" s="67">
        <v>12010000</v>
      </c>
      <c r="I102" s="66">
        <v>13391000</v>
      </c>
      <c r="J102" s="66">
        <v>10947000</v>
      </c>
      <c r="K102" s="66">
        <v>5614000</v>
      </c>
      <c r="L102" s="66"/>
      <c r="M102" s="66"/>
      <c r="N102" s="66"/>
    </row>
    <row r="103" spans="2:14">
      <c r="B103" s="59" t="s">
        <v>689</v>
      </c>
      <c r="C103" s="66">
        <v>20672000</v>
      </c>
      <c r="D103" s="66">
        <v>24202000</v>
      </c>
      <c r="E103" s="66">
        <v>15096000</v>
      </c>
      <c r="F103" s="66">
        <v>20428000</v>
      </c>
      <c r="G103" s="66">
        <v>34298000</v>
      </c>
      <c r="H103" s="67">
        <v>27141000</v>
      </c>
      <c r="I103" s="66">
        <v>15285000</v>
      </c>
      <c r="J103" s="66">
        <v>19263000</v>
      </c>
      <c r="K103" s="66">
        <v>15325000</v>
      </c>
      <c r="L103" s="66"/>
      <c r="M103" s="66"/>
      <c r="N103" s="66"/>
    </row>
    <row r="104" spans="2:14">
      <c r="B104" s="59" t="s">
        <v>854</v>
      </c>
      <c r="C104" s="66">
        <v>0</v>
      </c>
      <c r="D104" s="66">
        <v>95000</v>
      </c>
      <c r="E104" s="66">
        <v>913000</v>
      </c>
      <c r="F104" s="66">
        <v>110000</v>
      </c>
      <c r="G104" s="66">
        <v>1916000</v>
      </c>
      <c r="H104" s="67">
        <v>41000</v>
      </c>
      <c r="I104" s="66">
        <v>3000</v>
      </c>
      <c r="J104" s="66">
        <v>0</v>
      </c>
      <c r="K104" s="66"/>
      <c r="L104" s="66"/>
      <c r="M104" s="66"/>
      <c r="N104" s="66"/>
    </row>
    <row r="105" spans="2:14">
      <c r="B105" s="59" t="s">
        <v>855</v>
      </c>
      <c r="C105" s="66">
        <v>82000</v>
      </c>
      <c r="D105" s="66">
        <v>375000</v>
      </c>
      <c r="E105" s="66">
        <v>632000</v>
      </c>
      <c r="F105" s="66">
        <v>958000</v>
      </c>
      <c r="G105" s="66">
        <v>1200000</v>
      </c>
      <c r="H105" s="67">
        <v>1200000</v>
      </c>
      <c r="I105" s="66">
        <v>1100000</v>
      </c>
      <c r="J105" s="66">
        <v>930000</v>
      </c>
      <c r="K105" s="66">
        <v>630000</v>
      </c>
      <c r="L105" s="66"/>
      <c r="M105" s="66"/>
      <c r="N105" s="66"/>
    </row>
    <row r="106" spans="2:14">
      <c r="B106" s="59" t="s">
        <v>496</v>
      </c>
      <c r="C106" s="66">
        <v>5083000</v>
      </c>
      <c r="D106" s="66">
        <v>5297000</v>
      </c>
      <c r="E106" s="66">
        <v>5452000</v>
      </c>
      <c r="F106" s="66">
        <v>8189000</v>
      </c>
      <c r="G106" s="66">
        <v>12335000</v>
      </c>
      <c r="H106" s="67">
        <v>11154000</v>
      </c>
      <c r="I106" s="66">
        <v>7575000</v>
      </c>
      <c r="J106" s="66">
        <v>7161000</v>
      </c>
      <c r="K106" s="66">
        <v>6970000</v>
      </c>
      <c r="L106" s="66"/>
      <c r="M106" s="66"/>
      <c r="N106" s="66"/>
    </row>
    <row r="107" spans="2:14">
      <c r="B107" s="59" t="s">
        <v>410</v>
      </c>
      <c r="C107" s="66">
        <f t="shared" ref="C107:E107" si="64">+C100-C101-C102-C103-C104-C105-C106</f>
        <v>0</v>
      </c>
      <c r="D107" s="66">
        <f t="shared" si="64"/>
        <v>0</v>
      </c>
      <c r="E107" s="66">
        <f t="shared" si="64"/>
        <v>1146000</v>
      </c>
      <c r="F107" s="66">
        <f>+F100-F101-F102-F103-F104-F105-F106</f>
        <v>904000</v>
      </c>
      <c r="G107" s="66">
        <f>+G100-G101-G102-G103-G104-G105-G106</f>
        <v>1407000</v>
      </c>
      <c r="H107" s="66">
        <f>+H100-H101-H102-H103-H104-H105-H106</f>
        <v>1095000</v>
      </c>
      <c r="I107" s="66">
        <f>+I100-I101-I102-I103-I104-I105-I106</f>
        <v>1293000</v>
      </c>
      <c r="J107" s="66">
        <f>+J100-J101-J102-J103-J104-J105-J106</f>
        <v>1199000</v>
      </c>
      <c r="K107" s="66">
        <f>+K100-K101-K102-K103-K104-K105-K106</f>
        <v>1201000</v>
      </c>
      <c r="L107" s="66"/>
      <c r="M107" s="66"/>
      <c r="N107" s="66"/>
    </row>
    <row r="108" spans="2:14">
      <c r="B108" s="58" t="s">
        <v>319</v>
      </c>
      <c r="C108" s="64">
        <v>1440000</v>
      </c>
      <c r="D108" s="64">
        <v>1420000</v>
      </c>
      <c r="E108" s="64">
        <v>5426000</v>
      </c>
      <c r="F108" s="64">
        <v>5525000</v>
      </c>
      <c r="G108" s="64">
        <v>5042000</v>
      </c>
      <c r="H108" s="65">
        <v>4806000</v>
      </c>
      <c r="I108" s="64">
        <v>4531000</v>
      </c>
      <c r="J108" s="64">
        <v>3077000</v>
      </c>
      <c r="K108" s="64">
        <v>2968000</v>
      </c>
      <c r="L108" s="64"/>
      <c r="M108" s="64"/>
      <c r="N108" s="64"/>
    </row>
    <row r="109" spans="2:14">
      <c r="B109" s="59" t="s">
        <v>498</v>
      </c>
      <c r="C109" s="66">
        <v>0</v>
      </c>
      <c r="D109" s="66">
        <v>0</v>
      </c>
      <c r="E109" s="66">
        <v>4191000</v>
      </c>
      <c r="F109" s="66">
        <v>4158000</v>
      </c>
      <c r="G109" s="66">
        <v>3865000</v>
      </c>
      <c r="H109" s="67">
        <v>3401000</v>
      </c>
      <c r="I109" s="66">
        <v>3131000</v>
      </c>
      <c r="J109" s="66">
        <v>1931000</v>
      </c>
      <c r="K109" s="66">
        <v>1572000</v>
      </c>
      <c r="L109" s="66"/>
      <c r="M109" s="66"/>
      <c r="N109" s="66"/>
    </row>
    <row r="110" spans="2:14">
      <c r="B110" s="59" t="s">
        <v>726</v>
      </c>
      <c r="C110" s="66">
        <v>1240000</v>
      </c>
      <c r="D110" s="66">
        <v>1233000</v>
      </c>
      <c r="E110" s="66">
        <v>1097000</v>
      </c>
      <c r="F110" s="66">
        <v>1109000</v>
      </c>
      <c r="G110" s="66">
        <v>927000</v>
      </c>
      <c r="H110" s="67">
        <v>1211000</v>
      </c>
      <c r="I110" s="66">
        <v>1262000</v>
      </c>
      <c r="J110" s="66">
        <v>1031000</v>
      </c>
      <c r="K110" s="66">
        <v>1235000</v>
      </c>
      <c r="L110" s="66"/>
      <c r="M110" s="66"/>
      <c r="N110" s="66"/>
    </row>
    <row r="111" spans="2:14">
      <c r="B111" s="59" t="s">
        <v>499</v>
      </c>
      <c r="C111" s="66">
        <v>200000</v>
      </c>
      <c r="D111" s="66">
        <v>187000</v>
      </c>
      <c r="E111" s="66">
        <v>138000</v>
      </c>
      <c r="F111" s="66">
        <v>258000</v>
      </c>
      <c r="G111" s="66">
        <v>250000</v>
      </c>
      <c r="H111" s="67">
        <v>194000</v>
      </c>
      <c r="I111" s="66">
        <v>138000</v>
      </c>
      <c r="J111" s="66">
        <v>115000</v>
      </c>
      <c r="K111" s="66">
        <v>161000</v>
      </c>
      <c r="L111" s="66"/>
      <c r="M111" s="66"/>
      <c r="N111" s="66"/>
    </row>
    <row r="112" spans="2:14">
      <c r="B112" s="59" t="s">
        <v>341</v>
      </c>
      <c r="C112" s="66">
        <f t="shared" ref="C112:M112" si="65">+C108-C109-C110-C111</f>
        <v>0</v>
      </c>
      <c r="D112" s="66">
        <f t="shared" si="65"/>
        <v>0</v>
      </c>
      <c r="E112" s="66">
        <f t="shared" si="65"/>
        <v>0</v>
      </c>
      <c r="F112" s="66">
        <f t="shared" si="65"/>
        <v>0</v>
      </c>
      <c r="G112" s="66">
        <f t="shared" si="65"/>
        <v>0</v>
      </c>
      <c r="H112" s="66">
        <f t="shared" si="65"/>
        <v>0</v>
      </c>
      <c r="I112" s="66">
        <f t="shared" si="65"/>
        <v>0</v>
      </c>
      <c r="J112" s="66">
        <f t="shared" si="65"/>
        <v>0</v>
      </c>
      <c r="K112" s="66">
        <f t="shared" si="65"/>
        <v>0</v>
      </c>
      <c r="L112" s="66">
        <f t="shared" si="65"/>
        <v>0</v>
      </c>
      <c r="M112" s="66">
        <f t="shared" si="65"/>
        <v>0</v>
      </c>
      <c r="N112" s="66"/>
    </row>
    <row r="113" spans="2:14" ht="14.65" thickBot="1">
      <c r="B113" s="60" t="s">
        <v>342</v>
      </c>
      <c r="C113" s="70">
        <f t="shared" ref="C113:J113" si="66">+C108+C100</f>
        <v>48973000</v>
      </c>
      <c r="D113" s="70">
        <f t="shared" si="66"/>
        <v>39416000</v>
      </c>
      <c r="E113" s="70">
        <f t="shared" si="66"/>
        <v>42027000</v>
      </c>
      <c r="F113" s="70">
        <f t="shared" si="66"/>
        <v>56559000</v>
      </c>
      <c r="G113" s="70">
        <f t="shared" si="66"/>
        <v>65019000</v>
      </c>
      <c r="H113" s="70">
        <f t="shared" si="66"/>
        <v>58666000</v>
      </c>
      <c r="I113" s="70">
        <f t="shared" si="66"/>
        <v>43178000</v>
      </c>
      <c r="J113" s="70">
        <f t="shared" si="66"/>
        <v>42577000</v>
      </c>
      <c r="K113" s="70">
        <f>+K108+K100</f>
        <v>33473000</v>
      </c>
      <c r="L113" s="70"/>
      <c r="M113" s="70"/>
      <c r="N113" s="70"/>
    </row>
    <row r="114" spans="2:14" ht="14.65" thickBot="1"/>
    <row r="115" spans="2:14">
      <c r="B115" s="57" t="s">
        <v>343</v>
      </c>
      <c r="C115" s="62"/>
      <c r="D115" s="62"/>
      <c r="E115" s="62"/>
      <c r="F115" s="62"/>
      <c r="G115" s="62"/>
      <c r="H115" s="63"/>
      <c r="I115" s="62"/>
      <c r="J115" s="62"/>
      <c r="K115" s="62"/>
      <c r="L115" s="62"/>
      <c r="M115" s="62"/>
      <c r="N115" s="62"/>
    </row>
    <row r="116" spans="2:14">
      <c r="B116" s="59" t="s">
        <v>344</v>
      </c>
      <c r="C116" s="66">
        <v>53375000</v>
      </c>
      <c r="D116" s="66">
        <v>53375000</v>
      </c>
      <c r="E116" s="66">
        <v>53375000</v>
      </c>
      <c r="F116" s="66">
        <v>53375000</v>
      </c>
      <c r="G116" s="66">
        <v>53375000</v>
      </c>
      <c r="H116" s="67">
        <v>53375000</v>
      </c>
      <c r="I116" s="66">
        <v>53375000</v>
      </c>
      <c r="J116" s="66">
        <v>53375000</v>
      </c>
      <c r="K116" s="66">
        <v>53375000</v>
      </c>
      <c r="L116" s="66"/>
      <c r="M116" s="66"/>
      <c r="N116" s="66"/>
    </row>
    <row r="117" spans="2:14">
      <c r="B117" s="59" t="s">
        <v>345</v>
      </c>
      <c r="C117" s="66">
        <v>1241000</v>
      </c>
      <c r="D117" s="66">
        <v>1624000</v>
      </c>
      <c r="E117" s="66">
        <v>2070000</v>
      </c>
      <c r="F117" s="66">
        <v>1764000</v>
      </c>
      <c r="G117" s="66">
        <v>3012000</v>
      </c>
      <c r="H117" s="67">
        <v>2296000</v>
      </c>
      <c r="I117" s="66">
        <v>2427000</v>
      </c>
      <c r="J117" s="66">
        <v>2941000</v>
      </c>
      <c r="K117" s="66">
        <v>2590000</v>
      </c>
      <c r="L117" s="66"/>
      <c r="M117" s="66"/>
      <c r="N117" s="66"/>
    </row>
    <row r="118" spans="2:14">
      <c r="B118" s="59" t="s">
        <v>346</v>
      </c>
      <c r="C118" s="66">
        <v>69916000</v>
      </c>
      <c r="D118" s="66">
        <v>50796000</v>
      </c>
      <c r="E118" s="66">
        <v>40796000</v>
      </c>
      <c r="F118" s="66">
        <v>25796000</v>
      </c>
      <c r="G118" s="66">
        <v>10796000</v>
      </c>
      <c r="H118" s="67">
        <v>10796000</v>
      </c>
      <c r="I118" s="66">
        <v>10796000</v>
      </c>
      <c r="J118" s="66">
        <v>10796000</v>
      </c>
      <c r="K118" s="66">
        <v>10796000</v>
      </c>
      <c r="L118" s="66"/>
      <c r="M118" s="66"/>
      <c r="N118" s="66"/>
    </row>
    <row r="119" spans="2:14">
      <c r="B119" s="129" t="s">
        <v>505</v>
      </c>
      <c r="C119" s="133">
        <v>-184000</v>
      </c>
      <c r="D119" s="133">
        <v>-481000</v>
      </c>
      <c r="E119" s="133">
        <v>-693000</v>
      </c>
      <c r="F119" s="133">
        <v>-775000</v>
      </c>
      <c r="G119" s="133">
        <v>-596000</v>
      </c>
      <c r="H119" s="171">
        <v>0</v>
      </c>
      <c r="I119" s="133">
        <v>0</v>
      </c>
      <c r="J119" s="133">
        <v>0</v>
      </c>
      <c r="K119" s="133">
        <v>0</v>
      </c>
      <c r="L119" s="133"/>
      <c r="M119" s="133"/>
      <c r="N119" s="133"/>
    </row>
    <row r="120" spans="2:14" ht="14.65" thickBot="1">
      <c r="B120" s="60" t="s">
        <v>347</v>
      </c>
      <c r="C120" s="70">
        <f t="shared" ref="C120:F120" si="67">+C116+C118+C117+C119</f>
        <v>124348000</v>
      </c>
      <c r="D120" s="70">
        <f t="shared" si="67"/>
        <v>105314000</v>
      </c>
      <c r="E120" s="70">
        <f t="shared" si="67"/>
        <v>95548000</v>
      </c>
      <c r="F120" s="70">
        <f t="shared" si="67"/>
        <v>80160000</v>
      </c>
      <c r="G120" s="70">
        <f>+G116+G118+G117+G119</f>
        <v>66587000</v>
      </c>
      <c r="H120" s="70">
        <f t="shared" ref="H120:J120" si="68">+H116+H118+H117+H119</f>
        <v>66467000</v>
      </c>
      <c r="I120" s="70">
        <f t="shared" si="68"/>
        <v>66598000</v>
      </c>
      <c r="J120" s="70">
        <f t="shared" si="68"/>
        <v>67112000</v>
      </c>
      <c r="K120" s="70">
        <f>+K116+K118+K117+K119</f>
        <v>66761000</v>
      </c>
      <c r="L120" s="70"/>
      <c r="M120" s="70"/>
      <c r="N120" s="70"/>
    </row>
    <row r="122" spans="2:14" ht="14.65" thickBot="1">
      <c r="B122" s="75" t="s">
        <v>348</v>
      </c>
    </row>
    <row r="123" spans="2:14" ht="14.65" thickBot="1">
      <c r="B123" s="82" t="s">
        <v>308</v>
      </c>
      <c r="C123" s="88">
        <v>2017</v>
      </c>
      <c r="D123" s="88">
        <v>2018</v>
      </c>
      <c r="E123" s="88">
        <v>2019</v>
      </c>
      <c r="F123" s="88">
        <v>2020</v>
      </c>
      <c r="G123" s="88">
        <v>2021</v>
      </c>
      <c r="H123" s="89">
        <v>2022</v>
      </c>
      <c r="I123" s="88">
        <v>2023</v>
      </c>
      <c r="J123" s="88">
        <v>2024</v>
      </c>
      <c r="K123" s="89">
        <v>2025</v>
      </c>
      <c r="L123" s="88">
        <v>2026</v>
      </c>
      <c r="M123" s="88">
        <v>2027</v>
      </c>
      <c r="N123" s="89">
        <v>2028</v>
      </c>
    </row>
    <row r="124" spans="2:14">
      <c r="B124" s="83" t="s">
        <v>349</v>
      </c>
      <c r="C124" s="90">
        <v>132931000</v>
      </c>
      <c r="D124" s="90">
        <v>147223000</v>
      </c>
      <c r="E124" s="90">
        <v>128480000</v>
      </c>
      <c r="F124" s="90">
        <v>118391000</v>
      </c>
      <c r="G124" s="90">
        <v>159278000</v>
      </c>
      <c r="H124" s="90">
        <v>160190000</v>
      </c>
      <c r="I124" s="90">
        <v>136973000</v>
      </c>
      <c r="J124" s="90">
        <v>136092000</v>
      </c>
      <c r="K124" s="90">
        <v>140977000</v>
      </c>
      <c r="L124" s="90"/>
      <c r="M124" s="90"/>
      <c r="N124" s="90"/>
    </row>
    <row r="125" spans="2:14">
      <c r="B125" s="85" t="s">
        <v>692</v>
      </c>
      <c r="C125" s="66">
        <v>-116579000</v>
      </c>
      <c r="D125" s="66">
        <v>-128701000</v>
      </c>
      <c r="E125" s="66">
        <v>-109840000</v>
      </c>
      <c r="F125" s="66">
        <v>-99022000</v>
      </c>
      <c r="G125" s="66">
        <v>-129777000</v>
      </c>
      <c r="H125" s="66">
        <v>-131279000</v>
      </c>
      <c r="I125" s="66">
        <v>-115755000</v>
      </c>
      <c r="J125" s="66">
        <v>-116697000</v>
      </c>
      <c r="K125" s="66">
        <v>-123772000</v>
      </c>
      <c r="L125" s="66"/>
      <c r="M125" s="66"/>
      <c r="N125" s="66"/>
    </row>
    <row r="126" spans="2:14">
      <c r="B126" s="86" t="s">
        <v>693</v>
      </c>
      <c r="C126" s="64">
        <f t="shared" ref="C126:G126" si="69">+C124+C125</f>
        <v>16352000</v>
      </c>
      <c r="D126" s="64">
        <f t="shared" si="69"/>
        <v>18522000</v>
      </c>
      <c r="E126" s="64">
        <f t="shared" si="69"/>
        <v>18640000</v>
      </c>
      <c r="F126" s="64">
        <f t="shared" si="69"/>
        <v>19369000</v>
      </c>
      <c r="G126" s="64">
        <f t="shared" si="69"/>
        <v>29501000</v>
      </c>
      <c r="H126" s="64">
        <f>+H124+H125</f>
        <v>28911000</v>
      </c>
      <c r="I126" s="64">
        <f>+I124+I125</f>
        <v>21218000</v>
      </c>
      <c r="J126" s="64">
        <f t="shared" ref="J126:K126" si="70">+J124+J125</f>
        <v>19395000</v>
      </c>
      <c r="K126" s="64">
        <f t="shared" si="70"/>
        <v>17205000</v>
      </c>
      <c r="L126" s="64"/>
      <c r="M126" s="64"/>
      <c r="N126" s="64"/>
    </row>
    <row r="127" spans="2:14">
      <c r="B127" s="85" t="s">
        <v>773</v>
      </c>
      <c r="C127" s="64">
        <v>187000</v>
      </c>
      <c r="D127" s="64">
        <v>236000</v>
      </c>
      <c r="E127" s="64">
        <v>778000</v>
      </c>
      <c r="F127" s="117">
        <v>288000</v>
      </c>
      <c r="G127" s="117">
        <v>516000</v>
      </c>
      <c r="H127" s="117">
        <v>664000</v>
      </c>
      <c r="I127" s="117">
        <v>217000</v>
      </c>
      <c r="J127" s="117">
        <v>13000</v>
      </c>
      <c r="K127" s="117">
        <v>135000</v>
      </c>
      <c r="L127" s="117"/>
      <c r="M127" s="117"/>
      <c r="N127" s="117"/>
    </row>
    <row r="128" spans="2:14">
      <c r="B128" s="85" t="s">
        <v>537</v>
      </c>
      <c r="C128" s="64">
        <v>-12203000</v>
      </c>
      <c r="D128" s="64">
        <v>-12047000</v>
      </c>
      <c r="E128" s="64">
        <v>-9858000</v>
      </c>
      <c r="F128" s="117">
        <v>-7441000</v>
      </c>
      <c r="G128" s="117">
        <v>-7932000</v>
      </c>
      <c r="H128" s="117">
        <v>-7947000</v>
      </c>
      <c r="I128" s="117">
        <v>-8123000</v>
      </c>
      <c r="J128" s="117">
        <v>-7435000</v>
      </c>
      <c r="K128" s="117">
        <v>-7620000</v>
      </c>
      <c r="L128" s="117"/>
      <c r="M128" s="117"/>
      <c r="N128" s="117"/>
    </row>
    <row r="129" spans="2:14">
      <c r="B129" s="85" t="s">
        <v>856</v>
      </c>
      <c r="C129" s="66">
        <v>-1817000</v>
      </c>
      <c r="D129" s="66">
        <v>-659000</v>
      </c>
      <c r="E129" s="66">
        <v>-1275000</v>
      </c>
      <c r="F129" s="117">
        <v>-1842000</v>
      </c>
      <c r="G129" s="117">
        <v>-172000</v>
      </c>
      <c r="H129" s="117">
        <v>-111000</v>
      </c>
      <c r="I129" s="117">
        <v>-156000</v>
      </c>
      <c r="J129" s="117">
        <v>-17000</v>
      </c>
      <c r="K129" s="117">
        <v>-31000</v>
      </c>
      <c r="L129" s="117"/>
      <c r="M129" s="117"/>
      <c r="N129" s="117"/>
    </row>
    <row r="130" spans="2:14">
      <c r="B130" s="85" t="s">
        <v>353</v>
      </c>
      <c r="C130" s="66">
        <v>0</v>
      </c>
      <c r="D130" s="66">
        <v>-1169000</v>
      </c>
      <c r="E130" s="66">
        <v>-1019000</v>
      </c>
      <c r="F130" s="117">
        <v>-51000</v>
      </c>
      <c r="G130" s="117">
        <v>0</v>
      </c>
      <c r="H130" s="117">
        <v>0</v>
      </c>
      <c r="I130" s="117">
        <v>0</v>
      </c>
      <c r="J130" s="117">
        <v>-1000</v>
      </c>
      <c r="K130" s="117">
        <v>-17000</v>
      </c>
      <c r="L130" s="117"/>
      <c r="M130" s="117"/>
      <c r="N130" s="117"/>
    </row>
    <row r="131" spans="2:14">
      <c r="B131" s="86" t="s">
        <v>355</v>
      </c>
      <c r="C131" s="64">
        <v>1684000</v>
      </c>
      <c r="D131" s="64">
        <f t="shared" ref="D131:F131" si="71">+D126+D130+D129+D128+D127</f>
        <v>4883000</v>
      </c>
      <c r="E131" s="64">
        <f t="shared" si="71"/>
        <v>7266000</v>
      </c>
      <c r="F131" s="64">
        <f t="shared" si="71"/>
        <v>10323000</v>
      </c>
      <c r="G131" s="64">
        <f>+G126+G130+G129+G128+G127</f>
        <v>21913000</v>
      </c>
      <c r="H131" s="64">
        <f t="shared" ref="H131:K131" si="72">+H126+H130+H129+H128+H127</f>
        <v>21517000</v>
      </c>
      <c r="I131" s="64">
        <f t="shared" si="72"/>
        <v>13156000</v>
      </c>
      <c r="J131" s="64">
        <f t="shared" si="72"/>
        <v>11955000</v>
      </c>
      <c r="K131" s="64">
        <f t="shared" si="72"/>
        <v>9672000</v>
      </c>
      <c r="L131" s="64"/>
      <c r="M131" s="64"/>
      <c r="N131" s="64"/>
    </row>
    <row r="132" spans="2:14">
      <c r="B132" s="85" t="s">
        <v>429</v>
      </c>
      <c r="C132" s="66">
        <v>780000</v>
      </c>
      <c r="D132" s="66">
        <v>962000</v>
      </c>
      <c r="E132" s="66">
        <v>1071000</v>
      </c>
      <c r="F132" s="66">
        <v>605000</v>
      </c>
      <c r="G132" s="66">
        <v>132000</v>
      </c>
      <c r="H132" s="66">
        <v>562000</v>
      </c>
      <c r="I132" s="66">
        <v>1265000</v>
      </c>
      <c r="J132" s="66">
        <v>1215000</v>
      </c>
      <c r="K132" s="66">
        <v>972000</v>
      </c>
      <c r="L132" s="66"/>
      <c r="M132" s="66"/>
      <c r="N132" s="66"/>
    </row>
    <row r="133" spans="2:14">
      <c r="B133" s="85" t="s">
        <v>430</v>
      </c>
      <c r="C133" s="66">
        <v>-59000</v>
      </c>
      <c r="D133" s="66">
        <v>-45000</v>
      </c>
      <c r="E133" s="66">
        <v>-258000</v>
      </c>
      <c r="F133" s="66">
        <v>-187000</v>
      </c>
      <c r="G133" s="66">
        <v>-144000</v>
      </c>
      <c r="H133" s="66">
        <v>-173000</v>
      </c>
      <c r="I133" s="66">
        <v>-182000</v>
      </c>
      <c r="J133" s="66">
        <v>-135000</v>
      </c>
      <c r="K133" s="66">
        <v>-116000</v>
      </c>
      <c r="L133" s="66"/>
      <c r="M133" s="66"/>
      <c r="N133" s="66"/>
    </row>
    <row r="134" spans="2:14">
      <c r="B134" s="87" t="s">
        <v>432</v>
      </c>
      <c r="C134" s="66">
        <v>-1665000</v>
      </c>
      <c r="D134" s="66">
        <v>-335000</v>
      </c>
      <c r="E134" s="66">
        <v>-153000</v>
      </c>
      <c r="F134" s="66">
        <v>-78000</v>
      </c>
      <c r="G134" s="66">
        <v>-1249000</v>
      </c>
      <c r="H134" s="66">
        <v>-2889000</v>
      </c>
      <c r="I134" s="66">
        <v>-1402000</v>
      </c>
      <c r="J134" s="66">
        <v>-988000</v>
      </c>
      <c r="K134" s="66">
        <v>-14000</v>
      </c>
      <c r="L134" s="66"/>
      <c r="M134" s="66"/>
      <c r="N134" s="66"/>
    </row>
    <row r="135" spans="2:14">
      <c r="B135" s="86" t="s">
        <v>362</v>
      </c>
      <c r="C135" s="64">
        <v>740000</v>
      </c>
      <c r="D135" s="64">
        <v>5465000</v>
      </c>
      <c r="E135" s="64">
        <v>7926000</v>
      </c>
      <c r="F135" s="64">
        <v>10663000</v>
      </c>
      <c r="G135" s="64">
        <v>20652000</v>
      </c>
      <c r="H135" s="64">
        <v>19017000</v>
      </c>
      <c r="I135" s="64">
        <v>12837000</v>
      </c>
      <c r="J135" s="64">
        <v>12047000</v>
      </c>
      <c r="K135" s="64">
        <v>10514000</v>
      </c>
      <c r="L135" s="64"/>
      <c r="M135" s="64"/>
      <c r="N135" s="64"/>
    </row>
    <row r="136" spans="2:14">
      <c r="B136" s="85" t="s">
        <v>363</v>
      </c>
      <c r="C136" s="66">
        <v>-945000</v>
      </c>
      <c r="D136" s="66">
        <v>-2269000</v>
      </c>
      <c r="E136" s="66">
        <v>-3098000</v>
      </c>
      <c r="F136" s="66">
        <v>-3148000</v>
      </c>
      <c r="G136" s="91">
        <v>-5540000</v>
      </c>
      <c r="H136" s="91">
        <v>-4897000</v>
      </c>
      <c r="I136" s="91">
        <v>-3088000</v>
      </c>
      <c r="J136" s="91">
        <v>-3248000</v>
      </c>
      <c r="K136" s="91">
        <v>-2837000</v>
      </c>
      <c r="L136" s="91"/>
      <c r="M136" s="91"/>
      <c r="N136" s="91"/>
    </row>
    <row r="137" spans="2:14">
      <c r="B137" s="87" t="s">
        <v>435</v>
      </c>
      <c r="C137" s="66">
        <v>-403000</v>
      </c>
      <c r="D137" s="66">
        <v>-319000</v>
      </c>
      <c r="E137" s="66">
        <v>-251000</v>
      </c>
      <c r="F137" s="66">
        <v>-45000</v>
      </c>
      <c r="G137" s="91">
        <v>56000</v>
      </c>
      <c r="H137" s="91">
        <v>0</v>
      </c>
      <c r="I137" s="91">
        <v>0</v>
      </c>
      <c r="J137" s="91">
        <v>0</v>
      </c>
      <c r="K137" s="91">
        <v>0</v>
      </c>
      <c r="L137" s="91"/>
      <c r="M137" s="91"/>
      <c r="N137" s="91"/>
    </row>
    <row r="138" spans="2:14">
      <c r="B138" s="84" t="s">
        <v>365</v>
      </c>
      <c r="C138" s="64">
        <v>-205000</v>
      </c>
      <c r="D138" s="64">
        <v>3196000</v>
      </c>
      <c r="E138" s="64">
        <v>4828000</v>
      </c>
      <c r="F138" s="64">
        <v>7515000</v>
      </c>
      <c r="G138" s="64">
        <v>15112000</v>
      </c>
      <c r="H138" s="64">
        <v>14120000</v>
      </c>
      <c r="I138" s="64">
        <v>9749000</v>
      </c>
      <c r="J138" s="64">
        <v>8799000</v>
      </c>
      <c r="K138" s="64">
        <v>7677000</v>
      </c>
      <c r="L138" s="64"/>
      <c r="M138" s="64"/>
      <c r="N138" s="64"/>
    </row>
    <row r="139" spans="2:14">
      <c r="B139" s="84" t="s">
        <v>366</v>
      </c>
      <c r="C139" s="172">
        <v>7.2599999999999997E-4</v>
      </c>
      <c r="D139" s="172">
        <v>1.2917E-2</v>
      </c>
      <c r="E139" s="172">
        <v>1.8662999999999999E-2</v>
      </c>
      <c r="F139" s="172">
        <v>2.7782999999999999E-2</v>
      </c>
      <c r="G139" s="172">
        <v>5.5329000000000003E-2</v>
      </c>
      <c r="H139" s="172">
        <v>5.1889999999999999E-2</v>
      </c>
      <c r="I139" s="172">
        <v>3.5826999999999998E-2</v>
      </c>
      <c r="J139" s="172">
        <v>3.2335000000000003E-2</v>
      </c>
      <c r="K139" s="172">
        <v>2.8209999999999999E-2</v>
      </c>
      <c r="L139" s="172"/>
      <c r="M139" s="172"/>
      <c r="N139" s="172"/>
    </row>
    <row r="141" spans="2:14" ht="14.65" thickBot="1">
      <c r="B141" s="75" t="s">
        <v>367</v>
      </c>
    </row>
    <row r="142" spans="2:14" ht="14.65" thickBot="1">
      <c r="B142" s="82" t="s">
        <v>308</v>
      </c>
      <c r="C142" s="88">
        <v>2017</v>
      </c>
      <c r="D142" s="88">
        <v>2018</v>
      </c>
      <c r="E142" s="88">
        <v>2019</v>
      </c>
      <c r="F142" s="88">
        <v>2020</v>
      </c>
      <c r="G142" s="88">
        <v>2021</v>
      </c>
      <c r="H142" s="88">
        <v>2022</v>
      </c>
      <c r="I142" s="88">
        <v>2023</v>
      </c>
      <c r="J142" s="88">
        <v>2024</v>
      </c>
      <c r="K142" s="88">
        <v>2025</v>
      </c>
      <c r="L142" s="88">
        <v>2026</v>
      </c>
      <c r="M142" s="88">
        <v>2027</v>
      </c>
      <c r="N142" s="88">
        <v>2028</v>
      </c>
    </row>
    <row r="143" spans="2:14">
      <c r="B143" s="83" t="s">
        <v>368</v>
      </c>
      <c r="C143" s="90">
        <v>16561000</v>
      </c>
      <c r="D143" s="90">
        <v>20614000</v>
      </c>
      <c r="E143" s="90">
        <v>21591000</v>
      </c>
      <c r="F143" s="90">
        <v>30460000</v>
      </c>
      <c r="G143" s="90">
        <v>16156000</v>
      </c>
      <c r="H143" s="90">
        <v>-5229000</v>
      </c>
      <c r="I143" s="90">
        <v>17604000</v>
      </c>
      <c r="J143" s="90">
        <v>11448000</v>
      </c>
      <c r="K143" s="90">
        <v>-8763000</v>
      </c>
      <c r="L143" s="90"/>
      <c r="M143" s="90"/>
      <c r="N143" s="90"/>
    </row>
    <row r="144" spans="2:14">
      <c r="B144" s="86" t="s">
        <v>369</v>
      </c>
      <c r="C144" s="93">
        <v>-19078000</v>
      </c>
      <c r="D144" s="93">
        <v>-468000</v>
      </c>
      <c r="E144" s="93">
        <v>-15092000</v>
      </c>
      <c r="F144" s="66">
        <v>16859000</v>
      </c>
      <c r="G144" s="93">
        <v>-1722000</v>
      </c>
      <c r="H144" s="66">
        <v>3163000</v>
      </c>
      <c r="I144" s="66">
        <v>-134000</v>
      </c>
      <c r="J144" s="66">
        <v>334000</v>
      </c>
      <c r="K144" s="66">
        <v>437000</v>
      </c>
      <c r="L144" s="66"/>
      <c r="M144" s="66"/>
      <c r="N144" s="66"/>
    </row>
    <row r="145" spans="2:14">
      <c r="B145" s="85" t="s">
        <v>370</v>
      </c>
      <c r="C145" s="93">
        <v>-1138000</v>
      </c>
      <c r="D145" s="93">
        <v>-165000</v>
      </c>
      <c r="E145" s="93">
        <v>-51000</v>
      </c>
      <c r="F145" s="93">
        <v>-156000</v>
      </c>
      <c r="G145" s="93">
        <v>-608000</v>
      </c>
      <c r="H145" s="93">
        <v>-371000</v>
      </c>
      <c r="I145" s="93">
        <v>-1364000</v>
      </c>
      <c r="J145" s="93">
        <v>-804000</v>
      </c>
      <c r="K145" s="93">
        <v>-315000</v>
      </c>
      <c r="L145" s="93"/>
      <c r="M145" s="93"/>
      <c r="N145" s="93"/>
    </row>
    <row r="146" spans="2:14">
      <c r="B146" s="86" t="s">
        <v>372</v>
      </c>
      <c r="C146" s="93">
        <v>-6041000</v>
      </c>
      <c r="D146" s="93">
        <v>-20148000</v>
      </c>
      <c r="E146" s="66">
        <v>-14165000</v>
      </c>
      <c r="F146" s="93">
        <v>-22008000</v>
      </c>
      <c r="G146" s="93">
        <v>-23447000</v>
      </c>
      <c r="H146" s="93">
        <v>-16106000</v>
      </c>
      <c r="I146" s="93">
        <v>-15709000</v>
      </c>
      <c r="J146" s="93">
        <v>-11042000</v>
      </c>
      <c r="K146" s="93">
        <v>-10147000</v>
      </c>
      <c r="L146" s="93"/>
      <c r="M146" s="93"/>
      <c r="N146" s="93"/>
    </row>
    <row r="147" spans="2:14">
      <c r="B147" s="85" t="s">
        <v>373</v>
      </c>
      <c r="C147" s="93">
        <v>-6041000</v>
      </c>
      <c r="D147" s="93">
        <v>-20148000</v>
      </c>
      <c r="E147" s="93">
        <v>-12636000</v>
      </c>
      <c r="F147" s="93">
        <v>-20563000</v>
      </c>
      <c r="G147" s="93">
        <v>-22204000</v>
      </c>
      <c r="H147" s="93">
        <v>-14556000</v>
      </c>
      <c r="I147" s="93">
        <v>-14318000</v>
      </c>
      <c r="J147" s="93">
        <v>-9749000</v>
      </c>
      <c r="K147" s="93">
        <v>-8832000</v>
      </c>
      <c r="L147" s="93"/>
      <c r="M147" s="93"/>
      <c r="N147" s="93"/>
    </row>
    <row r="148" spans="2:14">
      <c r="B148" s="85" t="s">
        <v>374</v>
      </c>
      <c r="C148" s="93">
        <v>0</v>
      </c>
      <c r="D148" s="93">
        <v>0</v>
      </c>
      <c r="E148" s="93">
        <v>0</v>
      </c>
      <c r="F148" s="93">
        <v>0</v>
      </c>
      <c r="G148" s="93">
        <v>0</v>
      </c>
      <c r="H148" s="93">
        <v>0</v>
      </c>
      <c r="I148" s="93">
        <v>0</v>
      </c>
      <c r="J148" s="93">
        <v>0</v>
      </c>
      <c r="K148" s="93">
        <v>0</v>
      </c>
      <c r="L148" s="93"/>
      <c r="M148" s="93"/>
      <c r="N148" s="93"/>
    </row>
    <row r="149" spans="2:14">
      <c r="B149" s="86" t="s">
        <v>375</v>
      </c>
      <c r="C149" s="64">
        <v>-8827000</v>
      </c>
      <c r="D149" s="64">
        <v>-710000</v>
      </c>
      <c r="E149" s="120">
        <f>26381000-34244000</f>
        <v>-7863000</v>
      </c>
      <c r="F149" s="64">
        <f>52571000-26381000</f>
        <v>26190000</v>
      </c>
      <c r="G149" s="64">
        <f>41672000-52571000</f>
        <v>-10899000</v>
      </c>
      <c r="H149" s="64">
        <f>23169000-41672000</f>
        <v>-18503000</v>
      </c>
      <c r="I149" s="64">
        <f>25024000-23169000</f>
        <v>1855000</v>
      </c>
      <c r="J149" s="64">
        <f>25458000-25024000</f>
        <v>434000</v>
      </c>
      <c r="K149" s="64">
        <f>7991000-25458000</f>
        <v>-17467000</v>
      </c>
      <c r="L149" s="64"/>
      <c r="M149" s="64"/>
      <c r="N149" s="64"/>
    </row>
    <row r="150" spans="2:14">
      <c r="B150" s="85"/>
      <c r="C150" s="66"/>
      <c r="D150" s="66"/>
      <c r="E150" s="66"/>
      <c r="F150" s="66"/>
      <c r="G150" s="66"/>
      <c r="H150" s="66"/>
      <c r="I150" s="66"/>
      <c r="J150" s="66"/>
      <c r="K150" s="66"/>
      <c r="L150" s="66"/>
      <c r="M150" s="66"/>
      <c r="N150" s="66"/>
    </row>
    <row r="151" spans="2:14">
      <c r="B151" s="84" t="s">
        <v>376</v>
      </c>
      <c r="C151" s="66">
        <f t="shared" ref="C151:H151" si="73">+C143+C145+C148</f>
        <v>15423000</v>
      </c>
      <c r="D151" s="66">
        <f t="shared" si="73"/>
        <v>20449000</v>
      </c>
      <c r="E151" s="66">
        <f t="shared" si="73"/>
        <v>21540000</v>
      </c>
      <c r="F151" s="66">
        <f t="shared" si="73"/>
        <v>30304000</v>
      </c>
      <c r="G151" s="66">
        <f t="shared" si="73"/>
        <v>15548000</v>
      </c>
      <c r="H151" s="66">
        <f t="shared" si="73"/>
        <v>-5600000</v>
      </c>
      <c r="I151" s="66">
        <f>+I143+I145+I148</f>
        <v>16240000</v>
      </c>
      <c r="J151" s="66">
        <f>+J143+J145+J148</f>
        <v>10644000</v>
      </c>
      <c r="K151" s="66">
        <f>+K143+K145+K148</f>
        <v>-9078000</v>
      </c>
      <c r="L151" s="66">
        <f t="shared" ref="J151:N151" si="74">+L143+L145+L148</f>
        <v>0</v>
      </c>
      <c r="M151" s="66">
        <f t="shared" si="74"/>
        <v>0</v>
      </c>
      <c r="N151" s="66">
        <f t="shared" si="74"/>
        <v>0</v>
      </c>
    </row>
  </sheetData>
  <conditionalFormatting sqref="C85:H87 D88:H88 C89:H90 C91:F91 H91">
    <cfRule type="cellIs" dxfId="23" priority="22" operator="lessThan">
      <formula>0</formula>
    </cfRule>
  </conditionalFormatting>
  <conditionalFormatting sqref="C124:N139">
    <cfRule type="cellIs" dxfId="22" priority="5" operator="lessThan">
      <formula>0</formula>
    </cfRule>
  </conditionalFormatting>
  <conditionalFormatting sqref="C143:N151">
    <cfRule type="cellIs" dxfId="21" priority="4" operator="lessThan">
      <formula>0</formula>
    </cfRule>
  </conditionalFormatting>
  <conditionalFormatting sqref="C115:N120 I85:N90 C92:N97 C99:N113">
    <cfRule type="cellIs" dxfId="20" priority="6" operator="lessThan">
      <formula>0</formula>
    </cfRule>
  </conditionalFormatting>
  <pageMargins left="0.7" right="0.7" top="0.75" bottom="0.75" header="0.3" footer="0.3"/>
  <pageSetup paperSize="9" orientation="portrait" r:id="rId1"/>
  <legacyDrawing r:id="rId2"/>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ADDE-15F8-44BA-8223-101BAA597465}">
  <dimension ref="B2:P147"/>
  <sheetViews>
    <sheetView zoomScale="70" zoomScaleNormal="70" workbookViewId="0">
      <pane xSplit="2" ySplit="6" topLeftCell="C56" activePane="bottomRight" state="frozen"/>
      <selection pane="bottomRight" activeCell="B10" sqref="B10"/>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6" width="33.28515625" customWidth="1"/>
    <col min="7" max="7" width="36.28515625" customWidth="1"/>
    <col min="8" max="8" width="35.7109375" customWidth="1"/>
    <col min="9" max="9" width="30.7109375" bestFit="1" customWidth="1"/>
    <col min="10" max="10" width="33.140625" customWidth="1"/>
    <col min="11" max="11" width="30" bestFit="1" customWidth="1"/>
    <col min="12" max="15" width="25.42578125" bestFit="1" customWidth="1"/>
  </cols>
  <sheetData>
    <row r="2" spans="2:15" ht="21">
      <c r="B2" s="313">
        <f ca="1">TODAY()-1</f>
        <v>46105</v>
      </c>
      <c r="C2" s="314"/>
      <c r="D2" s="344" t="s">
        <v>265</v>
      </c>
      <c r="E2" s="345" t="s">
        <v>266</v>
      </c>
    </row>
    <row r="3" spans="2:15" ht="25.5">
      <c r="B3" s="376" cm="1">
        <f t="array" aca="1" ref="B3" ca="1">_FV(B6,"Precio")</f>
        <v>1480</v>
      </c>
      <c r="C3" s="316"/>
      <c r="D3" s="346">
        <f>AVERAGE(G45:I45)</f>
        <v>88.428666666666672</v>
      </c>
      <c r="E3" s="346">
        <f>AVERAGE(G44:I44)</f>
        <v>96.134566666666672</v>
      </c>
    </row>
    <row r="4" spans="2:15" ht="28.5">
      <c r="B4" s="319"/>
      <c r="C4" s="320"/>
      <c r="D4" s="328"/>
      <c r="E4" s="328"/>
    </row>
    <row r="6" spans="2:15" ht="33.4">
      <c r="B6" s="3" t="e" vm="64">
        <v>#VALUE!</v>
      </c>
      <c r="C6" s="3">
        <v>2017</v>
      </c>
      <c r="D6" s="3">
        <v>2018</v>
      </c>
      <c r="E6" s="3">
        <v>2019</v>
      </c>
      <c r="F6" s="3">
        <v>2020</v>
      </c>
      <c r="G6" s="3">
        <v>2021</v>
      </c>
      <c r="H6" s="3">
        <v>2022</v>
      </c>
      <c r="I6" s="3">
        <v>2023</v>
      </c>
      <c r="J6" s="3">
        <v>2024</v>
      </c>
      <c r="K6" s="3">
        <v>2025</v>
      </c>
      <c r="L6" s="3">
        <v>2026</v>
      </c>
      <c r="M6" s="3">
        <v>2027</v>
      </c>
      <c r="N6" s="3">
        <v>2028</v>
      </c>
      <c r="O6" s="3">
        <v>2029</v>
      </c>
    </row>
    <row r="7" spans="2:15" ht="25.5">
      <c r="B7" s="4" t="s">
        <v>267</v>
      </c>
      <c r="C7" s="5">
        <f>+C68</f>
        <v>629041000</v>
      </c>
      <c r="D7" s="5">
        <f t="shared" ref="D7:I7" si="0">+D68</f>
        <v>844988000</v>
      </c>
      <c r="E7" s="5">
        <f t="shared" si="0"/>
        <v>696010000</v>
      </c>
      <c r="F7" s="5">
        <f t="shared" si="0"/>
        <v>765400000</v>
      </c>
      <c r="G7" s="5">
        <f t="shared" si="0"/>
        <v>1085776000</v>
      </c>
      <c r="H7" s="5">
        <f t="shared" si="0"/>
        <v>1934251000</v>
      </c>
      <c r="I7" s="5">
        <f t="shared" si="0"/>
        <v>1127024000</v>
      </c>
      <c r="J7" s="5">
        <v>1063624000</v>
      </c>
      <c r="K7" s="5">
        <v>68087000</v>
      </c>
      <c r="L7" s="5">
        <f t="shared" ref="L7" si="1">+L68</f>
        <v>0</v>
      </c>
      <c r="M7" s="5">
        <f t="shared" ref="M7:O7" si="2">+M68</f>
        <v>0</v>
      </c>
      <c r="N7" s="5">
        <f t="shared" si="2"/>
        <v>0</v>
      </c>
      <c r="O7" s="5">
        <f t="shared" si="2"/>
        <v>0</v>
      </c>
    </row>
    <row r="8" spans="2:15" ht="25.5">
      <c r="B8" s="146" t="s">
        <v>377</v>
      </c>
      <c r="C8" s="147">
        <f>+C72</f>
        <v>565175000</v>
      </c>
      <c r="D8" s="147">
        <f t="shared" ref="D8:J8" si="3">+D72</f>
        <v>794465000</v>
      </c>
      <c r="E8" s="147">
        <f t="shared" si="3"/>
        <v>633729000</v>
      </c>
      <c r="F8" s="147">
        <f t="shared" si="3"/>
        <v>727398000</v>
      </c>
      <c r="G8" s="147">
        <f t="shared" si="3"/>
        <v>781504000</v>
      </c>
      <c r="H8" s="147">
        <f t="shared" si="3"/>
        <v>1740322000</v>
      </c>
      <c r="I8" s="147">
        <f t="shared" si="3"/>
        <v>906181000</v>
      </c>
      <c r="J8" s="147">
        <f t="shared" si="3"/>
        <v>968800000</v>
      </c>
      <c r="K8" s="147">
        <v>12000</v>
      </c>
      <c r="L8" s="147">
        <f t="shared" ref="L8" si="4">+L72</f>
        <v>0</v>
      </c>
      <c r="M8" s="147">
        <f t="shared" ref="M8:O8" si="5">+M72</f>
        <v>0</v>
      </c>
      <c r="N8" s="147">
        <f t="shared" si="5"/>
        <v>0</v>
      </c>
      <c r="O8" s="147">
        <f t="shared" si="5"/>
        <v>0</v>
      </c>
    </row>
    <row r="9" spans="2:15" ht="25.5">
      <c r="B9" s="146" t="s">
        <v>378</v>
      </c>
      <c r="C9" s="147">
        <f>+C74</f>
        <v>0</v>
      </c>
      <c r="D9" s="147">
        <f t="shared" ref="D9:J9" si="6">+D74</f>
        <v>0</v>
      </c>
      <c r="E9" s="147">
        <f t="shared" si="6"/>
        <v>0</v>
      </c>
      <c r="F9" s="147">
        <f t="shared" si="6"/>
        <v>0</v>
      </c>
      <c r="G9" s="147">
        <f t="shared" si="6"/>
        <v>0</v>
      </c>
      <c r="H9" s="147">
        <f t="shared" si="6"/>
        <v>0</v>
      </c>
      <c r="I9" s="147">
        <f t="shared" si="6"/>
        <v>0</v>
      </c>
      <c r="J9" s="147">
        <f t="shared" si="6"/>
        <v>0</v>
      </c>
      <c r="K9" s="147">
        <v>0</v>
      </c>
      <c r="L9" s="147">
        <f t="shared" ref="L9" si="7">+L74</f>
        <v>0</v>
      </c>
      <c r="M9" s="147">
        <f t="shared" ref="M9:O9" si="8">+M74</f>
        <v>0</v>
      </c>
      <c r="N9" s="147">
        <f t="shared" si="8"/>
        <v>0</v>
      </c>
      <c r="O9" s="147">
        <f t="shared" si="8"/>
        <v>0</v>
      </c>
    </row>
    <row r="10" spans="2:15" ht="25.5">
      <c r="B10" s="4" t="s">
        <v>379</v>
      </c>
      <c r="C10" s="5">
        <f>+C77</f>
        <v>36510806000</v>
      </c>
      <c r="D10" s="5">
        <f t="shared" ref="D10:J10" si="9">+D77</f>
        <v>39004077000</v>
      </c>
      <c r="E10" s="5">
        <f t="shared" si="9"/>
        <v>30818474000</v>
      </c>
      <c r="F10" s="5">
        <f t="shared" si="9"/>
        <v>29108905000</v>
      </c>
      <c r="G10" s="5">
        <f t="shared" si="9"/>
        <v>22094697000</v>
      </c>
      <c r="H10" s="5">
        <f t="shared" si="9"/>
        <v>24943464000</v>
      </c>
      <c r="I10" s="5">
        <f t="shared" si="9"/>
        <v>44636499000</v>
      </c>
      <c r="J10" s="5">
        <f t="shared" si="9"/>
        <v>44526228000</v>
      </c>
      <c r="K10" s="5">
        <v>50221488000</v>
      </c>
      <c r="L10" s="5">
        <f t="shared" ref="L10" si="10">+L77</f>
        <v>0</v>
      </c>
      <c r="M10" s="5">
        <f t="shared" ref="M10:O10" si="11">+M77</f>
        <v>0</v>
      </c>
      <c r="N10" s="5">
        <f t="shared" si="11"/>
        <v>0</v>
      </c>
      <c r="O10" s="5">
        <f t="shared" si="11"/>
        <v>0</v>
      </c>
    </row>
    <row r="11" spans="2:15" ht="25.5">
      <c r="B11" s="8" t="s">
        <v>272</v>
      </c>
      <c r="C11" s="9">
        <f>+C10+C7</f>
        <v>37139847000</v>
      </c>
      <c r="D11" s="9">
        <f t="shared" ref="D11:J11" si="12">+D10+D7</f>
        <v>39849065000</v>
      </c>
      <c r="E11" s="9">
        <f t="shared" si="12"/>
        <v>31514484000</v>
      </c>
      <c r="F11" s="9">
        <f t="shared" si="12"/>
        <v>29874305000</v>
      </c>
      <c r="G11" s="9">
        <f t="shared" si="12"/>
        <v>23180473000</v>
      </c>
      <c r="H11" s="9">
        <f t="shared" si="12"/>
        <v>26877715000</v>
      </c>
      <c r="I11" s="9">
        <f t="shared" si="12"/>
        <v>45763523000</v>
      </c>
      <c r="J11" s="9">
        <f t="shared" si="12"/>
        <v>45589852000</v>
      </c>
      <c r="K11" s="9">
        <f>+K10+K7+K8</f>
        <v>50289587000</v>
      </c>
      <c r="L11" s="9">
        <f t="shared" ref="L11" si="13">+L10+L7</f>
        <v>0</v>
      </c>
      <c r="M11" s="9">
        <f t="shared" ref="M11:O11" si="14">+M10+M7</f>
        <v>0</v>
      </c>
      <c r="N11" s="9">
        <f t="shared" si="14"/>
        <v>0</v>
      </c>
      <c r="O11" s="9">
        <f t="shared" si="14"/>
        <v>0</v>
      </c>
    </row>
    <row r="12" spans="2:15" ht="25.5">
      <c r="B12" s="10" t="s">
        <v>273</v>
      </c>
      <c r="C12" s="11">
        <f>+C91</f>
        <v>630116000</v>
      </c>
      <c r="D12" s="11">
        <f t="shared" ref="D12:J12" si="15">+D91</f>
        <v>773994000</v>
      </c>
      <c r="E12" s="11">
        <f t="shared" si="15"/>
        <v>655828000</v>
      </c>
      <c r="F12" s="11">
        <f t="shared" si="15"/>
        <v>735003000</v>
      </c>
      <c r="G12" s="11">
        <f t="shared" si="15"/>
        <v>914776000</v>
      </c>
      <c r="H12" s="11">
        <f t="shared" si="15"/>
        <v>1590998000</v>
      </c>
      <c r="I12" s="11">
        <f t="shared" si="15"/>
        <v>951352000</v>
      </c>
      <c r="J12" s="11">
        <f t="shared" si="15"/>
        <v>1016216000</v>
      </c>
      <c r="K12" s="11">
        <v>49576000</v>
      </c>
      <c r="L12" s="11">
        <f t="shared" ref="L12" si="16">+L91</f>
        <v>0</v>
      </c>
      <c r="M12" s="11">
        <f t="shared" ref="M12:O12" si="17">+M91</f>
        <v>0</v>
      </c>
      <c r="N12" s="11">
        <f t="shared" si="17"/>
        <v>0</v>
      </c>
      <c r="O12" s="11">
        <f t="shared" si="17"/>
        <v>0</v>
      </c>
    </row>
    <row r="13" spans="2:15" ht="25.5">
      <c r="B13" s="10" t="s">
        <v>274</v>
      </c>
      <c r="C13" s="11">
        <f>+C101</f>
        <v>7467566000</v>
      </c>
      <c r="D13" s="11">
        <f t="shared" ref="D13:J13" si="18">+D101</f>
        <v>8074166000</v>
      </c>
      <c r="E13" s="11">
        <f t="shared" si="18"/>
        <v>5796001000</v>
      </c>
      <c r="F13" s="11">
        <f t="shared" si="18"/>
        <v>5263654000</v>
      </c>
      <c r="G13" s="11">
        <f t="shared" si="18"/>
        <v>3199914000</v>
      </c>
      <c r="H13" s="11">
        <f t="shared" si="18"/>
        <v>3669694000</v>
      </c>
      <c r="I13" s="11">
        <f t="shared" si="18"/>
        <v>8836215000</v>
      </c>
      <c r="J13" s="11">
        <f t="shared" si="18"/>
        <v>8672308000</v>
      </c>
      <c r="K13" s="11">
        <v>10155758000</v>
      </c>
      <c r="L13" s="11">
        <f t="shared" ref="L13" si="19">+L101</f>
        <v>0</v>
      </c>
      <c r="M13" s="11">
        <f t="shared" ref="M13:O13" si="20">+M101</f>
        <v>0</v>
      </c>
      <c r="N13" s="11">
        <f t="shared" si="20"/>
        <v>0</v>
      </c>
      <c r="O13" s="11">
        <f t="shared" si="20"/>
        <v>0</v>
      </c>
    </row>
    <row r="14" spans="2:15" ht="25.5">
      <c r="B14" s="12" t="s">
        <v>275</v>
      </c>
      <c r="C14" s="13">
        <f>+C12+C13</f>
        <v>8097682000</v>
      </c>
      <c r="D14" s="13">
        <f t="shared" ref="D14:J14" si="21">+D12+D13</f>
        <v>8848160000</v>
      </c>
      <c r="E14" s="13">
        <f t="shared" si="21"/>
        <v>6451829000</v>
      </c>
      <c r="F14" s="13">
        <f t="shared" si="21"/>
        <v>5998657000</v>
      </c>
      <c r="G14" s="13">
        <f t="shared" si="21"/>
        <v>4114690000</v>
      </c>
      <c r="H14" s="13">
        <f t="shared" si="21"/>
        <v>5260692000</v>
      </c>
      <c r="I14" s="13">
        <f t="shared" si="21"/>
        <v>9787567000</v>
      </c>
      <c r="J14" s="13">
        <f t="shared" si="21"/>
        <v>9688524000</v>
      </c>
      <c r="K14" s="13">
        <f t="shared" ref="K14" si="22">+K12+K13</f>
        <v>10205334000</v>
      </c>
      <c r="L14" s="13">
        <f t="shared" ref="L14" si="23">+L12+L13</f>
        <v>0</v>
      </c>
      <c r="M14" s="13">
        <f t="shared" ref="M14:O14" si="24">+M12+M13</f>
        <v>0</v>
      </c>
      <c r="N14" s="13">
        <f t="shared" si="24"/>
        <v>0</v>
      </c>
      <c r="O14" s="13">
        <f t="shared" si="24"/>
        <v>0</v>
      </c>
    </row>
    <row r="15" spans="2:15" ht="25.5">
      <c r="B15" s="14" t="s">
        <v>276</v>
      </c>
      <c r="C15" s="15">
        <f>+C114</f>
        <v>29042165000</v>
      </c>
      <c r="D15" s="15">
        <f t="shared" ref="D15:J15" si="25">+D114</f>
        <v>31000905000</v>
      </c>
      <c r="E15" s="15">
        <f t="shared" si="25"/>
        <v>25062655000</v>
      </c>
      <c r="F15" s="15">
        <f t="shared" si="25"/>
        <v>23875648000</v>
      </c>
      <c r="G15" s="15">
        <f t="shared" si="25"/>
        <v>19065783000</v>
      </c>
      <c r="H15" s="15">
        <f t="shared" si="25"/>
        <v>21617023000</v>
      </c>
      <c r="I15" s="15">
        <f>+I114</f>
        <v>35975956000</v>
      </c>
      <c r="J15" s="15">
        <f t="shared" si="25"/>
        <v>35901328000</v>
      </c>
      <c r="K15" s="15">
        <v>40084241000</v>
      </c>
      <c r="L15" s="15">
        <f t="shared" ref="L15" si="26">+L114</f>
        <v>0</v>
      </c>
      <c r="M15" s="15">
        <f t="shared" ref="M15:O15" si="27">+M114</f>
        <v>0</v>
      </c>
      <c r="N15" s="15">
        <f t="shared" si="27"/>
        <v>0</v>
      </c>
      <c r="O15" s="15">
        <f t="shared" si="27"/>
        <v>0</v>
      </c>
    </row>
    <row r="16" spans="2:15" ht="26.65">
      <c r="B16" s="79" t="s">
        <v>278</v>
      </c>
      <c r="C16" s="1270">
        <v>33392178</v>
      </c>
      <c r="D16" s="1270">
        <v>33392178</v>
      </c>
      <c r="E16" s="1270">
        <v>33392178</v>
      </c>
      <c r="F16" s="1270">
        <v>33392178</v>
      </c>
      <c r="G16" s="1270">
        <v>33392178</v>
      </c>
      <c r="H16" s="1270">
        <v>33392178</v>
      </c>
      <c r="I16" s="1270">
        <v>33392178</v>
      </c>
      <c r="J16" s="1270">
        <v>33392178</v>
      </c>
      <c r="K16" s="1270">
        <v>33392178</v>
      </c>
      <c r="L16" s="80"/>
      <c r="M16" s="80"/>
      <c r="N16" s="80"/>
      <c r="O16" s="80"/>
    </row>
    <row r="18" spans="2:15" ht="25.5">
      <c r="B18" s="18" t="s">
        <v>279</v>
      </c>
      <c r="C18" s="19">
        <f>(C15/C16)</f>
        <v>869.72958158045276</v>
      </c>
      <c r="D18" s="19">
        <f t="shared" ref="D18:I18" si="28">(D15/D16)</f>
        <v>928.38822912359899</v>
      </c>
      <c r="E18" s="19">
        <f t="shared" si="28"/>
        <v>750.55466582623035</v>
      </c>
      <c r="F18" s="19">
        <f t="shared" si="28"/>
        <v>715.00720917335786</v>
      </c>
      <c r="G18" s="19">
        <f t="shared" si="28"/>
        <v>570.96554169063188</v>
      </c>
      <c r="H18" s="19">
        <f t="shared" si="28"/>
        <v>647.36786561212034</v>
      </c>
      <c r="I18" s="19">
        <f t="shared" si="28"/>
        <v>1077.3767437392075</v>
      </c>
      <c r="J18" s="19">
        <f t="shared" ref="J18:K18" si="29">(J15/J16)</f>
        <v>1075.1418490881308</v>
      </c>
      <c r="K18" s="19">
        <f t="shared" si="29"/>
        <v>1200.4081015619886</v>
      </c>
      <c r="L18" s="19" t="e">
        <f t="shared" ref="L18" si="30">(L15/L16)</f>
        <v>#DIV/0!</v>
      </c>
      <c r="M18" s="19" t="e">
        <f t="shared" ref="M18:O18" si="31">(M15/M16)</f>
        <v>#DIV/0!</v>
      </c>
      <c r="N18" s="19" t="e">
        <f t="shared" si="31"/>
        <v>#DIV/0!</v>
      </c>
      <c r="O18" s="19" t="e">
        <f t="shared" si="31"/>
        <v>#DIV/0!</v>
      </c>
    </row>
    <row r="19" spans="2:15" ht="25.5">
      <c r="B19" s="76" t="s">
        <v>282</v>
      </c>
      <c r="C19" s="77">
        <v>1604</v>
      </c>
      <c r="D19" s="77">
        <v>1005</v>
      </c>
      <c r="E19" s="77">
        <v>850</v>
      </c>
      <c r="F19" s="77">
        <v>750</v>
      </c>
      <c r="G19" s="77">
        <v>660</v>
      </c>
      <c r="H19" s="101">
        <v>604</v>
      </c>
      <c r="I19" s="101">
        <v>890</v>
      </c>
      <c r="J19" s="101">
        <v>1210</v>
      </c>
      <c r="K19" s="101">
        <v>1590</v>
      </c>
      <c r="L19" s="101"/>
      <c r="M19" s="101"/>
      <c r="N19" s="101"/>
      <c r="O19" s="101"/>
    </row>
    <row r="20" spans="2:15" ht="25.5">
      <c r="B20" s="18" t="s">
        <v>283</v>
      </c>
      <c r="C20" s="22">
        <f>+C19/C40</f>
        <v>26.338259441707716</v>
      </c>
      <c r="D20" s="22">
        <f t="shared" ref="D20:J20" si="32">+D19/D40</f>
        <v>13.51714862138534</v>
      </c>
      <c r="E20" s="22">
        <f t="shared" si="32"/>
        <v>11.626316509369444</v>
      </c>
      <c r="F20" s="22">
        <f t="shared" si="32"/>
        <v>10.326311441553077</v>
      </c>
      <c r="G20" s="22">
        <f t="shared" si="32"/>
        <v>8.3050207625519068</v>
      </c>
      <c r="H20" s="22">
        <f t="shared" si="32"/>
        <v>4.6326123638594874</v>
      </c>
      <c r="I20" s="22">
        <f t="shared" si="32"/>
        <v>6.5867377146240376</v>
      </c>
      <c r="J20" s="22">
        <f t="shared" si="32"/>
        <v>9.1673611637245234</v>
      </c>
      <c r="K20" s="22">
        <f t="shared" ref="K20" si="33">+K19/K40</f>
        <v>31.237721021611002</v>
      </c>
      <c r="L20" s="22" t="e">
        <f t="shared" ref="L20" si="34">+L19/L40</f>
        <v>#DIV/0!</v>
      </c>
      <c r="M20" s="22" t="e">
        <f t="shared" ref="M20:O20" si="35">+M19/M40</f>
        <v>#DIV/0!</v>
      </c>
      <c r="N20" s="22" t="e">
        <f t="shared" si="35"/>
        <v>#DIV/0!</v>
      </c>
      <c r="O20" s="22" t="e">
        <f t="shared" si="35"/>
        <v>#DIV/0!</v>
      </c>
    </row>
    <row r="21" spans="2:15" ht="25.5">
      <c r="B21" s="18" t="s">
        <v>380</v>
      </c>
      <c r="C21" s="22">
        <f t="shared" ref="C21:I21" si="36">+C19/C18</f>
        <v>1.8442514017808245</v>
      </c>
      <c r="D21" s="22">
        <f t="shared" si="36"/>
        <v>1.0825212647824314</v>
      </c>
      <c r="E21" s="22">
        <f t="shared" si="36"/>
        <v>1.1324957910484743</v>
      </c>
      <c r="F21" s="22">
        <f t="shared" si="36"/>
        <v>1.0489404727360698</v>
      </c>
      <c r="G21" s="22">
        <f t="shared" si="36"/>
        <v>1.155936657833565</v>
      </c>
      <c r="H21" s="22">
        <f t="shared" si="36"/>
        <v>0.93300893060066592</v>
      </c>
      <c r="I21" s="22">
        <f t="shared" si="36"/>
        <v>0.82608057503739429</v>
      </c>
      <c r="J21" s="22">
        <f t="shared" ref="J21:K21" si="37">+J19/J18</f>
        <v>1.1254328915075229</v>
      </c>
      <c r="K21" s="22">
        <f t="shared" si="37"/>
        <v>1.3245495410528043</v>
      </c>
      <c r="L21" s="22" t="e">
        <f t="shared" ref="L21" si="38">+L19/L18</f>
        <v>#DIV/0!</v>
      </c>
      <c r="M21" s="22" t="e">
        <f t="shared" ref="M21:O21" si="39">+M19/M18</f>
        <v>#DIV/0!</v>
      </c>
      <c r="N21" s="22" t="e">
        <f t="shared" si="39"/>
        <v>#DIV/0!</v>
      </c>
      <c r="O21" s="22" t="e">
        <f t="shared" si="39"/>
        <v>#DIV/0!</v>
      </c>
    </row>
    <row r="22" spans="2:15" ht="25.5">
      <c r="B22" s="18" t="s">
        <v>285</v>
      </c>
      <c r="C22" s="22">
        <f>+C20*C21</f>
        <v>48.574371895836492</v>
      </c>
      <c r="D22" s="22">
        <f t="shared" ref="D22:I22" si="40">+D20*D21</f>
        <v>14.632600821874156</v>
      </c>
      <c r="E22" s="22">
        <f t="shared" si="40"/>
        <v>13.166754512258285</v>
      </c>
      <c r="F22" s="22">
        <f t="shared" si="40"/>
        <v>10.831686005122572</v>
      </c>
      <c r="G22" s="22">
        <f t="shared" si="40"/>
        <v>9.6000779435026171</v>
      </c>
      <c r="H22" s="22">
        <f t="shared" si="40"/>
        <v>4.322268707491963</v>
      </c>
      <c r="I22" s="22">
        <f t="shared" si="40"/>
        <v>5.4411760789171169</v>
      </c>
      <c r="J22" s="22">
        <f t="shared" ref="J22:K22" si="41">+J20*J21</f>
        <v>10.317249781984261</v>
      </c>
      <c r="K22" s="22">
        <f t="shared" si="41"/>
        <v>41.37590904271039</v>
      </c>
      <c r="L22" s="22" t="e">
        <f t="shared" ref="L22" si="42">+L20*L21</f>
        <v>#DIV/0!</v>
      </c>
      <c r="M22" s="22" t="e">
        <f t="shared" ref="M22:O22" si="43">+M20*M21</f>
        <v>#DIV/0!</v>
      </c>
      <c r="N22" s="22" t="e">
        <f t="shared" si="43"/>
        <v>#DIV/0!</v>
      </c>
      <c r="O22" s="22" t="e">
        <f t="shared" si="43"/>
        <v>#DIV/0!</v>
      </c>
    </row>
    <row r="23" spans="2:15" ht="25.5">
      <c r="B23" s="23" t="s">
        <v>286</v>
      </c>
      <c r="C23" s="24">
        <f>IF(C41&lt;10%,0,IF(15%&lt;C41,2,1))</f>
        <v>0</v>
      </c>
      <c r="D23" s="24">
        <f>IF(D41&lt;10%,0,IF(15%&lt;D41,2,1))</f>
        <v>0</v>
      </c>
      <c r="E23" s="24">
        <f t="shared" ref="E23:I23" si="44">IF(E41&lt;10%,0,IF(15%&lt;E41,2,1))</f>
        <v>0</v>
      </c>
      <c r="F23" s="24">
        <f t="shared" si="44"/>
        <v>1</v>
      </c>
      <c r="G23" s="24">
        <f t="shared" si="44"/>
        <v>1</v>
      </c>
      <c r="H23" s="24">
        <f t="shared" si="44"/>
        <v>2</v>
      </c>
      <c r="I23" s="24">
        <f t="shared" si="44"/>
        <v>1</v>
      </c>
      <c r="J23" s="24">
        <f t="shared" ref="J23:K23" si="45">IF(J41&lt;10%,0,IF(15%&lt;J41,2,1))</f>
        <v>1</v>
      </c>
      <c r="K23" s="24">
        <f t="shared" si="45"/>
        <v>0</v>
      </c>
      <c r="L23" s="24" t="e">
        <f t="shared" ref="L23" si="46">IF(L41&lt;10%,0,IF(15%&lt;L41,2,1))</f>
        <v>#DIV/0!</v>
      </c>
      <c r="M23" s="24" t="e">
        <f t="shared" ref="M23:O23" si="47">IF(M41&lt;10%,0,IF(15%&lt;M41,2,1))</f>
        <v>#DIV/0!</v>
      </c>
      <c r="N23" s="24" t="e">
        <f t="shared" si="47"/>
        <v>#DIV/0!</v>
      </c>
      <c r="O23" s="24" t="e">
        <f t="shared" si="47"/>
        <v>#DIV/0!</v>
      </c>
    </row>
    <row r="24" spans="2:15" ht="25.5">
      <c r="B24" s="23" t="s">
        <v>287</v>
      </c>
      <c r="C24" s="24">
        <f>IF(C41&lt;10%,1,IF(15%&lt;C41,2.5,2))</f>
        <v>1</v>
      </c>
      <c r="D24" s="24">
        <f t="shared" ref="D24:I24" si="48">IF(D41&lt;10%,1,IF(15%&lt;D41,2.5,2))</f>
        <v>1</v>
      </c>
      <c r="E24" s="24">
        <f t="shared" si="48"/>
        <v>1</v>
      </c>
      <c r="F24" s="24">
        <f t="shared" si="48"/>
        <v>2</v>
      </c>
      <c r="G24" s="24">
        <f t="shared" si="48"/>
        <v>2</v>
      </c>
      <c r="H24" s="24">
        <f t="shared" si="48"/>
        <v>2.5</v>
      </c>
      <c r="I24" s="24">
        <f t="shared" si="48"/>
        <v>2</v>
      </c>
      <c r="J24" s="24">
        <f t="shared" ref="J24:K24" si="49">IF(J41&lt;10%,1,IF(15%&lt;J41,2.5,2))</f>
        <v>2</v>
      </c>
      <c r="K24" s="24">
        <f t="shared" si="49"/>
        <v>1</v>
      </c>
      <c r="L24" s="24" t="e">
        <f t="shared" ref="L24" si="50">IF(L41&lt;10%,1,IF(15%&lt;L41,2.5,2))</f>
        <v>#DIV/0!</v>
      </c>
      <c r="M24" s="24" t="e">
        <f t="shared" ref="M24:O24" si="51">IF(M41&lt;10%,1,IF(15%&lt;M41,2.5,2))</f>
        <v>#DIV/0!</v>
      </c>
      <c r="N24" s="24" t="e">
        <f t="shared" si="51"/>
        <v>#DIV/0!</v>
      </c>
      <c r="O24" s="24" t="e">
        <f t="shared" si="51"/>
        <v>#DIV/0!</v>
      </c>
    </row>
    <row r="25" spans="2:15" ht="25.5">
      <c r="B25" s="25" t="s">
        <v>288</v>
      </c>
      <c r="C25" s="26">
        <f t="shared" ref="C25:I25" si="52">+C23*C18</f>
        <v>0</v>
      </c>
      <c r="D25" s="26">
        <f t="shared" si="52"/>
        <v>0</v>
      </c>
      <c r="E25" s="26">
        <f t="shared" si="52"/>
        <v>0</v>
      </c>
      <c r="F25" s="26">
        <f t="shared" si="52"/>
        <v>715.00720917335786</v>
      </c>
      <c r="G25" s="26">
        <f t="shared" si="52"/>
        <v>570.96554169063188</v>
      </c>
      <c r="H25" s="26">
        <f t="shared" si="52"/>
        <v>1294.7357312242407</v>
      </c>
      <c r="I25" s="26">
        <f t="shared" si="52"/>
        <v>1077.3767437392075</v>
      </c>
      <c r="J25" s="26">
        <f t="shared" ref="J25:K25" si="53">+J23*J18</f>
        <v>1075.1418490881308</v>
      </c>
      <c r="K25" s="26">
        <f t="shared" si="53"/>
        <v>0</v>
      </c>
      <c r="L25" s="26" t="e">
        <f t="shared" ref="L25" si="54">+L23*L18</f>
        <v>#DIV/0!</v>
      </c>
      <c r="M25" s="26" t="e">
        <f t="shared" ref="M25:O25" si="55">+M23*M18</f>
        <v>#DIV/0!</v>
      </c>
      <c r="N25" s="26" t="e">
        <f t="shared" si="55"/>
        <v>#DIV/0!</v>
      </c>
      <c r="O25" s="26" t="e">
        <f t="shared" si="55"/>
        <v>#DIV/0!</v>
      </c>
    </row>
    <row r="26" spans="2:15" ht="25.5">
      <c r="B26" s="25" t="s">
        <v>289</v>
      </c>
      <c r="C26" s="26">
        <f>AVERAGE(C25,C27)</f>
        <v>434.86479079022638</v>
      </c>
      <c r="D26" s="26">
        <f t="shared" ref="D26:I26" si="56">AVERAGE(D25,D27)</f>
        <v>464.19411456179949</v>
      </c>
      <c r="E26" s="26">
        <f t="shared" si="56"/>
        <v>375.27733291311517</v>
      </c>
      <c r="F26" s="26">
        <f t="shared" si="56"/>
        <v>1072.5108137600369</v>
      </c>
      <c r="G26" s="26">
        <f t="shared" si="56"/>
        <v>856.44831253594782</v>
      </c>
      <c r="H26" s="26">
        <f t="shared" si="56"/>
        <v>1456.5776976272707</v>
      </c>
      <c r="I26" s="26">
        <f t="shared" si="56"/>
        <v>1616.0651156088113</v>
      </c>
      <c r="J26" s="26">
        <f t="shared" ref="J26:K26" si="57">AVERAGE(J25,J27)</f>
        <v>1612.7127736321963</v>
      </c>
      <c r="K26" s="26">
        <f t="shared" si="57"/>
        <v>600.20405078099429</v>
      </c>
      <c r="L26" s="26" t="e">
        <f t="shared" ref="L26" si="58">AVERAGE(L25,L27)</f>
        <v>#DIV/0!</v>
      </c>
      <c r="M26" s="26" t="e">
        <f t="shared" ref="M26:O26" si="59">AVERAGE(M25,M27)</f>
        <v>#DIV/0!</v>
      </c>
      <c r="N26" s="26" t="e">
        <f t="shared" si="59"/>
        <v>#DIV/0!</v>
      </c>
      <c r="O26" s="26" t="e">
        <f t="shared" si="59"/>
        <v>#DIV/0!</v>
      </c>
    </row>
    <row r="27" spans="2:15" ht="25.5">
      <c r="B27" s="25" t="s">
        <v>290</v>
      </c>
      <c r="C27" s="26">
        <f t="shared" ref="C27:I27" si="60">+C18*C24</f>
        <v>869.72958158045276</v>
      </c>
      <c r="D27" s="26">
        <f t="shared" si="60"/>
        <v>928.38822912359899</v>
      </c>
      <c r="E27" s="26">
        <f t="shared" si="60"/>
        <v>750.55466582623035</v>
      </c>
      <c r="F27" s="26">
        <f t="shared" si="60"/>
        <v>1430.0144183467157</v>
      </c>
      <c r="G27" s="26">
        <f t="shared" si="60"/>
        <v>1141.9310833812638</v>
      </c>
      <c r="H27" s="26">
        <f t="shared" si="60"/>
        <v>1618.4196640303007</v>
      </c>
      <c r="I27" s="26">
        <f t="shared" si="60"/>
        <v>2154.7534874784151</v>
      </c>
      <c r="J27" s="26">
        <f t="shared" ref="J27:K27" si="61">+J18*J24</f>
        <v>2150.2836981762616</v>
      </c>
      <c r="K27" s="26">
        <f t="shared" si="61"/>
        <v>1200.4081015619886</v>
      </c>
      <c r="L27" s="26" t="e">
        <f t="shared" ref="L27" si="62">+L18*L24</f>
        <v>#DIV/0!</v>
      </c>
      <c r="M27" s="26" t="e">
        <f t="shared" ref="M27:O27" si="63">+M18*M24</f>
        <v>#DIV/0!</v>
      </c>
      <c r="N27" s="26" t="e">
        <f t="shared" si="63"/>
        <v>#DIV/0!</v>
      </c>
      <c r="O27" s="26" t="e">
        <f t="shared" si="63"/>
        <v>#DIV/0!</v>
      </c>
    </row>
    <row r="29" spans="2:15" ht="25.5">
      <c r="B29" s="243" t="s">
        <v>291</v>
      </c>
      <c r="C29" s="81">
        <f t="shared" ref="C29:I29" si="64">C7-C12</f>
        <v>-1075000</v>
      </c>
      <c r="D29" s="81">
        <f t="shared" si="64"/>
        <v>70994000</v>
      </c>
      <c r="E29" s="81">
        <f t="shared" si="64"/>
        <v>40182000</v>
      </c>
      <c r="F29" s="81">
        <f t="shared" si="64"/>
        <v>30397000</v>
      </c>
      <c r="G29" s="81">
        <f t="shared" si="64"/>
        <v>171000000</v>
      </c>
      <c r="H29" s="81">
        <f t="shared" si="64"/>
        <v>343253000</v>
      </c>
      <c r="I29" s="81">
        <f t="shared" si="64"/>
        <v>175672000</v>
      </c>
      <c r="J29" s="81">
        <f t="shared" ref="J29:K29" si="65">J7-J12</f>
        <v>47408000</v>
      </c>
      <c r="K29" s="81">
        <f t="shared" si="65"/>
        <v>18511000</v>
      </c>
      <c r="L29" s="81">
        <f t="shared" ref="L29" si="66">L7-L12</f>
        <v>0</v>
      </c>
      <c r="M29" s="81">
        <f t="shared" ref="M29:O29" si="67">M7-M12</f>
        <v>0</v>
      </c>
      <c r="N29" s="81">
        <f t="shared" si="67"/>
        <v>0</v>
      </c>
      <c r="O29" s="81">
        <f t="shared" si="67"/>
        <v>0</v>
      </c>
    </row>
    <row r="30" spans="2:15" ht="25.5">
      <c r="B30" s="30" t="s">
        <v>149</v>
      </c>
      <c r="C30" s="241">
        <f t="shared" ref="C30:I30" si="68">C7/C12</f>
        <v>0.99829396492074474</v>
      </c>
      <c r="D30" s="241">
        <f t="shared" si="68"/>
        <v>1.0917242252523922</v>
      </c>
      <c r="E30" s="241">
        <f t="shared" si="68"/>
        <v>1.0612691132431065</v>
      </c>
      <c r="F30" s="241">
        <f t="shared" si="68"/>
        <v>1.041356293783835</v>
      </c>
      <c r="G30" s="241">
        <f t="shared" si="68"/>
        <v>1.1869310082468276</v>
      </c>
      <c r="H30" s="242">
        <f t="shared" si="68"/>
        <v>1.2157469713978271</v>
      </c>
      <c r="I30" s="242">
        <f t="shared" si="68"/>
        <v>1.1846551013715219</v>
      </c>
      <c r="J30" s="242">
        <f t="shared" ref="J30:K30" si="69">J7/J12</f>
        <v>1.0466514992875531</v>
      </c>
      <c r="K30" s="242">
        <f t="shared" si="69"/>
        <v>1.3733863159593351</v>
      </c>
      <c r="L30" s="242" t="e">
        <f t="shared" ref="L30" si="70">L7/L12</f>
        <v>#DIV/0!</v>
      </c>
      <c r="M30" s="242" t="e">
        <f t="shared" ref="M30:O30" si="71">M7/M12</f>
        <v>#DIV/0!</v>
      </c>
      <c r="N30" s="242" t="e">
        <f t="shared" si="71"/>
        <v>#DIV/0!</v>
      </c>
      <c r="O30" s="242" t="e">
        <f t="shared" si="71"/>
        <v>#DIV/0!</v>
      </c>
    </row>
    <row r="31" spans="2:15" ht="25.5">
      <c r="B31" s="30" t="s">
        <v>292</v>
      </c>
      <c r="C31" s="241">
        <f t="shared" ref="C31:I31" si="72">+(C7-C9)/C12</f>
        <v>0.99829396492074474</v>
      </c>
      <c r="D31" s="241">
        <f t="shared" si="72"/>
        <v>1.0917242252523922</v>
      </c>
      <c r="E31" s="241">
        <f t="shared" si="72"/>
        <v>1.0612691132431065</v>
      </c>
      <c r="F31" s="241">
        <f t="shared" si="72"/>
        <v>1.041356293783835</v>
      </c>
      <c r="G31" s="241">
        <f t="shared" si="72"/>
        <v>1.1869310082468276</v>
      </c>
      <c r="H31" s="241">
        <f t="shared" si="72"/>
        <v>1.2157469713978271</v>
      </c>
      <c r="I31" s="241">
        <f t="shared" si="72"/>
        <v>1.1846551013715219</v>
      </c>
      <c r="J31" s="241">
        <f t="shared" ref="J31:K31" si="73">+(J7-J9)/J12</f>
        <v>1.0466514992875531</v>
      </c>
      <c r="K31" s="241">
        <f t="shared" si="73"/>
        <v>1.3733863159593351</v>
      </c>
      <c r="L31" s="241" t="e">
        <f t="shared" ref="L31" si="74">+(L7-L9)/L12</f>
        <v>#DIV/0!</v>
      </c>
      <c r="M31" s="241" t="e">
        <f t="shared" ref="M31:O31" si="75">+(M7-M9)/M12</f>
        <v>#DIV/0!</v>
      </c>
      <c r="N31" s="241" t="e">
        <f t="shared" si="75"/>
        <v>#DIV/0!</v>
      </c>
      <c r="O31" s="241" t="e">
        <f t="shared" si="75"/>
        <v>#DIV/0!</v>
      </c>
    </row>
    <row r="32" spans="2:15" ht="25.5">
      <c r="B32" s="32" t="s">
        <v>153</v>
      </c>
      <c r="C32" s="33">
        <f t="shared" ref="C32:I32" si="76">C14/C11</f>
        <v>0.2180321852160565</v>
      </c>
      <c r="D32" s="33">
        <f t="shared" si="76"/>
        <v>0.22204184715500852</v>
      </c>
      <c r="E32" s="33">
        <f t="shared" si="76"/>
        <v>0.20472583336601671</v>
      </c>
      <c r="F32" s="33">
        <f t="shared" si="76"/>
        <v>0.20079653735877706</v>
      </c>
      <c r="G32" s="33">
        <f t="shared" si="76"/>
        <v>0.1775067316357177</v>
      </c>
      <c r="H32" s="33">
        <f t="shared" si="76"/>
        <v>0.19572690610046278</v>
      </c>
      <c r="I32" s="33">
        <f t="shared" si="76"/>
        <v>0.21387267322054729</v>
      </c>
      <c r="J32" s="33">
        <f t="shared" ref="J32:K32" si="77">J14/J11</f>
        <v>0.21251492547069467</v>
      </c>
      <c r="K32" s="33">
        <f t="shared" si="77"/>
        <v>0.20293135435771226</v>
      </c>
      <c r="L32" s="33" t="e">
        <f t="shared" ref="L32" si="78">L14/L11</f>
        <v>#DIV/0!</v>
      </c>
      <c r="M32" s="33" t="e">
        <f t="shared" ref="M32:O32" si="79">M14/M11</f>
        <v>#DIV/0!</v>
      </c>
      <c r="N32" s="33" t="e">
        <f t="shared" si="79"/>
        <v>#DIV/0!</v>
      </c>
      <c r="O32" s="33" t="e">
        <f t="shared" si="79"/>
        <v>#DIV/0!</v>
      </c>
    </row>
    <row r="35" spans="2:15" ht="25.5">
      <c r="B35" s="35" t="s">
        <v>293</v>
      </c>
      <c r="C35" s="36">
        <f>+C118</f>
        <v>2252273000</v>
      </c>
      <c r="D35" s="36">
        <f t="shared" ref="D35:I35" si="80">+D118</f>
        <v>2586032000</v>
      </c>
      <c r="E35" s="36">
        <f t="shared" si="80"/>
        <v>2560088000</v>
      </c>
      <c r="F35" s="36">
        <f t="shared" si="80"/>
        <v>2518952000</v>
      </c>
      <c r="G35" s="36">
        <f t="shared" si="80"/>
        <v>2821433000</v>
      </c>
      <c r="H35" s="36">
        <f t="shared" si="80"/>
        <v>4585870000</v>
      </c>
      <c r="I35" s="36">
        <f t="shared" si="80"/>
        <v>4722066000</v>
      </c>
      <c r="J35" s="36">
        <f t="shared" ref="J35:K35" si="81">+J118</f>
        <v>4539795000</v>
      </c>
      <c r="K35" s="36">
        <f t="shared" si="81"/>
        <v>1748122000</v>
      </c>
      <c r="L35" s="36">
        <f t="shared" ref="L35" si="82">+L118</f>
        <v>0</v>
      </c>
      <c r="M35" s="36">
        <f t="shared" ref="M35:O35" si="83">+M118</f>
        <v>0</v>
      </c>
      <c r="N35" s="36">
        <f t="shared" si="83"/>
        <v>0</v>
      </c>
      <c r="O35" s="36">
        <f t="shared" si="83"/>
        <v>0</v>
      </c>
    </row>
    <row r="36" spans="2:15" ht="25.5">
      <c r="B36" s="39" t="s">
        <v>857</v>
      </c>
      <c r="C36" s="40">
        <f>+C125</f>
        <v>1973196000</v>
      </c>
      <c r="D36" s="40">
        <f t="shared" ref="D36:I36" si="84">+D125</f>
        <v>2442822000</v>
      </c>
      <c r="E36" s="40">
        <f t="shared" si="84"/>
        <v>2422498000</v>
      </c>
      <c r="F36" s="40">
        <f t="shared" si="84"/>
        <v>2406293000</v>
      </c>
      <c r="G36" s="40">
        <f t="shared" si="84"/>
        <v>2636531000</v>
      </c>
      <c r="H36" s="40">
        <f t="shared" si="84"/>
        <v>4282835000</v>
      </c>
      <c r="I36" s="40">
        <f t="shared" si="84"/>
        <v>4468080000</v>
      </c>
      <c r="J36" s="40">
        <f t="shared" ref="J36:K36" si="85">+J125</f>
        <v>4400625000</v>
      </c>
      <c r="K36" s="40">
        <f t="shared" si="85"/>
        <v>1702110000</v>
      </c>
      <c r="L36" s="40">
        <f t="shared" ref="L36" si="86">+L125</f>
        <v>0</v>
      </c>
      <c r="M36" s="40">
        <f t="shared" ref="M36:O36" si="87">+M125</f>
        <v>0</v>
      </c>
      <c r="N36" s="40">
        <f t="shared" si="87"/>
        <v>0</v>
      </c>
      <c r="O36" s="40">
        <f t="shared" si="87"/>
        <v>0</v>
      </c>
    </row>
    <row r="37" spans="2:15" ht="25.5">
      <c r="B37" s="35" t="s">
        <v>858</v>
      </c>
      <c r="C37" s="41">
        <f>C36/C35</f>
        <v>0.87609095345013677</v>
      </c>
      <c r="D37" s="41">
        <f t="shared" ref="D37:I37" si="88">D36/D35</f>
        <v>0.94462172161829394</v>
      </c>
      <c r="E37" s="41">
        <f t="shared" si="88"/>
        <v>0.94625575370846626</v>
      </c>
      <c r="F37" s="41">
        <f t="shared" si="88"/>
        <v>0.95527544788467589</v>
      </c>
      <c r="G37" s="41">
        <f t="shared" si="88"/>
        <v>0.9344652167887737</v>
      </c>
      <c r="H37" s="41">
        <f t="shared" si="88"/>
        <v>0.93391984508937231</v>
      </c>
      <c r="I37" s="41">
        <f t="shared" si="88"/>
        <v>0.94621295000959327</v>
      </c>
      <c r="J37" s="41">
        <f t="shared" ref="J37:K37" si="89">J36/J35</f>
        <v>0.96934443075072774</v>
      </c>
      <c r="K37" s="41">
        <f t="shared" si="89"/>
        <v>0.97367918257421393</v>
      </c>
      <c r="L37" s="41" t="e">
        <f t="shared" ref="L37" si="90">L36/L35</f>
        <v>#DIV/0!</v>
      </c>
      <c r="M37" s="41" t="e">
        <f t="shared" ref="M37:O37" si="91">M36/M35</f>
        <v>#DIV/0!</v>
      </c>
      <c r="N37" s="41" t="e">
        <f t="shared" si="91"/>
        <v>#DIV/0!</v>
      </c>
      <c r="O37" s="41" t="e">
        <f t="shared" si="91"/>
        <v>#DIV/0!</v>
      </c>
    </row>
    <row r="38" spans="2:15" ht="25.5">
      <c r="B38" s="43" t="s">
        <v>295</v>
      </c>
      <c r="C38" s="44">
        <f>+C133</f>
        <v>2033421000</v>
      </c>
      <c r="D38" s="44">
        <f t="shared" ref="D38:I38" si="92">+D133</f>
        <v>2482623000</v>
      </c>
      <c r="E38" s="44">
        <f t="shared" si="92"/>
        <v>2441531000</v>
      </c>
      <c r="F38" s="44">
        <f t="shared" si="92"/>
        <v>2425355000</v>
      </c>
      <c r="G38" s="44">
        <f t="shared" si="92"/>
        <v>2653823000</v>
      </c>
      <c r="H38" s="44">
        <f t="shared" si="92"/>
        <v>4353748000</v>
      </c>
      <c r="I38" s="44">
        <f t="shared" si="92"/>
        <v>4512117000</v>
      </c>
      <c r="J38" s="44">
        <f t="shared" ref="J38:K38" si="93">+J133</f>
        <v>4407335000</v>
      </c>
      <c r="K38" s="44">
        <f t="shared" si="93"/>
        <v>1699659000</v>
      </c>
      <c r="L38" s="44">
        <f t="shared" ref="L38" si="94">+L133</f>
        <v>0</v>
      </c>
      <c r="M38" s="44">
        <f t="shared" ref="M38:O38" si="95">+M133</f>
        <v>0</v>
      </c>
      <c r="N38" s="44">
        <f t="shared" si="95"/>
        <v>0</v>
      </c>
      <c r="O38" s="44">
        <f t="shared" si="95"/>
        <v>0</v>
      </c>
    </row>
    <row r="39" spans="2:15" ht="25.5">
      <c r="B39" s="30" t="s">
        <v>296</v>
      </c>
      <c r="C39" s="45">
        <f>C38/C35</f>
        <v>0.90283060712444718</v>
      </c>
      <c r="D39" s="45">
        <f t="shared" ref="D39:I39" si="96">D38/D35</f>
        <v>0.96001248244414605</v>
      </c>
      <c r="E39" s="45">
        <f t="shared" si="96"/>
        <v>0.9536902637721828</v>
      </c>
      <c r="F39" s="45">
        <f t="shared" si="96"/>
        <v>0.96284288069006474</v>
      </c>
      <c r="G39" s="45">
        <f t="shared" si="96"/>
        <v>0.94059401729546654</v>
      </c>
      <c r="H39" s="45">
        <f t="shared" si="96"/>
        <v>0.94938321409023807</v>
      </c>
      <c r="I39" s="45">
        <f t="shared" si="96"/>
        <v>0.95553874088163948</v>
      </c>
      <c r="J39" s="45">
        <f t="shared" ref="J39:K39" si="97">J38/J35</f>
        <v>0.97082247105871522</v>
      </c>
      <c r="K39" s="45">
        <f t="shared" si="97"/>
        <v>0.97227710651773736</v>
      </c>
      <c r="L39" s="45" t="e">
        <f t="shared" ref="L39" si="98">L38/L35</f>
        <v>#DIV/0!</v>
      </c>
      <c r="M39" s="45" t="e">
        <f t="shared" ref="M39:O39" si="99">M38/M35</f>
        <v>#DIV/0!</v>
      </c>
      <c r="N39" s="45" t="e">
        <f t="shared" si="99"/>
        <v>#DIV/0!</v>
      </c>
      <c r="O39" s="45" t="e">
        <f t="shared" si="99"/>
        <v>#DIV/0!</v>
      </c>
    </row>
    <row r="40" spans="2:15" ht="25.5">
      <c r="B40" s="46" t="s">
        <v>159</v>
      </c>
      <c r="C40" s="121">
        <f>+C135</f>
        <v>60.9</v>
      </c>
      <c r="D40" s="121">
        <f t="shared" ref="D40:I40" si="100">+D135</f>
        <v>74.349999999999994</v>
      </c>
      <c r="E40" s="121">
        <f t="shared" si="100"/>
        <v>73.11</v>
      </c>
      <c r="F40" s="121">
        <f t="shared" si="100"/>
        <v>72.63</v>
      </c>
      <c r="G40" s="121">
        <f t="shared" si="100"/>
        <v>79.47</v>
      </c>
      <c r="H40" s="121">
        <f t="shared" si="100"/>
        <v>130.38</v>
      </c>
      <c r="I40" s="121">
        <f t="shared" si="100"/>
        <v>135.12</v>
      </c>
      <c r="J40" s="121">
        <f t="shared" ref="J40:K40" si="101">+J135</f>
        <v>131.99</v>
      </c>
      <c r="K40" s="121">
        <f t="shared" si="101"/>
        <v>50.9</v>
      </c>
      <c r="L40" s="121">
        <f t="shared" ref="L40" si="102">+L135</f>
        <v>0</v>
      </c>
      <c r="M40" s="121">
        <f t="shared" ref="M40:O40" si="103">+M135</f>
        <v>0</v>
      </c>
      <c r="N40" s="121">
        <f t="shared" si="103"/>
        <v>0</v>
      </c>
      <c r="O40" s="121">
        <f t="shared" si="103"/>
        <v>0</v>
      </c>
    </row>
    <row r="41" spans="2:15" ht="25.5">
      <c r="B41" s="48" t="s">
        <v>160</v>
      </c>
      <c r="C41" s="49">
        <f t="shared" ref="C41" si="104">C38/C15</f>
        <v>7.0016164428512814E-2</v>
      </c>
      <c r="D41" s="49">
        <f t="shared" ref="D41:I41" si="105">D38/D15</f>
        <v>8.0082275017455129E-2</v>
      </c>
      <c r="E41" s="49">
        <f t="shared" si="105"/>
        <v>9.7417093280819614E-2</v>
      </c>
      <c r="F41" s="49">
        <f t="shared" si="105"/>
        <v>0.10158279264294733</v>
      </c>
      <c r="G41" s="49">
        <f t="shared" si="105"/>
        <v>0.13919297203791736</v>
      </c>
      <c r="H41" s="49">
        <f t="shared" si="105"/>
        <v>0.20140368079360418</v>
      </c>
      <c r="I41" s="49">
        <f t="shared" si="105"/>
        <v>0.12542035019166689</v>
      </c>
      <c r="J41" s="49">
        <f t="shared" ref="J41:K41" si="106">J38/J15</f>
        <v>0.12276245045865712</v>
      </c>
      <c r="K41" s="49">
        <f t="shared" si="106"/>
        <v>4.2402174959480961E-2</v>
      </c>
      <c r="L41" s="49" t="e">
        <f t="shared" ref="L41" si="107">L38/L15</f>
        <v>#DIV/0!</v>
      </c>
      <c r="M41" s="49" t="e">
        <f t="shared" ref="M41:O41" si="108">M38/M15</f>
        <v>#DIV/0!</v>
      </c>
      <c r="N41" s="49" t="e">
        <f t="shared" si="108"/>
        <v>#DIV/0!</v>
      </c>
      <c r="O41" s="49" t="e">
        <f t="shared" si="108"/>
        <v>#DIV/0!</v>
      </c>
    </row>
    <row r="42" spans="2:15" ht="25.5">
      <c r="B42" s="48" t="s">
        <v>382</v>
      </c>
      <c r="C42" s="49">
        <f>AVERAGE(G41:I41)</f>
        <v>0.15533900100772946</v>
      </c>
      <c r="D42" s="49"/>
      <c r="E42" s="49"/>
      <c r="F42" s="49"/>
      <c r="G42" s="49"/>
      <c r="H42" s="49"/>
      <c r="I42" s="49"/>
      <c r="J42" s="49"/>
      <c r="K42" s="49"/>
      <c r="L42" s="49"/>
      <c r="M42" s="49"/>
      <c r="N42" s="49"/>
      <c r="O42" s="49"/>
    </row>
    <row r="43" spans="2:15" ht="25.5">
      <c r="B43" s="48" t="s">
        <v>298</v>
      </c>
      <c r="C43" s="50">
        <f>+C147</f>
        <v>2100740000</v>
      </c>
      <c r="D43" s="50">
        <f t="shared" ref="D43:I43" si="109">+D147</f>
        <v>2182200000</v>
      </c>
      <c r="E43" s="50">
        <f t="shared" si="109"/>
        <v>2590566000</v>
      </c>
      <c r="F43" s="50">
        <f t="shared" si="109"/>
        <v>2375939000</v>
      </c>
      <c r="G43" s="50">
        <f t="shared" si="109"/>
        <v>2607809000</v>
      </c>
      <c r="H43" s="50">
        <f t="shared" si="109"/>
        <v>3350997000</v>
      </c>
      <c r="I43" s="50">
        <f t="shared" si="109"/>
        <v>5387514000</v>
      </c>
      <c r="J43" s="50">
        <f t="shared" ref="J43:K43" si="110">+J147</f>
        <v>4379724000</v>
      </c>
      <c r="K43" s="50">
        <f t="shared" si="110"/>
        <v>2664503000</v>
      </c>
      <c r="L43" s="50">
        <f t="shared" ref="L43" si="111">+L147</f>
        <v>0</v>
      </c>
      <c r="M43" s="50">
        <f t="shared" ref="M43:O43" si="112">+M147</f>
        <v>0</v>
      </c>
      <c r="N43" s="50">
        <f t="shared" si="112"/>
        <v>0</v>
      </c>
      <c r="O43" s="50">
        <f t="shared" si="112"/>
        <v>0</v>
      </c>
    </row>
    <row r="44" spans="2:15" ht="25.5">
      <c r="B44" s="51" t="s">
        <v>111</v>
      </c>
      <c r="C44" s="51">
        <f>SUM(C46:C49)</f>
        <v>63.4</v>
      </c>
      <c r="D44" s="51">
        <f t="shared" ref="D44:F44" si="113">SUM(D46:D49)</f>
        <v>64.599999999999994</v>
      </c>
      <c r="E44" s="51">
        <f t="shared" si="113"/>
        <v>78.097000000000008</v>
      </c>
      <c r="F44" s="51">
        <f t="shared" si="113"/>
        <v>70.319999999999993</v>
      </c>
      <c r="G44" s="51">
        <f>SUM(G46:G49)</f>
        <v>73.531999999999996</v>
      </c>
      <c r="H44" s="51">
        <f>SUM(H46:H49)</f>
        <v>101.874</v>
      </c>
      <c r="I44" s="51">
        <f t="shared" ref="I44:O44" si="114">SUM(I46:I49)</f>
        <v>112.99769999999999</v>
      </c>
      <c r="J44" s="51">
        <f t="shared" si="114"/>
        <v>74.53</v>
      </c>
      <c r="K44" s="51">
        <f t="shared" si="114"/>
        <v>0</v>
      </c>
      <c r="L44" s="51">
        <f t="shared" si="114"/>
        <v>0</v>
      </c>
      <c r="M44" s="51">
        <f t="shared" si="114"/>
        <v>0</v>
      </c>
      <c r="N44" s="51">
        <f t="shared" si="114"/>
        <v>0</v>
      </c>
      <c r="O44" s="51">
        <f t="shared" si="114"/>
        <v>0</v>
      </c>
    </row>
    <row r="45" spans="2:15" ht="25.5">
      <c r="B45" s="51" t="s">
        <v>112</v>
      </c>
      <c r="C45" s="51">
        <f>+C46+C47+C48</f>
        <v>63.4</v>
      </c>
      <c r="D45" s="51">
        <f t="shared" ref="D45:G45" si="115">+D46+D47+D48</f>
        <v>64.599999999999994</v>
      </c>
      <c r="E45" s="51">
        <f t="shared" si="115"/>
        <v>74.447000000000003</v>
      </c>
      <c r="F45" s="51">
        <f t="shared" si="115"/>
        <v>70.319999999999993</v>
      </c>
      <c r="G45" s="51">
        <f t="shared" si="115"/>
        <v>73.031999999999996</v>
      </c>
      <c r="H45" s="51">
        <f t="shared" ref="H45" si="116">+H46+H47+H48</f>
        <v>101.874</v>
      </c>
      <c r="I45" s="51">
        <f t="shared" ref="I45" si="117">+I46+I47+I48</f>
        <v>90.38</v>
      </c>
      <c r="J45" s="51">
        <f t="shared" ref="J45" si="118">+J46+J47+J48</f>
        <v>74.53</v>
      </c>
      <c r="K45" s="51">
        <f t="shared" ref="K45" si="119">+K46+K47</f>
        <v>0</v>
      </c>
      <c r="L45" s="51">
        <f t="shared" ref="L45" si="120">+L46+L47</f>
        <v>0</v>
      </c>
      <c r="M45" s="51">
        <f t="shared" ref="M45:O45" si="121">+M46+M47</f>
        <v>0</v>
      </c>
      <c r="N45" s="51">
        <f t="shared" si="121"/>
        <v>0</v>
      </c>
      <c r="O45" s="51">
        <f t="shared" si="121"/>
        <v>0</v>
      </c>
    </row>
    <row r="46" spans="2:15" ht="18">
      <c r="B46" s="135" t="s">
        <v>114</v>
      </c>
      <c r="C46" s="94">
        <v>8</v>
      </c>
      <c r="D46" s="94">
        <v>23.5</v>
      </c>
      <c r="E46" s="94">
        <v>25.646999999999998</v>
      </c>
      <c r="F46" s="94">
        <v>26.72</v>
      </c>
      <c r="G46" s="94"/>
      <c r="H46" s="94">
        <v>31.173999999999999</v>
      </c>
      <c r="I46" s="155"/>
      <c r="J46" s="155"/>
      <c r="K46" s="155"/>
      <c r="L46" s="155"/>
      <c r="M46" s="155"/>
      <c r="N46" s="155"/>
      <c r="O46" s="155"/>
    </row>
    <row r="47" spans="2:15" ht="18">
      <c r="B47" s="135" t="s">
        <v>115</v>
      </c>
      <c r="C47" s="94">
        <f>12.2+17.3</f>
        <v>29.5</v>
      </c>
      <c r="D47" s="94">
        <f>26.1+15</f>
        <v>41.1</v>
      </c>
      <c r="E47" s="94">
        <f>26.2+22.6</f>
        <v>48.8</v>
      </c>
      <c r="F47" s="94">
        <f>25.2+18.4</f>
        <v>43.599999999999994</v>
      </c>
      <c r="G47" s="94">
        <f>25.6+21</f>
        <v>46.6</v>
      </c>
      <c r="H47" s="94">
        <f>48+22.7</f>
        <v>70.7</v>
      </c>
      <c r="I47" s="155">
        <v>54</v>
      </c>
      <c r="J47" s="155">
        <v>27.1</v>
      </c>
      <c r="K47" s="155"/>
      <c r="L47" s="155"/>
      <c r="M47" s="155"/>
      <c r="N47" s="155"/>
      <c r="O47" s="155"/>
    </row>
    <row r="48" spans="2:15" ht="18">
      <c r="B48" s="135" t="s">
        <v>116</v>
      </c>
      <c r="C48" s="94">
        <v>25.9</v>
      </c>
      <c r="D48" s="94"/>
      <c r="E48" s="94"/>
      <c r="F48" s="94"/>
      <c r="G48" s="94">
        <v>26.431999999999999</v>
      </c>
      <c r="H48" s="94"/>
      <c r="I48" s="155">
        <v>36.380000000000003</v>
      </c>
      <c r="J48" s="155">
        <v>47.43</v>
      </c>
      <c r="K48" s="155"/>
      <c r="L48" s="155"/>
      <c r="M48" s="155"/>
      <c r="N48" s="155"/>
      <c r="O48" s="155"/>
    </row>
    <row r="49" spans="2:16" ht="18">
      <c r="B49" s="135" t="s">
        <v>117</v>
      </c>
      <c r="C49" s="94"/>
      <c r="D49" s="94"/>
      <c r="E49" s="94">
        <v>3.65</v>
      </c>
      <c r="F49" s="94"/>
      <c r="G49" s="94">
        <v>0.5</v>
      </c>
      <c r="H49" s="94"/>
      <c r="I49" s="94">
        <v>22.617699999999999</v>
      </c>
      <c r="J49" s="94"/>
      <c r="K49" s="94"/>
      <c r="L49" s="94"/>
      <c r="M49" s="94"/>
      <c r="N49" s="94"/>
      <c r="O49" s="94"/>
    </row>
    <row r="50" spans="2:16" ht="25.5">
      <c r="B50" s="51" t="s">
        <v>119</v>
      </c>
      <c r="C50" s="94">
        <f>C52+C53+C54+C55</f>
        <v>50.7</v>
      </c>
      <c r="D50" s="94">
        <f t="shared" ref="D50:J50" si="122">D52+D53+D54+D55</f>
        <v>77.997000000000014</v>
      </c>
      <c r="E50" s="94">
        <f t="shared" si="122"/>
        <v>71.319999999999993</v>
      </c>
      <c r="F50" s="94">
        <f t="shared" si="122"/>
        <v>73.132000000000005</v>
      </c>
      <c r="G50" s="94">
        <f t="shared" si="122"/>
        <v>79.47</v>
      </c>
      <c r="H50" s="94">
        <f t="shared" si="122"/>
        <v>153</v>
      </c>
      <c r="I50" s="94">
        <f t="shared" si="122"/>
        <v>128.53</v>
      </c>
      <c r="J50" s="94">
        <f t="shared" si="122"/>
        <v>88.49</v>
      </c>
      <c r="K50" s="94"/>
      <c r="L50" s="94"/>
      <c r="M50" s="94"/>
      <c r="N50" s="94"/>
      <c r="O50" s="94"/>
    </row>
    <row r="51" spans="2:16" ht="25.5">
      <c r="B51" s="51" t="s">
        <v>120</v>
      </c>
      <c r="C51" s="94">
        <f>C52+C53+C54</f>
        <v>50.7</v>
      </c>
      <c r="D51" s="94">
        <f t="shared" ref="D51:J51" si="123">D52+D53+D54</f>
        <v>74.347000000000008</v>
      </c>
      <c r="E51" s="94">
        <f t="shared" si="123"/>
        <v>71.319999999999993</v>
      </c>
      <c r="F51" s="94">
        <f t="shared" si="123"/>
        <v>72.632000000000005</v>
      </c>
      <c r="G51" s="94">
        <f t="shared" si="123"/>
        <v>79.47</v>
      </c>
      <c r="H51" s="94">
        <f t="shared" si="123"/>
        <v>130.38200000000001</v>
      </c>
      <c r="I51" s="94">
        <f t="shared" si="123"/>
        <v>128.53</v>
      </c>
      <c r="J51" s="94">
        <f t="shared" si="123"/>
        <v>88.49</v>
      </c>
      <c r="K51" s="94"/>
      <c r="L51" s="94"/>
      <c r="M51" s="94"/>
      <c r="N51" s="94"/>
      <c r="O51" s="94"/>
    </row>
    <row r="52" spans="2:16" ht="18">
      <c r="B52" s="135" t="s">
        <v>121</v>
      </c>
      <c r="C52" s="94">
        <v>23.5</v>
      </c>
      <c r="D52" s="851">
        <v>25.646999999999998</v>
      </c>
      <c r="E52" s="94">
        <v>26.72</v>
      </c>
      <c r="F52" s="94">
        <v>26.431999999999999</v>
      </c>
      <c r="G52" s="94">
        <v>31.17</v>
      </c>
      <c r="H52" s="94">
        <v>36.381999999999998</v>
      </c>
      <c r="I52" s="94">
        <v>47.43</v>
      </c>
      <c r="J52" s="94"/>
      <c r="K52" s="94"/>
      <c r="L52" s="94"/>
      <c r="M52" s="94"/>
      <c r="N52" s="94"/>
      <c r="O52" s="94"/>
    </row>
    <row r="53" spans="2:16" ht="18">
      <c r="B53" s="135" t="s">
        <v>122</v>
      </c>
      <c r="C53" s="94">
        <v>27.2</v>
      </c>
      <c r="D53" s="94">
        <v>48.7</v>
      </c>
      <c r="E53" s="94">
        <v>44.6</v>
      </c>
      <c r="F53" s="94">
        <v>46.2</v>
      </c>
      <c r="G53" s="94">
        <v>48.3</v>
      </c>
      <c r="H53" s="94">
        <v>94</v>
      </c>
      <c r="I53" s="94">
        <v>81.099999999999994</v>
      </c>
      <c r="J53" s="94">
        <v>88.49</v>
      </c>
      <c r="K53" s="94"/>
      <c r="L53" s="94"/>
      <c r="M53" s="94"/>
      <c r="N53" s="94"/>
      <c r="O53" s="94"/>
    </row>
    <row r="54" spans="2:16" ht="18">
      <c r="B54" s="135" t="s">
        <v>123</v>
      </c>
      <c r="C54" s="94"/>
      <c r="D54" s="94"/>
      <c r="E54" s="94"/>
      <c r="F54" s="94"/>
      <c r="G54" s="94"/>
      <c r="H54" s="94"/>
      <c r="I54" s="94"/>
      <c r="J54" s="94"/>
      <c r="K54" s="94"/>
      <c r="L54" s="94"/>
      <c r="M54" s="94"/>
      <c r="N54" s="94"/>
      <c r="O54" s="94"/>
    </row>
    <row r="55" spans="2:16" ht="18">
      <c r="B55" s="135" t="s">
        <v>124</v>
      </c>
      <c r="C55" s="94"/>
      <c r="D55" s="94">
        <v>3.65</v>
      </c>
      <c r="E55" s="94"/>
      <c r="F55" s="94">
        <v>0.5</v>
      </c>
      <c r="G55" s="94"/>
      <c r="H55" s="94">
        <v>22.617999999999999</v>
      </c>
      <c r="I55" s="94"/>
      <c r="J55" s="94"/>
      <c r="K55" s="94"/>
      <c r="L55" s="94"/>
      <c r="M55" s="94"/>
      <c r="N55" s="94"/>
      <c r="O55" s="94"/>
    </row>
    <row r="56" spans="2:16" ht="25.5">
      <c r="B56" s="541" t="s">
        <v>167</v>
      </c>
      <c r="C56" s="99">
        <f t="shared" ref="C56:O56" si="124">C51/C40</f>
        <v>0.83251231527093605</v>
      </c>
      <c r="D56" s="99">
        <f t="shared" si="124"/>
        <v>0.9999596503026229</v>
      </c>
      <c r="E56" s="99">
        <f t="shared" si="124"/>
        <v>0.97551634523321018</v>
      </c>
      <c r="F56" s="99">
        <f t="shared" si="124"/>
        <v>1.0000275368305109</v>
      </c>
      <c r="G56" s="99">
        <f t="shared" si="124"/>
        <v>1</v>
      </c>
      <c r="H56" s="99">
        <f t="shared" si="124"/>
        <v>1.0000153397760394</v>
      </c>
      <c r="I56" s="99">
        <f t="shared" si="124"/>
        <v>0.95122853759621073</v>
      </c>
      <c r="J56" s="99">
        <f t="shared" si="124"/>
        <v>0.67042957799833314</v>
      </c>
      <c r="K56" s="99">
        <f t="shared" si="124"/>
        <v>0</v>
      </c>
      <c r="L56" s="99" t="e">
        <f t="shared" si="124"/>
        <v>#DIV/0!</v>
      </c>
      <c r="M56" s="99" t="e">
        <f t="shared" si="124"/>
        <v>#DIV/0!</v>
      </c>
      <c r="N56" s="99" t="e">
        <f t="shared" si="124"/>
        <v>#DIV/0!</v>
      </c>
      <c r="O56" s="99" t="e">
        <f t="shared" si="124"/>
        <v>#DIV/0!</v>
      </c>
    </row>
    <row r="57" spans="2:16" ht="28.5">
      <c r="B57" s="540" t="s">
        <v>303</v>
      </c>
      <c r="C57" s="54">
        <f>AVERAGE(G56:I56)</f>
        <v>0.98374795912408342</v>
      </c>
      <c r="D57" s="54"/>
      <c r="E57" s="54"/>
      <c r="F57" s="54"/>
      <c r="G57" s="54"/>
      <c r="H57" s="54"/>
      <c r="I57" s="54"/>
      <c r="J57" s="54"/>
      <c r="K57" s="54"/>
      <c r="L57" s="54"/>
      <c r="M57" s="54"/>
      <c r="N57" s="54"/>
      <c r="O57" s="54"/>
      <c r="P57" s="54"/>
    </row>
    <row r="58" spans="2:16" ht="25.5">
      <c r="B58" s="541" t="s">
        <v>299</v>
      </c>
      <c r="C58" s="99">
        <f t="shared" ref="C58:I58" si="125">+C44/C19</f>
        <v>3.9526184538653364E-2</v>
      </c>
      <c r="D58" s="99">
        <f t="shared" si="125"/>
        <v>6.4278606965174123E-2</v>
      </c>
      <c r="E58" s="99">
        <f t="shared" si="125"/>
        <v>9.1878823529411777E-2</v>
      </c>
      <c r="F58" s="99">
        <f t="shared" si="125"/>
        <v>9.3759999999999996E-2</v>
      </c>
      <c r="G58" s="99">
        <f t="shared" si="125"/>
        <v>0.11141212121212121</v>
      </c>
      <c r="H58" s="99">
        <f t="shared" si="125"/>
        <v>0.16866556291390727</v>
      </c>
      <c r="I58" s="99">
        <f t="shared" si="125"/>
        <v>0.12696370786516853</v>
      </c>
      <c r="J58" s="99">
        <f t="shared" ref="J58:O58" si="126">+J44/J19</f>
        <v>6.1595041322314054E-2</v>
      </c>
      <c r="K58" s="99">
        <f t="shared" si="126"/>
        <v>0</v>
      </c>
      <c r="L58" s="99" t="e">
        <f t="shared" si="126"/>
        <v>#DIV/0!</v>
      </c>
      <c r="M58" s="99" t="e">
        <f t="shared" si="126"/>
        <v>#DIV/0!</v>
      </c>
      <c r="N58" s="99" t="e">
        <f t="shared" si="126"/>
        <v>#DIV/0!</v>
      </c>
      <c r="O58" s="99" t="e">
        <f t="shared" si="126"/>
        <v>#DIV/0!</v>
      </c>
    </row>
    <row r="59" spans="2:16" ht="25.5">
      <c r="B59" s="542" t="s">
        <v>384</v>
      </c>
      <c r="C59" s="534">
        <f>AVERAGE(G58:I58)</f>
        <v>0.13568046399706568</v>
      </c>
      <c r="D59" s="534"/>
      <c r="E59" s="534"/>
      <c r="F59" s="534"/>
      <c r="G59" s="534"/>
      <c r="H59" s="534"/>
      <c r="I59" s="534"/>
      <c r="J59" s="534"/>
      <c r="K59" s="534"/>
      <c r="L59" s="534"/>
      <c r="M59" s="534"/>
      <c r="N59" s="534"/>
      <c r="O59" s="534"/>
      <c r="P59" s="534"/>
    </row>
    <row r="60" spans="2:16" ht="25.5">
      <c r="B60" s="543" t="s">
        <v>176</v>
      </c>
      <c r="C60" s="355">
        <f>+C41*(100%-C58)</f>
        <v>6.7248692592622714E-2</v>
      </c>
      <c r="D60" s="355">
        <f t="shared" ref="D60:I60" si="127">+D41*(100%-D58)</f>
        <v>7.4934697936731146E-2</v>
      </c>
      <c r="E60" s="355">
        <f t="shared" si="127"/>
        <v>8.8466525358522938E-2</v>
      </c>
      <c r="F60" s="355">
        <f t="shared" si="127"/>
        <v>9.2058390004744584E-2</v>
      </c>
      <c r="G60" s="355">
        <f t="shared" si="127"/>
        <v>0.12368518776535352</v>
      </c>
      <c r="H60" s="355">
        <f t="shared" si="127"/>
        <v>0.16743381559961804</v>
      </c>
      <c r="I60" s="355">
        <f t="shared" si="127"/>
        <v>0.10949651748958496</v>
      </c>
      <c r="J60" s="355">
        <f t="shared" ref="J60:O60" si="128">+J41*(100%-J58)</f>
        <v>0.1152008922498276</v>
      </c>
      <c r="K60" s="355">
        <f t="shared" si="128"/>
        <v>4.2402174959480961E-2</v>
      </c>
      <c r="L60" s="355" t="e">
        <f t="shared" si="128"/>
        <v>#DIV/0!</v>
      </c>
      <c r="M60" s="355" t="e">
        <f t="shared" si="128"/>
        <v>#DIV/0!</v>
      </c>
      <c r="N60" s="355" t="e">
        <f t="shared" si="128"/>
        <v>#DIV/0!</v>
      </c>
      <c r="O60" s="355" t="e">
        <f t="shared" si="128"/>
        <v>#DIV/0!</v>
      </c>
    </row>
    <row r="61" spans="2:16" ht="25.5">
      <c r="B61" s="542" t="s">
        <v>306</v>
      </c>
      <c r="C61" s="534">
        <f>AVERAGE(G60:I60)</f>
        <v>0.13353850695151884</v>
      </c>
      <c r="D61" s="534"/>
      <c r="E61" s="534"/>
      <c r="F61" s="534"/>
      <c r="G61" s="534"/>
      <c r="H61" s="534"/>
      <c r="I61" s="534"/>
      <c r="J61" s="534"/>
      <c r="K61" s="534"/>
      <c r="L61" s="534"/>
      <c r="M61" s="534"/>
      <c r="N61" s="534"/>
      <c r="O61" s="534"/>
    </row>
    <row r="62" spans="2:16" ht="25.5">
      <c r="B62" s="543" t="s">
        <v>300</v>
      </c>
      <c r="C62" s="725">
        <f ca="1">B3</f>
        <v>1480</v>
      </c>
      <c r="D62" s="534"/>
      <c r="E62" s="534"/>
      <c r="F62" s="534"/>
      <c r="G62" s="534"/>
      <c r="H62" s="534"/>
      <c r="I62" s="534"/>
      <c r="J62" s="534"/>
      <c r="K62" s="534"/>
      <c r="L62" s="534"/>
      <c r="M62" s="534"/>
      <c r="N62" s="534"/>
      <c r="O62" s="534"/>
    </row>
    <row r="64" spans="2:16">
      <c r="B64" s="75" t="s">
        <v>307</v>
      </c>
    </row>
    <row r="65" spans="2:15" ht="14.65" thickBot="1"/>
    <row r="66" spans="2:15">
      <c r="B66" s="57" t="s">
        <v>385</v>
      </c>
      <c r="C66" s="158">
        <v>2017</v>
      </c>
      <c r="D66" s="158">
        <v>2018</v>
      </c>
      <c r="E66" s="158">
        <v>2019</v>
      </c>
      <c r="F66" s="158">
        <v>2020</v>
      </c>
      <c r="G66" s="158">
        <v>2021</v>
      </c>
      <c r="H66" s="158">
        <v>2022</v>
      </c>
      <c r="I66" s="158">
        <v>2023</v>
      </c>
      <c r="J66" s="158">
        <v>2024</v>
      </c>
      <c r="K66" s="158">
        <v>2025</v>
      </c>
      <c r="L66" s="158">
        <v>2026</v>
      </c>
      <c r="M66" s="158">
        <v>2027</v>
      </c>
      <c r="N66" s="158">
        <v>2028</v>
      </c>
      <c r="O66" s="158">
        <v>2029</v>
      </c>
    </row>
    <row r="67" spans="2:15">
      <c r="B67" s="157" t="s">
        <v>309</v>
      </c>
      <c r="C67" s="66"/>
      <c r="D67" s="66"/>
      <c r="E67" s="66"/>
      <c r="F67" s="66"/>
      <c r="G67" s="66"/>
      <c r="H67" s="66"/>
      <c r="I67" s="66"/>
      <c r="J67" s="66"/>
      <c r="K67" s="66"/>
      <c r="L67" s="66"/>
      <c r="M67" s="66"/>
      <c r="N67" s="66"/>
      <c r="O67" s="66"/>
    </row>
    <row r="68" spans="2:15">
      <c r="B68" s="58" t="s">
        <v>310</v>
      </c>
      <c r="C68" s="64">
        <v>629041000</v>
      </c>
      <c r="D68" s="64">
        <v>844988000</v>
      </c>
      <c r="E68" s="64">
        <v>696010000</v>
      </c>
      <c r="F68" s="159">
        <v>765400000</v>
      </c>
      <c r="G68" s="64">
        <v>1085776000</v>
      </c>
      <c r="H68" s="141">
        <v>1934251000</v>
      </c>
      <c r="I68" s="64">
        <v>1127024000</v>
      </c>
      <c r="J68" s="64">
        <v>1063624000</v>
      </c>
      <c r="K68" s="64">
        <v>68087000</v>
      </c>
      <c r="L68" s="64"/>
      <c r="M68" s="64"/>
      <c r="N68" s="64"/>
      <c r="O68" s="64"/>
    </row>
    <row r="69" spans="2:15">
      <c r="B69" s="59" t="s">
        <v>386</v>
      </c>
      <c r="C69" s="66">
        <v>492000</v>
      </c>
      <c r="D69" s="66">
        <v>4123000</v>
      </c>
      <c r="E69" s="66">
        <v>577000</v>
      </c>
      <c r="F69" s="66">
        <v>17539000</v>
      </c>
      <c r="G69" s="66">
        <v>284076000</v>
      </c>
      <c r="H69" s="160">
        <v>119172000</v>
      </c>
      <c r="I69" s="66">
        <v>184771000</v>
      </c>
      <c r="J69" s="66">
        <v>93575000</v>
      </c>
      <c r="K69" s="66">
        <v>64911000</v>
      </c>
      <c r="L69" s="66"/>
      <c r="M69" s="66"/>
      <c r="N69" s="66"/>
      <c r="O69" s="66"/>
    </row>
    <row r="70" spans="2:15">
      <c r="B70" s="59" t="s">
        <v>387</v>
      </c>
      <c r="C70" s="66">
        <v>190000</v>
      </c>
      <c r="D70" s="66">
        <v>190000</v>
      </c>
      <c r="E70" s="66">
        <v>190000</v>
      </c>
      <c r="F70" s="66">
        <v>190000</v>
      </c>
      <c r="G70" s="66"/>
      <c r="H70" s="160"/>
      <c r="I70" s="66">
        <v>1202000</v>
      </c>
      <c r="J70" s="66">
        <v>1249000</v>
      </c>
      <c r="K70" s="66">
        <v>3164000</v>
      </c>
      <c r="L70" s="66"/>
      <c r="M70" s="66"/>
      <c r="N70" s="66"/>
      <c r="O70" s="66"/>
    </row>
    <row r="71" spans="2:15">
      <c r="B71" s="59" t="s">
        <v>388</v>
      </c>
      <c r="C71" s="66"/>
      <c r="D71" s="66"/>
      <c r="E71" s="66"/>
      <c r="F71" s="66"/>
      <c r="G71" s="66"/>
      <c r="H71" s="160"/>
      <c r="I71" s="66"/>
      <c r="J71" s="1271" t="s">
        <v>180</v>
      </c>
      <c r="K71" s="1271" t="s">
        <v>180</v>
      </c>
      <c r="L71" s="66"/>
      <c r="M71" s="66"/>
      <c r="N71" s="66"/>
      <c r="O71" s="66"/>
    </row>
    <row r="72" spans="2:15">
      <c r="B72" s="59" t="s">
        <v>389</v>
      </c>
      <c r="C72" s="66">
        <v>565175000</v>
      </c>
      <c r="D72" s="66">
        <v>794465000</v>
      </c>
      <c r="E72" s="66">
        <v>633729000</v>
      </c>
      <c r="F72" s="66">
        <v>727398000</v>
      </c>
      <c r="G72" s="66">
        <v>781504000</v>
      </c>
      <c r="H72" s="160">
        <v>1740322000</v>
      </c>
      <c r="I72" s="66">
        <v>906181000</v>
      </c>
      <c r="J72" s="66">
        <v>968800000</v>
      </c>
      <c r="K72" s="66">
        <v>12000</v>
      </c>
      <c r="L72" s="66"/>
      <c r="M72" s="66"/>
      <c r="N72" s="66"/>
      <c r="O72" s="66"/>
    </row>
    <row r="73" spans="2:15">
      <c r="B73" s="59" t="s">
        <v>390</v>
      </c>
      <c r="C73" s="66"/>
      <c r="D73" s="66"/>
      <c r="E73" s="66"/>
      <c r="F73" s="66"/>
      <c r="G73" s="66"/>
      <c r="H73" s="160"/>
      <c r="I73" s="66"/>
      <c r="J73" s="66">
        <v>0</v>
      </c>
      <c r="K73" s="66">
        <v>0</v>
      </c>
      <c r="L73" s="66"/>
      <c r="M73" s="66"/>
      <c r="N73" s="66"/>
      <c r="O73" s="66"/>
    </row>
    <row r="74" spans="2:15">
      <c r="B74" s="59" t="s">
        <v>391</v>
      </c>
      <c r="C74" s="161"/>
      <c r="D74" s="66"/>
      <c r="E74" s="66"/>
      <c r="F74" s="66"/>
      <c r="G74" s="66"/>
      <c r="H74" s="160"/>
      <c r="I74" s="66"/>
      <c r="J74" s="66">
        <v>0</v>
      </c>
      <c r="K74" s="66">
        <v>0</v>
      </c>
      <c r="L74" s="66"/>
      <c r="M74" s="66"/>
      <c r="N74" s="66"/>
      <c r="O74" s="66"/>
    </row>
    <row r="75" spans="2:15">
      <c r="B75" s="59" t="s">
        <v>392</v>
      </c>
      <c r="C75" s="66">
        <v>63184000</v>
      </c>
      <c r="D75" s="66">
        <v>46210000</v>
      </c>
      <c r="E75" s="66">
        <v>61514000</v>
      </c>
      <c r="F75" s="66">
        <v>20273000</v>
      </c>
      <c r="G75" s="66">
        <v>20196000</v>
      </c>
      <c r="H75" s="160">
        <v>74757000</v>
      </c>
      <c r="I75" s="66">
        <v>34870000</v>
      </c>
      <c r="J75" s="66">
        <v>0</v>
      </c>
      <c r="K75" s="66">
        <v>0</v>
      </c>
      <c r="L75" s="66"/>
      <c r="M75" s="66"/>
      <c r="N75" s="66"/>
      <c r="O75" s="66"/>
    </row>
    <row r="76" spans="2:15">
      <c r="B76" s="59" t="s">
        <v>318</v>
      </c>
      <c r="C76" s="66">
        <f t="shared" ref="C76:O76" si="129">+C68-C69-C74-C75-C73-C72-C71-C70</f>
        <v>0</v>
      </c>
      <c r="D76" s="66">
        <f t="shared" si="129"/>
        <v>0</v>
      </c>
      <c r="E76" s="66">
        <f t="shared" si="129"/>
        <v>0</v>
      </c>
      <c r="F76" s="66">
        <f t="shared" si="129"/>
        <v>0</v>
      </c>
      <c r="G76" s="66">
        <f t="shared" si="129"/>
        <v>0</v>
      </c>
      <c r="H76" s="66">
        <f t="shared" si="129"/>
        <v>0</v>
      </c>
      <c r="I76" s="66"/>
      <c r="J76" s="66">
        <v>0</v>
      </c>
      <c r="K76" s="66">
        <v>0</v>
      </c>
      <c r="L76" s="66">
        <f t="shared" si="129"/>
        <v>0</v>
      </c>
      <c r="M76" s="66">
        <f t="shared" si="129"/>
        <v>0</v>
      </c>
      <c r="N76" s="66">
        <f t="shared" si="129"/>
        <v>0</v>
      </c>
      <c r="O76" s="66">
        <f t="shared" si="129"/>
        <v>0</v>
      </c>
    </row>
    <row r="77" spans="2:15">
      <c r="B77" s="58" t="s">
        <v>319</v>
      </c>
      <c r="C77" s="64">
        <v>36510806000</v>
      </c>
      <c r="D77" s="64">
        <v>39004077000</v>
      </c>
      <c r="E77" s="64">
        <v>30818474000</v>
      </c>
      <c r="F77" s="159">
        <v>29108905000</v>
      </c>
      <c r="G77" s="64">
        <v>22094697000</v>
      </c>
      <c r="H77" s="141">
        <v>24943464000</v>
      </c>
      <c r="I77" s="64">
        <v>44636499000</v>
      </c>
      <c r="J77" s="64">
        <v>44526228000</v>
      </c>
      <c r="K77" s="64">
        <v>50221488000</v>
      </c>
      <c r="L77" s="64"/>
      <c r="M77" s="64"/>
      <c r="N77" s="64"/>
      <c r="O77" s="64"/>
    </row>
    <row r="78" spans="2:15">
      <c r="B78" s="59" t="s">
        <v>393</v>
      </c>
      <c r="C78" s="66">
        <v>36510542000</v>
      </c>
      <c r="D78" s="66">
        <v>39003945000</v>
      </c>
      <c r="E78" s="66">
        <v>30811334000</v>
      </c>
      <c r="F78" s="66">
        <v>29105134000</v>
      </c>
      <c r="G78" s="66">
        <v>22084424000</v>
      </c>
      <c r="H78" s="160">
        <v>24935809000</v>
      </c>
      <c r="I78" s="66">
        <v>44631911000</v>
      </c>
      <c r="J78" s="66">
        <v>44525053000</v>
      </c>
      <c r="K78" s="66">
        <v>50220695000</v>
      </c>
      <c r="L78" s="66"/>
      <c r="M78" s="66"/>
      <c r="N78" s="66"/>
      <c r="O78" s="66"/>
    </row>
    <row r="79" spans="2:15">
      <c r="B79" s="59" t="s">
        <v>394</v>
      </c>
      <c r="C79" s="66"/>
      <c r="D79" s="66"/>
      <c r="E79" s="66"/>
      <c r="F79" s="66"/>
      <c r="G79" s="66"/>
      <c r="H79" s="160"/>
      <c r="I79" s="66"/>
      <c r="J79" s="1271" t="s">
        <v>180</v>
      </c>
      <c r="K79" s="1271" t="s">
        <v>180</v>
      </c>
      <c r="L79" s="66"/>
      <c r="M79" s="66"/>
      <c r="N79" s="66"/>
      <c r="O79" s="66"/>
    </row>
    <row r="80" spans="2:15">
      <c r="B80" s="59" t="s">
        <v>395</v>
      </c>
      <c r="C80" s="66"/>
      <c r="D80" s="66"/>
      <c r="E80" s="66"/>
      <c r="F80" s="66"/>
      <c r="G80" s="66"/>
      <c r="H80" s="160"/>
      <c r="I80" s="66"/>
      <c r="J80" s="1271" t="s">
        <v>180</v>
      </c>
      <c r="K80" s="1271" t="s">
        <v>180</v>
      </c>
      <c r="L80" s="66"/>
      <c r="M80" s="66"/>
      <c r="N80" s="66"/>
      <c r="O80" s="66"/>
    </row>
    <row r="81" spans="2:15">
      <c r="B81" s="59" t="s">
        <v>396</v>
      </c>
      <c r="C81" s="66"/>
      <c r="D81" s="66"/>
      <c r="E81" s="66"/>
      <c r="F81" s="66"/>
      <c r="G81" s="66"/>
      <c r="H81" s="160"/>
      <c r="I81" s="66"/>
      <c r="J81" s="1271" t="s">
        <v>180</v>
      </c>
      <c r="K81" s="1271" t="s">
        <v>180</v>
      </c>
      <c r="L81" s="66"/>
      <c r="M81" s="66"/>
      <c r="N81" s="66"/>
      <c r="O81" s="66"/>
    </row>
    <row r="82" spans="2:15">
      <c r="B82" s="59" t="s">
        <v>397</v>
      </c>
      <c r="C82" s="66"/>
      <c r="D82" s="66"/>
      <c r="E82" s="66"/>
      <c r="F82" s="66"/>
      <c r="G82" s="66"/>
      <c r="H82" s="160"/>
      <c r="I82" s="66"/>
      <c r="J82" s="1271" t="s">
        <v>180</v>
      </c>
      <c r="K82" s="1271" t="s">
        <v>180</v>
      </c>
      <c r="L82" s="66"/>
      <c r="M82" s="66"/>
      <c r="N82" s="66"/>
      <c r="O82" s="66"/>
    </row>
    <row r="83" spans="2:15">
      <c r="B83" s="59" t="s">
        <v>398</v>
      </c>
      <c r="C83" s="66">
        <v>264000</v>
      </c>
      <c r="D83" s="66">
        <v>132000</v>
      </c>
      <c r="E83" s="66">
        <v>7140000</v>
      </c>
      <c r="F83" s="66">
        <v>3771000</v>
      </c>
      <c r="G83" s="66">
        <v>10273000</v>
      </c>
      <c r="H83" s="160">
        <v>7655000</v>
      </c>
      <c r="I83" s="66">
        <v>4588000</v>
      </c>
      <c r="J83" s="66">
        <v>1175000</v>
      </c>
      <c r="K83" s="66">
        <v>793000</v>
      </c>
      <c r="L83" s="66"/>
      <c r="M83" s="66"/>
      <c r="N83" s="66"/>
      <c r="O83" s="66"/>
    </row>
    <row r="84" spans="2:15">
      <c r="B84" s="59" t="s">
        <v>399</v>
      </c>
      <c r="C84" s="66"/>
      <c r="D84" s="66"/>
      <c r="E84" s="66"/>
      <c r="F84" s="66"/>
      <c r="G84" s="66"/>
      <c r="H84" s="160"/>
      <c r="I84" s="66"/>
      <c r="J84" s="1271" t="s">
        <v>180</v>
      </c>
      <c r="K84" s="1271" t="s">
        <v>180</v>
      </c>
      <c r="L84" s="66"/>
      <c r="M84" s="66"/>
      <c r="N84" s="66"/>
      <c r="O84" s="66"/>
    </row>
    <row r="85" spans="2:15">
      <c r="B85" s="59" t="s">
        <v>400</v>
      </c>
      <c r="C85" s="66"/>
      <c r="D85" s="66"/>
      <c r="E85" s="66"/>
      <c r="F85" s="161"/>
      <c r="G85" s="66"/>
      <c r="H85" s="160"/>
      <c r="I85" s="66"/>
      <c r="J85" s="1271" t="s">
        <v>180</v>
      </c>
      <c r="K85" s="1271" t="s">
        <v>180</v>
      </c>
      <c r="L85" s="66"/>
      <c r="M85" s="66"/>
      <c r="N85" s="66"/>
      <c r="O85" s="66"/>
    </row>
    <row r="86" spans="2:15">
      <c r="B86" s="59" t="s">
        <v>401</v>
      </c>
      <c r="C86" s="66"/>
      <c r="D86" s="66"/>
      <c r="E86" s="66"/>
      <c r="F86" s="66"/>
      <c r="G86" s="66"/>
      <c r="H86" s="160"/>
      <c r="I86" s="66"/>
      <c r="J86" s="1271" t="s">
        <v>180</v>
      </c>
      <c r="K86" s="1271" t="s">
        <v>180</v>
      </c>
      <c r="L86" s="66"/>
      <c r="M86" s="66"/>
      <c r="N86" s="66"/>
      <c r="O86" s="66"/>
    </row>
    <row r="87" spans="2:15">
      <c r="B87" s="59" t="s">
        <v>328</v>
      </c>
      <c r="C87" s="66">
        <f t="shared" ref="C87:O87" si="130">+C77-C84-C85-C83-C78-C86-C82-C81-C80-C79</f>
        <v>0</v>
      </c>
      <c r="D87" s="66">
        <f t="shared" si="130"/>
        <v>0</v>
      </c>
      <c r="E87" s="66">
        <f t="shared" si="130"/>
        <v>0</v>
      </c>
      <c r="F87" s="66">
        <f t="shared" si="130"/>
        <v>0</v>
      </c>
      <c r="G87" s="66">
        <f t="shared" si="130"/>
        <v>0</v>
      </c>
      <c r="H87" s="66">
        <f t="shared" si="130"/>
        <v>0</v>
      </c>
      <c r="I87" s="66"/>
      <c r="J87" s="1271" t="s">
        <v>859</v>
      </c>
      <c r="K87" s="1271" t="s">
        <v>859</v>
      </c>
      <c r="L87" s="66">
        <f t="shared" si="130"/>
        <v>0</v>
      </c>
      <c r="M87" s="66">
        <f t="shared" si="130"/>
        <v>0</v>
      </c>
      <c r="N87" s="66">
        <f t="shared" si="130"/>
        <v>0</v>
      </c>
      <c r="O87" s="66">
        <f t="shared" si="130"/>
        <v>0</v>
      </c>
    </row>
    <row r="88" spans="2:15">
      <c r="B88" s="60" t="s">
        <v>329</v>
      </c>
      <c r="C88" s="70">
        <f t="shared" ref="C88:K88" si="131">+C77+C68</f>
        <v>37139847000</v>
      </c>
      <c r="D88" s="70">
        <f t="shared" si="131"/>
        <v>39849065000</v>
      </c>
      <c r="E88" s="70">
        <f t="shared" si="131"/>
        <v>31514484000</v>
      </c>
      <c r="F88" s="70">
        <f t="shared" si="131"/>
        <v>29874305000</v>
      </c>
      <c r="G88" s="70">
        <f t="shared" si="131"/>
        <v>23180473000</v>
      </c>
      <c r="H88" s="162">
        <f t="shared" si="131"/>
        <v>26877715000</v>
      </c>
      <c r="I88" s="162">
        <f t="shared" si="131"/>
        <v>45763523000</v>
      </c>
      <c r="J88" s="162">
        <f t="shared" si="131"/>
        <v>45589852000</v>
      </c>
      <c r="K88" s="162">
        <f t="shared" si="131"/>
        <v>50289575000</v>
      </c>
      <c r="L88" s="70"/>
      <c r="M88" s="70"/>
      <c r="N88" s="70"/>
      <c r="O88" s="70"/>
    </row>
    <row r="89" spans="2:15">
      <c r="B89" s="61"/>
      <c r="C89" s="72"/>
      <c r="D89" s="72"/>
      <c r="E89" s="72"/>
      <c r="F89" s="72"/>
      <c r="G89" s="72"/>
      <c r="H89" s="163"/>
      <c r="I89" s="1285"/>
      <c r="J89" s="1273" t="s">
        <v>180</v>
      </c>
      <c r="K89" s="1273" t="s">
        <v>180</v>
      </c>
      <c r="L89" s="72"/>
      <c r="M89" s="72"/>
      <c r="N89" s="72"/>
      <c r="O89" s="72"/>
    </row>
    <row r="90" spans="2:15">
      <c r="B90" s="57" t="s">
        <v>330</v>
      </c>
      <c r="C90" s="62"/>
      <c r="D90" s="62"/>
      <c r="E90" s="62"/>
      <c r="F90" s="62"/>
      <c r="G90" s="62"/>
      <c r="H90" s="164"/>
      <c r="I90" s="92"/>
      <c r="J90" s="1274" t="s">
        <v>180</v>
      </c>
      <c r="K90" s="1274" t="s">
        <v>180</v>
      </c>
      <c r="L90" s="62"/>
      <c r="M90" s="62"/>
      <c r="N90" s="62"/>
      <c r="O90" s="62"/>
    </row>
    <row r="91" spans="2:15">
      <c r="B91" s="58" t="s">
        <v>310</v>
      </c>
      <c r="C91" s="64">
        <v>630116000</v>
      </c>
      <c r="D91" s="64">
        <v>773994000</v>
      </c>
      <c r="E91" s="64">
        <v>655828000</v>
      </c>
      <c r="F91" s="64">
        <v>735003000</v>
      </c>
      <c r="G91" s="64">
        <v>914776000</v>
      </c>
      <c r="H91" s="141">
        <v>1590998000</v>
      </c>
      <c r="I91" s="141">
        <v>951352000</v>
      </c>
      <c r="J91" s="64">
        <v>1016216000</v>
      </c>
      <c r="K91" s="64">
        <v>49576000</v>
      </c>
      <c r="L91" s="64"/>
      <c r="M91" s="64"/>
      <c r="N91" s="64"/>
      <c r="O91" s="64"/>
    </row>
    <row r="92" spans="2:15">
      <c r="B92" s="59" t="s">
        <v>402</v>
      </c>
      <c r="C92" s="66">
        <v>18902000</v>
      </c>
      <c r="D92" s="66">
        <v>0</v>
      </c>
      <c r="E92" s="66">
        <v>19962000</v>
      </c>
      <c r="F92" s="66">
        <v>3160000</v>
      </c>
      <c r="G92" s="66">
        <v>125153000</v>
      </c>
      <c r="H92" s="160">
        <v>3501000</v>
      </c>
      <c r="I92" s="66">
        <v>3566000</v>
      </c>
      <c r="J92" s="1271">
        <v>0</v>
      </c>
      <c r="K92" s="1271">
        <v>0</v>
      </c>
      <c r="L92" s="66"/>
      <c r="M92" s="66"/>
      <c r="N92" s="66"/>
      <c r="O92" s="66"/>
    </row>
    <row r="93" spans="2:15">
      <c r="B93" s="59" t="s">
        <v>403</v>
      </c>
      <c r="C93" s="66"/>
      <c r="D93" s="66"/>
      <c r="E93" s="66"/>
      <c r="F93" s="66"/>
      <c r="G93" s="66"/>
      <c r="H93" s="160"/>
      <c r="I93" s="66"/>
      <c r="J93" s="1271" t="s">
        <v>180</v>
      </c>
      <c r="K93" s="1271" t="s">
        <v>180</v>
      </c>
      <c r="L93" s="66"/>
      <c r="M93" s="66"/>
      <c r="N93" s="66"/>
      <c r="O93" s="66"/>
    </row>
    <row r="94" spans="2:15">
      <c r="B94" s="59" t="s">
        <v>404</v>
      </c>
      <c r="C94" s="66"/>
      <c r="D94" s="66"/>
      <c r="E94" s="66"/>
      <c r="F94" s="66"/>
      <c r="G94" s="66"/>
      <c r="H94" s="160"/>
      <c r="I94" s="66"/>
      <c r="J94" s="1271" t="s">
        <v>180</v>
      </c>
      <c r="K94" s="1271" t="s">
        <v>180</v>
      </c>
      <c r="L94" s="66"/>
      <c r="M94" s="66"/>
      <c r="N94" s="66"/>
      <c r="O94" s="66"/>
    </row>
    <row r="95" spans="2:15">
      <c r="B95" s="59" t="s">
        <v>405</v>
      </c>
      <c r="C95" s="66">
        <v>597672000</v>
      </c>
      <c r="D95" s="66">
        <v>760708000</v>
      </c>
      <c r="E95" s="66">
        <v>620351000</v>
      </c>
      <c r="F95" s="66">
        <v>716023000</v>
      </c>
      <c r="G95" s="66">
        <v>769927000</v>
      </c>
      <c r="H95" s="160">
        <v>1558144000</v>
      </c>
      <c r="I95" s="66">
        <v>917872000</v>
      </c>
      <c r="J95" s="66">
        <v>988421000</v>
      </c>
      <c r="K95" s="66">
        <v>30932000</v>
      </c>
      <c r="L95" s="66"/>
      <c r="M95" s="66"/>
      <c r="N95" s="66"/>
      <c r="O95" s="66"/>
    </row>
    <row r="96" spans="2:15">
      <c r="B96" s="59" t="s">
        <v>406</v>
      </c>
      <c r="C96" s="66"/>
      <c r="D96" s="66"/>
      <c r="E96" s="66"/>
      <c r="F96" s="66"/>
      <c r="G96" s="66"/>
      <c r="H96" s="160"/>
      <c r="I96" s="66"/>
      <c r="J96" s="1271" t="s">
        <v>180</v>
      </c>
      <c r="K96" s="1271" t="s">
        <v>180</v>
      </c>
      <c r="L96" s="66"/>
      <c r="M96" s="66"/>
      <c r="N96" s="66"/>
      <c r="O96" s="66"/>
    </row>
    <row r="97" spans="2:15">
      <c r="B97" s="59" t="s">
        <v>407</v>
      </c>
      <c r="C97" s="66">
        <v>1547000</v>
      </c>
      <c r="D97" s="66">
        <v>2009000</v>
      </c>
      <c r="E97" s="66">
        <v>2271000</v>
      </c>
      <c r="F97" s="66">
        <v>987000</v>
      </c>
      <c r="G97" s="66">
        <v>1522000</v>
      </c>
      <c r="H97" s="160">
        <v>2159000</v>
      </c>
      <c r="I97" s="66">
        <v>2493000</v>
      </c>
      <c r="J97" s="66">
        <v>380000</v>
      </c>
      <c r="K97" s="66">
        <v>267000</v>
      </c>
      <c r="L97" s="66"/>
      <c r="M97" s="66"/>
      <c r="N97" s="66"/>
      <c r="O97" s="66"/>
    </row>
    <row r="98" spans="2:15">
      <c r="B98" s="59" t="s">
        <v>408</v>
      </c>
      <c r="C98" s="66"/>
      <c r="D98" s="66"/>
      <c r="E98" s="66"/>
      <c r="F98" s="66"/>
      <c r="G98" s="66"/>
      <c r="H98" s="160"/>
      <c r="I98" s="66"/>
      <c r="J98" s="1271" t="s">
        <v>180</v>
      </c>
      <c r="K98" s="1271" t="s">
        <v>180</v>
      </c>
      <c r="L98" s="66"/>
      <c r="M98" s="66"/>
      <c r="N98" s="66"/>
      <c r="O98" s="66"/>
    </row>
    <row r="99" spans="2:15">
      <c r="B99" s="59" t="s">
        <v>409</v>
      </c>
      <c r="C99" s="66">
        <v>10537000</v>
      </c>
      <c r="D99" s="66">
        <v>9686000</v>
      </c>
      <c r="E99" s="66">
        <v>11706000</v>
      </c>
      <c r="F99" s="66">
        <v>13192000</v>
      </c>
      <c r="G99" s="66">
        <v>16515000</v>
      </c>
      <c r="H99" s="160">
        <v>21874000</v>
      </c>
      <c r="I99" s="66">
        <v>25520000</v>
      </c>
      <c r="J99" s="66">
        <v>26969000</v>
      </c>
      <c r="K99" s="66">
        <v>17912000</v>
      </c>
      <c r="L99" s="66"/>
      <c r="M99" s="66"/>
      <c r="N99" s="66"/>
      <c r="O99" s="66"/>
    </row>
    <row r="100" spans="2:15">
      <c r="B100" s="59" t="s">
        <v>410</v>
      </c>
      <c r="C100" s="66">
        <f t="shared" ref="C100:H100" si="132">+C91-C92-C98-C99-C97-C96-C95-C94-C93</f>
        <v>1458000</v>
      </c>
      <c r="D100" s="66">
        <f t="shared" si="132"/>
        <v>1591000</v>
      </c>
      <c r="E100" s="66">
        <f t="shared" si="132"/>
        <v>1538000</v>
      </c>
      <c r="F100" s="66">
        <f t="shared" si="132"/>
        <v>1641000</v>
      </c>
      <c r="G100" s="66">
        <f t="shared" si="132"/>
        <v>1659000</v>
      </c>
      <c r="H100" s="66">
        <f t="shared" si="132"/>
        <v>5320000</v>
      </c>
      <c r="I100" s="66"/>
      <c r="J100" s="66">
        <v>446000</v>
      </c>
      <c r="K100" s="66">
        <v>465000</v>
      </c>
      <c r="L100" s="66"/>
      <c r="M100" s="66"/>
      <c r="N100" s="66"/>
      <c r="O100" s="66"/>
    </row>
    <row r="101" spans="2:15">
      <c r="B101" s="58" t="s">
        <v>319</v>
      </c>
      <c r="C101" s="64">
        <v>7467566000</v>
      </c>
      <c r="D101" s="64">
        <v>8074166000</v>
      </c>
      <c r="E101" s="64">
        <v>5796001000</v>
      </c>
      <c r="F101" s="64">
        <v>5263654000</v>
      </c>
      <c r="G101" s="64">
        <v>3199914000</v>
      </c>
      <c r="H101" s="141">
        <v>3669694000</v>
      </c>
      <c r="I101" s="64">
        <v>8836215000</v>
      </c>
      <c r="J101" s="64">
        <v>8672308000</v>
      </c>
      <c r="K101" s="64">
        <v>10155758000</v>
      </c>
      <c r="L101" s="64"/>
      <c r="M101" s="64"/>
      <c r="N101" s="64"/>
      <c r="O101" s="64"/>
    </row>
    <row r="102" spans="2:15">
      <c r="B102" s="59" t="s">
        <v>411</v>
      </c>
      <c r="C102" s="66"/>
      <c r="D102" s="66"/>
      <c r="E102" s="66">
        <v>3160000</v>
      </c>
      <c r="F102" s="66">
        <v>0</v>
      </c>
      <c r="G102" s="66">
        <v>6308000</v>
      </c>
      <c r="H102" s="160">
        <v>3566000</v>
      </c>
      <c r="I102" s="66"/>
      <c r="J102" s="1271" t="s">
        <v>180</v>
      </c>
      <c r="K102" s="1271" t="s">
        <v>180</v>
      </c>
      <c r="L102" s="66"/>
      <c r="M102" s="66"/>
      <c r="N102" s="66"/>
      <c r="O102" s="66"/>
    </row>
    <row r="103" spans="2:15">
      <c r="B103" s="59" t="s">
        <v>412</v>
      </c>
      <c r="C103" s="66"/>
      <c r="D103" s="66"/>
      <c r="E103" s="66"/>
      <c r="F103" s="66"/>
      <c r="G103" s="66"/>
      <c r="H103" s="160"/>
      <c r="I103" s="66"/>
      <c r="J103" s="1271" t="s">
        <v>180</v>
      </c>
      <c r="K103" s="1271" t="s">
        <v>180</v>
      </c>
      <c r="L103" s="66"/>
      <c r="M103" s="66"/>
      <c r="N103" s="66"/>
      <c r="O103" s="66"/>
    </row>
    <row r="104" spans="2:15">
      <c r="B104" s="59" t="s">
        <v>413</v>
      </c>
      <c r="C104" s="66">
        <v>7467566000</v>
      </c>
      <c r="D104" s="66">
        <v>8074166000</v>
      </c>
      <c r="E104" s="66">
        <v>5792841000</v>
      </c>
      <c r="F104" s="66">
        <v>5263654000</v>
      </c>
      <c r="G104" s="66">
        <v>3193606000</v>
      </c>
      <c r="H104" s="160">
        <v>3666128000</v>
      </c>
      <c r="I104" s="66">
        <v>8836215000</v>
      </c>
      <c r="J104" s="66">
        <v>8672308000</v>
      </c>
      <c r="K104" s="66">
        <v>10155758000</v>
      </c>
      <c r="L104" s="66"/>
      <c r="M104" s="66"/>
      <c r="N104" s="66"/>
      <c r="O104" s="66"/>
    </row>
    <row r="105" spans="2:15">
      <c r="B105" s="59" t="s">
        <v>414</v>
      </c>
      <c r="C105" s="66"/>
      <c r="D105" s="66"/>
      <c r="E105" s="66"/>
      <c r="F105" s="66"/>
      <c r="G105" s="66"/>
      <c r="H105" s="160"/>
      <c r="I105" s="66"/>
      <c r="J105" s="1271" t="s">
        <v>180</v>
      </c>
      <c r="K105" s="1271" t="s">
        <v>180</v>
      </c>
      <c r="L105" s="66"/>
      <c r="M105" s="66"/>
      <c r="N105" s="66"/>
      <c r="O105" s="66"/>
    </row>
    <row r="106" spans="2:15">
      <c r="B106" s="59" t="s">
        <v>341</v>
      </c>
      <c r="C106" s="66">
        <f t="shared" ref="C106:O106" si="133">+C101-C102-C104-C105-C103</f>
        <v>0</v>
      </c>
      <c r="D106" s="66">
        <f t="shared" si="133"/>
        <v>0</v>
      </c>
      <c r="E106" s="66">
        <f t="shared" si="133"/>
        <v>0</v>
      </c>
      <c r="F106" s="66">
        <f t="shared" si="133"/>
        <v>0</v>
      </c>
      <c r="G106" s="66">
        <f t="shared" si="133"/>
        <v>0</v>
      </c>
      <c r="H106" s="66">
        <f t="shared" si="133"/>
        <v>0</v>
      </c>
      <c r="I106" s="66"/>
      <c r="J106" s="1275">
        <v>0</v>
      </c>
      <c r="K106" s="1275">
        <v>1</v>
      </c>
      <c r="L106" s="66">
        <f t="shared" si="133"/>
        <v>0</v>
      </c>
      <c r="M106" s="66">
        <f t="shared" si="133"/>
        <v>0</v>
      </c>
      <c r="N106" s="66">
        <f t="shared" si="133"/>
        <v>0</v>
      </c>
      <c r="O106" s="66">
        <f t="shared" si="133"/>
        <v>0</v>
      </c>
    </row>
    <row r="107" spans="2:15">
      <c r="B107" s="60" t="s">
        <v>342</v>
      </c>
      <c r="C107" s="70">
        <f t="shared" ref="C107:K107" si="134">+C101+C91</f>
        <v>8097682000</v>
      </c>
      <c r="D107" s="70">
        <f t="shared" si="134"/>
        <v>8848160000</v>
      </c>
      <c r="E107" s="70">
        <f t="shared" si="134"/>
        <v>6451829000</v>
      </c>
      <c r="F107" s="70">
        <f t="shared" si="134"/>
        <v>5998657000</v>
      </c>
      <c r="G107" s="70">
        <f t="shared" si="134"/>
        <v>4114690000</v>
      </c>
      <c r="H107" s="162">
        <f t="shared" si="134"/>
        <v>5260692000</v>
      </c>
      <c r="I107" s="162">
        <f t="shared" si="134"/>
        <v>9787567000</v>
      </c>
      <c r="J107" s="162">
        <f t="shared" si="134"/>
        <v>9688524000</v>
      </c>
      <c r="K107" s="162">
        <f t="shared" si="134"/>
        <v>10205334000</v>
      </c>
      <c r="L107" s="70"/>
      <c r="M107" s="70"/>
      <c r="N107" s="70"/>
      <c r="O107" s="70"/>
    </row>
    <row r="108" spans="2:15">
      <c r="B108" s="61"/>
      <c r="C108" s="61"/>
      <c r="D108" s="61"/>
      <c r="E108" s="61"/>
      <c r="F108" s="61"/>
      <c r="G108" s="61"/>
      <c r="H108" s="61"/>
      <c r="I108" s="1285"/>
      <c r="J108" s="1273" t="s">
        <v>180</v>
      </c>
      <c r="K108" s="1273" t="s">
        <v>180</v>
      </c>
      <c r="L108" s="61"/>
      <c r="M108" s="61"/>
      <c r="N108" s="61"/>
      <c r="O108" s="61"/>
    </row>
    <row r="109" spans="2:15">
      <c r="B109" s="57" t="s">
        <v>343</v>
      </c>
      <c r="C109" s="62"/>
      <c r="D109" s="62"/>
      <c r="E109" s="62"/>
      <c r="F109" s="62"/>
      <c r="G109" s="62"/>
      <c r="H109" s="164"/>
      <c r="I109" s="92"/>
      <c r="J109" s="1274" t="s">
        <v>180</v>
      </c>
      <c r="K109" s="1274" t="s">
        <v>180</v>
      </c>
      <c r="L109" s="62"/>
      <c r="M109" s="62"/>
      <c r="N109" s="62"/>
      <c r="O109" s="62"/>
    </row>
    <row r="110" spans="2:15">
      <c r="B110" s="59" t="s">
        <v>415</v>
      </c>
      <c r="C110" s="160">
        <v>2115604000</v>
      </c>
      <c r="D110" s="160">
        <v>2115604000</v>
      </c>
      <c r="E110" s="160">
        <v>2115604000</v>
      </c>
      <c r="F110" s="160">
        <v>2115604000</v>
      </c>
      <c r="G110" s="160">
        <v>2115604000</v>
      </c>
      <c r="H110" s="160">
        <v>2115604000</v>
      </c>
      <c r="I110" s="66">
        <v>2115604000</v>
      </c>
      <c r="J110" s="66">
        <v>2115604000</v>
      </c>
      <c r="K110" s="66">
        <v>2115604000</v>
      </c>
      <c r="L110" s="160"/>
      <c r="M110" s="160"/>
      <c r="N110" s="160"/>
      <c r="O110" s="160"/>
    </row>
    <row r="111" spans="2:15">
      <c r="B111" s="59" t="s">
        <v>416</v>
      </c>
      <c r="C111" s="66">
        <v>4831252000</v>
      </c>
      <c r="D111" s="66">
        <v>4902960000</v>
      </c>
      <c r="E111" s="66">
        <v>4876596000</v>
      </c>
      <c r="F111" s="66">
        <v>4866994000</v>
      </c>
      <c r="G111" s="66">
        <v>5008642000</v>
      </c>
      <c r="H111" s="160">
        <v>5182545000</v>
      </c>
      <c r="I111" s="66">
        <v>5016417000</v>
      </c>
      <c r="J111" s="66">
        <v>4885083000</v>
      </c>
      <c r="K111" s="66">
        <v>4853358000</v>
      </c>
      <c r="L111" s="66"/>
      <c r="M111" s="66"/>
      <c r="N111" s="66"/>
      <c r="O111" s="66"/>
    </row>
    <row r="112" spans="2:15">
      <c r="B112" s="59" t="s">
        <v>345</v>
      </c>
      <c r="C112" s="66">
        <v>22095309000</v>
      </c>
      <c r="D112" s="66">
        <v>23982341000</v>
      </c>
      <c r="E112" s="66">
        <v>18070455000</v>
      </c>
      <c r="F112" s="66">
        <v>16893050000</v>
      </c>
      <c r="G112" s="66">
        <v>11941537000</v>
      </c>
      <c r="H112" s="160">
        <v>14318874000</v>
      </c>
      <c r="I112" s="66">
        <v>28843935000</v>
      </c>
      <c r="J112" s="66">
        <v>28900641000</v>
      </c>
      <c r="K112" s="66">
        <v>33115279000</v>
      </c>
      <c r="L112" s="66"/>
      <c r="M112" s="66"/>
      <c r="N112" s="66"/>
      <c r="O112" s="66"/>
    </row>
    <row r="113" spans="2:15">
      <c r="B113" s="59" t="s">
        <v>419</v>
      </c>
      <c r="C113" s="66"/>
      <c r="D113" s="66"/>
      <c r="E113" s="66"/>
      <c r="F113" s="66"/>
      <c r="G113" s="66"/>
      <c r="H113" s="160"/>
      <c r="I113" s="66"/>
      <c r="J113" s="1271" t="s">
        <v>180</v>
      </c>
      <c r="K113" s="1271" t="s">
        <v>180</v>
      </c>
      <c r="L113" s="66"/>
      <c r="M113" s="66"/>
      <c r="N113" s="66"/>
      <c r="O113" s="66"/>
    </row>
    <row r="114" spans="2:15">
      <c r="B114" s="60" t="s">
        <v>347</v>
      </c>
      <c r="C114" s="70">
        <f t="shared" ref="C114:F114" si="135">+C110+C112+C111</f>
        <v>29042165000</v>
      </c>
      <c r="D114" s="70">
        <f t="shared" si="135"/>
        <v>31000905000</v>
      </c>
      <c r="E114" s="70">
        <f t="shared" si="135"/>
        <v>25062655000</v>
      </c>
      <c r="F114" s="70">
        <f t="shared" si="135"/>
        <v>23875648000</v>
      </c>
      <c r="G114" s="70">
        <f>+G110+G112+G111</f>
        <v>19065783000</v>
      </c>
      <c r="H114" s="70">
        <f>+H110+H112+H111</f>
        <v>21617023000</v>
      </c>
      <c r="I114" s="70">
        <f t="shared" ref="I114:K114" si="136">+I110+I112+I111</f>
        <v>35975956000</v>
      </c>
      <c r="J114" s="70">
        <f t="shared" si="136"/>
        <v>35901328000</v>
      </c>
      <c r="K114" s="70">
        <f t="shared" si="136"/>
        <v>40084241000</v>
      </c>
      <c r="L114" s="70"/>
      <c r="M114" s="70"/>
      <c r="N114" s="70"/>
      <c r="O114" s="70"/>
    </row>
    <row r="115" spans="2:15">
      <c r="I115" s="66"/>
      <c r="J115" s="1275"/>
      <c r="K115" s="1275"/>
    </row>
    <row r="116" spans="2:15">
      <c r="B116" s="75" t="s">
        <v>348</v>
      </c>
      <c r="I116" s="66"/>
      <c r="J116" s="1275"/>
      <c r="K116" s="1275"/>
    </row>
    <row r="117" spans="2:15">
      <c r="B117" s="82" t="s">
        <v>308</v>
      </c>
      <c r="C117" s="88">
        <v>2017</v>
      </c>
      <c r="D117" s="88">
        <v>2018</v>
      </c>
      <c r="E117" s="88">
        <v>2019</v>
      </c>
      <c r="F117" s="88">
        <v>2020</v>
      </c>
      <c r="G117" s="88">
        <v>2021</v>
      </c>
      <c r="H117" s="88">
        <v>2022</v>
      </c>
      <c r="I117" s="88">
        <v>2023</v>
      </c>
      <c r="J117" s="1276">
        <v>2024</v>
      </c>
      <c r="K117" s="1276">
        <v>2025</v>
      </c>
      <c r="L117" s="88">
        <v>2026</v>
      </c>
      <c r="M117" s="88">
        <v>2027</v>
      </c>
      <c r="N117" s="88">
        <v>2028</v>
      </c>
      <c r="O117" s="88">
        <v>2029</v>
      </c>
    </row>
    <row r="118" spans="2:15">
      <c r="B118" s="83" t="s">
        <v>349</v>
      </c>
      <c r="C118" s="90">
        <v>2252273000</v>
      </c>
      <c r="D118" s="90">
        <v>2586032000</v>
      </c>
      <c r="E118" s="90">
        <v>2560088000</v>
      </c>
      <c r="F118" s="90">
        <v>2518952000</v>
      </c>
      <c r="G118" s="90">
        <v>2821433000</v>
      </c>
      <c r="H118" s="90">
        <v>4585870000</v>
      </c>
      <c r="I118" s="90">
        <v>4722066000</v>
      </c>
      <c r="J118" s="90">
        <v>4539795000</v>
      </c>
      <c r="K118" s="90">
        <v>1748122000</v>
      </c>
      <c r="L118" s="90"/>
      <c r="M118" s="90"/>
      <c r="N118" s="90"/>
      <c r="O118" s="90"/>
    </row>
    <row r="119" spans="2:15">
      <c r="B119" s="85" t="s">
        <v>507</v>
      </c>
      <c r="C119" s="66">
        <v>-43198000</v>
      </c>
      <c r="D119" s="66">
        <v>-43610000</v>
      </c>
      <c r="E119" s="66">
        <v>-47352000</v>
      </c>
      <c r="F119" s="66">
        <v>-47317000</v>
      </c>
      <c r="G119" s="66">
        <v>-51547000</v>
      </c>
      <c r="H119" s="66">
        <v>-57758000</v>
      </c>
      <c r="I119" s="66">
        <v>-59157000</v>
      </c>
      <c r="J119" s="66">
        <v>-38621000</v>
      </c>
      <c r="K119" s="66">
        <v>580000</v>
      </c>
      <c r="L119" s="66"/>
      <c r="M119" s="66"/>
      <c r="N119" s="66"/>
      <c r="O119" s="66"/>
    </row>
    <row r="120" spans="2:15">
      <c r="B120" s="86" t="s">
        <v>422</v>
      </c>
      <c r="C120" s="64">
        <f t="shared" ref="C120:F120" si="137">+C118+C119</f>
        <v>2209075000</v>
      </c>
      <c r="D120" s="64">
        <f>+D118+D119</f>
        <v>2542422000</v>
      </c>
      <c r="E120" s="64">
        <f t="shared" si="137"/>
        <v>2512736000</v>
      </c>
      <c r="F120" s="64">
        <f t="shared" si="137"/>
        <v>2471635000</v>
      </c>
      <c r="G120" s="64">
        <f>+G118+G119</f>
        <v>2769886000</v>
      </c>
      <c r="H120" s="64">
        <f t="shared" ref="H120:K120" si="138">+H118+H119</f>
        <v>4528112000</v>
      </c>
      <c r="I120" s="64">
        <f t="shared" si="138"/>
        <v>4662909000</v>
      </c>
      <c r="J120" s="64">
        <f t="shared" si="138"/>
        <v>4501174000</v>
      </c>
      <c r="K120" s="64">
        <f t="shared" si="138"/>
        <v>1748702000</v>
      </c>
      <c r="L120" s="64"/>
      <c r="M120" s="64"/>
      <c r="N120" s="64"/>
      <c r="O120" s="64"/>
    </row>
    <row r="121" spans="2:15">
      <c r="B121" s="85" t="s">
        <v>424</v>
      </c>
      <c r="C121" s="117">
        <v>-132000</v>
      </c>
      <c r="D121" s="117">
        <v>-132000</v>
      </c>
      <c r="E121" s="117">
        <v>-3167000</v>
      </c>
      <c r="F121" s="117">
        <v>-3369000</v>
      </c>
      <c r="G121" s="117">
        <v>-3705000</v>
      </c>
      <c r="H121" s="117">
        <v>-4197000</v>
      </c>
      <c r="I121" s="117">
        <v>-3963000</v>
      </c>
      <c r="J121" s="117">
        <v>-3797000</v>
      </c>
      <c r="K121" s="117">
        <v>-382000</v>
      </c>
      <c r="L121" s="117"/>
      <c r="M121" s="117"/>
      <c r="N121" s="117"/>
      <c r="O121" s="117"/>
    </row>
    <row r="122" spans="2:15">
      <c r="B122" s="85" t="s">
        <v>426</v>
      </c>
      <c r="C122" s="117">
        <v>-235747000</v>
      </c>
      <c r="D122" s="117">
        <v>-99468000</v>
      </c>
      <c r="E122" s="117">
        <v>-87071000</v>
      </c>
      <c r="F122" s="117">
        <v>-61973000</v>
      </c>
      <c r="G122" s="117">
        <v>-129650000</v>
      </c>
      <c r="H122" s="117">
        <v>-241080000</v>
      </c>
      <c r="I122" s="66">
        <v>-190866000</v>
      </c>
      <c r="J122" s="66">
        <v>-96752000</v>
      </c>
      <c r="K122" s="66">
        <v>-46210000</v>
      </c>
      <c r="L122" s="117"/>
      <c r="M122" s="117"/>
      <c r="N122" s="117"/>
      <c r="O122" s="117"/>
    </row>
    <row r="123" spans="2:15">
      <c r="B123" s="85" t="s">
        <v>537</v>
      </c>
      <c r="C123" s="117"/>
      <c r="D123" s="117"/>
      <c r="E123" s="117"/>
      <c r="F123" s="117"/>
      <c r="G123" s="117"/>
      <c r="H123" s="117"/>
      <c r="I123" s="66"/>
      <c r="J123" s="1271">
        <v>0</v>
      </c>
      <c r="K123" s="1271"/>
      <c r="L123" s="117"/>
      <c r="M123" s="117"/>
      <c r="N123" s="117"/>
      <c r="O123" s="117"/>
    </row>
    <row r="124" spans="2:15">
      <c r="B124" s="85" t="s">
        <v>427</v>
      </c>
      <c r="C124" s="66"/>
      <c r="D124" s="66"/>
      <c r="E124" s="66"/>
      <c r="F124" s="117"/>
      <c r="G124" s="117"/>
      <c r="H124" s="117"/>
      <c r="I124" s="66"/>
      <c r="J124" s="1271">
        <v>0</v>
      </c>
      <c r="K124" s="1271"/>
      <c r="L124" s="117"/>
      <c r="M124" s="117"/>
      <c r="N124" s="117"/>
      <c r="O124" s="117"/>
    </row>
    <row r="125" spans="2:15">
      <c r="B125" s="86" t="s">
        <v>542</v>
      </c>
      <c r="C125" s="64">
        <f t="shared" ref="C125:G125" si="139">+C120+C124+C121+C122+C123</f>
        <v>1973196000</v>
      </c>
      <c r="D125" s="64">
        <f t="shared" si="139"/>
        <v>2442822000</v>
      </c>
      <c r="E125" s="64">
        <f t="shared" si="139"/>
        <v>2422498000</v>
      </c>
      <c r="F125" s="64">
        <f t="shared" si="139"/>
        <v>2406293000</v>
      </c>
      <c r="G125" s="64">
        <f t="shared" si="139"/>
        <v>2636531000</v>
      </c>
      <c r="H125" s="64">
        <f>+H120+H124+H121+H122+H123</f>
        <v>4282835000</v>
      </c>
      <c r="I125" s="64">
        <f t="shared" ref="I125:K125" si="140">+I120+I124+I121+I122+I123</f>
        <v>4468080000</v>
      </c>
      <c r="J125" s="64">
        <f t="shared" si="140"/>
        <v>4400625000</v>
      </c>
      <c r="K125" s="64">
        <f t="shared" si="140"/>
        <v>1702110000</v>
      </c>
      <c r="L125" s="64"/>
      <c r="M125" s="64"/>
      <c r="N125" s="64"/>
      <c r="O125" s="64"/>
    </row>
    <row r="126" spans="2:15">
      <c r="B126" s="85" t="s">
        <v>429</v>
      </c>
      <c r="C126" s="66"/>
      <c r="D126" s="66"/>
      <c r="E126" s="66"/>
      <c r="F126" s="66"/>
      <c r="G126" s="131"/>
      <c r="H126" s="131"/>
      <c r="I126" s="66">
        <v>9430000</v>
      </c>
      <c r="J126" s="66">
        <v>7144000</v>
      </c>
      <c r="K126" s="66">
        <v>1085000</v>
      </c>
      <c r="L126" s="131"/>
      <c r="M126" s="131"/>
      <c r="N126" s="131"/>
      <c r="O126" s="131"/>
    </row>
    <row r="127" spans="2:15">
      <c r="B127" s="85" t="s">
        <v>430</v>
      </c>
      <c r="C127" s="66">
        <v>-1790000</v>
      </c>
      <c r="D127" s="66">
        <v>-2415000</v>
      </c>
      <c r="E127" s="66">
        <v>-2092000</v>
      </c>
      <c r="F127" s="66">
        <v>-2733000</v>
      </c>
      <c r="G127" s="131">
        <v>-3467000</v>
      </c>
      <c r="H127" s="131">
        <v>-4174000</v>
      </c>
      <c r="I127" s="66">
        <v>-552000</v>
      </c>
      <c r="J127" s="66">
        <v>-493000</v>
      </c>
      <c r="K127" s="66">
        <v>-207000</v>
      </c>
      <c r="L127" s="131"/>
      <c r="M127" s="131"/>
      <c r="N127" s="131"/>
      <c r="O127" s="131"/>
    </row>
    <row r="128" spans="2:15">
      <c r="B128" s="85" t="s">
        <v>431</v>
      </c>
      <c r="C128" s="66"/>
      <c r="D128" s="66"/>
      <c r="E128" s="66"/>
      <c r="F128" s="66"/>
      <c r="G128" s="131"/>
      <c r="H128" s="131"/>
      <c r="I128" s="66"/>
      <c r="J128" s="1277">
        <v>0</v>
      </c>
      <c r="K128" s="1277"/>
      <c r="L128" s="131"/>
      <c r="M128" s="131"/>
      <c r="N128" s="131"/>
      <c r="O128" s="131"/>
    </row>
    <row r="129" spans="2:15">
      <c r="B129" s="85" t="s">
        <v>432</v>
      </c>
      <c r="C129" s="66"/>
      <c r="D129" s="66"/>
      <c r="E129" s="66"/>
      <c r="F129" s="66"/>
      <c r="G129" s="131"/>
      <c r="H129" s="131"/>
      <c r="I129" s="66"/>
      <c r="J129" s="1277">
        <v>0</v>
      </c>
      <c r="K129" s="1277"/>
      <c r="L129" s="131"/>
      <c r="M129" s="131"/>
      <c r="N129" s="131"/>
      <c r="O129" s="131"/>
    </row>
    <row r="130" spans="2:15">
      <c r="B130" s="85" t="s">
        <v>433</v>
      </c>
      <c r="C130" s="66">
        <v>212000</v>
      </c>
      <c r="D130" s="66">
        <v>308000</v>
      </c>
      <c r="E130" s="66">
        <v>-127000</v>
      </c>
      <c r="F130" s="66">
        <v>-177000</v>
      </c>
      <c r="G130" s="131">
        <v>1234000</v>
      </c>
      <c r="H130" s="131">
        <v>963000</v>
      </c>
      <c r="I130" s="66">
        <v>1828000</v>
      </c>
      <c r="J130" s="66">
        <v>96000</v>
      </c>
      <c r="K130" s="66">
        <v>-616000</v>
      </c>
      <c r="L130" s="131"/>
      <c r="M130" s="131"/>
      <c r="N130" s="131"/>
      <c r="O130" s="131"/>
    </row>
    <row r="131" spans="2:15">
      <c r="B131" s="86" t="s">
        <v>362</v>
      </c>
      <c r="C131" s="64">
        <f t="shared" ref="C131:E131" si="141">+C125+C126+C127+C128+C129+C130</f>
        <v>1971618000</v>
      </c>
      <c r="D131" s="64">
        <f t="shared" si="141"/>
        <v>2440715000</v>
      </c>
      <c r="E131" s="64">
        <f t="shared" si="141"/>
        <v>2420279000</v>
      </c>
      <c r="F131" s="64">
        <f>+F125+F126+F127+F128+F129+F130</f>
        <v>2403383000</v>
      </c>
      <c r="G131" s="64">
        <f t="shared" ref="G131:K131" si="142">+G125+G126+G127+G128+G129+G130</f>
        <v>2634298000</v>
      </c>
      <c r="H131" s="64">
        <f t="shared" si="142"/>
        <v>4279624000</v>
      </c>
      <c r="I131" s="64">
        <f t="shared" si="142"/>
        <v>4478786000</v>
      </c>
      <c r="J131" s="64">
        <f t="shared" si="142"/>
        <v>4407372000</v>
      </c>
      <c r="K131" s="64">
        <f t="shared" si="142"/>
        <v>1702372000</v>
      </c>
      <c r="L131" s="64"/>
      <c r="M131" s="64"/>
      <c r="N131" s="64"/>
      <c r="O131" s="64"/>
    </row>
    <row r="132" spans="2:15">
      <c r="B132" s="85" t="s">
        <v>363</v>
      </c>
      <c r="C132" s="66">
        <v>61803000</v>
      </c>
      <c r="D132" s="66">
        <v>41908000</v>
      </c>
      <c r="E132" s="66">
        <v>21252000</v>
      </c>
      <c r="F132" s="66">
        <v>21972000</v>
      </c>
      <c r="G132" s="91">
        <v>19525000</v>
      </c>
      <c r="H132" s="91">
        <v>74124000</v>
      </c>
      <c r="I132" s="66">
        <v>33331000</v>
      </c>
      <c r="J132" s="66">
        <v>-37000</v>
      </c>
      <c r="K132" s="66">
        <v>-2713000</v>
      </c>
      <c r="L132" s="91"/>
      <c r="M132" s="91"/>
      <c r="N132" s="91"/>
      <c r="O132" s="91"/>
    </row>
    <row r="133" spans="2:15">
      <c r="B133" s="84" t="s">
        <v>365</v>
      </c>
      <c r="C133" s="130">
        <f t="shared" ref="C133:G133" si="143">+C131+C132</f>
        <v>2033421000</v>
      </c>
      <c r="D133" s="130">
        <f t="shared" si="143"/>
        <v>2482623000</v>
      </c>
      <c r="E133" s="130">
        <f t="shared" si="143"/>
        <v>2441531000</v>
      </c>
      <c r="F133" s="130">
        <f t="shared" si="143"/>
        <v>2425355000</v>
      </c>
      <c r="G133" s="130">
        <f t="shared" si="143"/>
        <v>2653823000</v>
      </c>
      <c r="H133" s="130">
        <f>+H131+H132</f>
        <v>4353748000</v>
      </c>
      <c r="I133" s="130">
        <f t="shared" ref="I133:K133" si="144">+I131+I132</f>
        <v>4512117000</v>
      </c>
      <c r="J133" s="130">
        <f t="shared" si="144"/>
        <v>4407335000</v>
      </c>
      <c r="K133" s="130">
        <f t="shared" si="144"/>
        <v>1699659000</v>
      </c>
      <c r="L133" s="130"/>
      <c r="M133" s="130"/>
      <c r="N133" s="130"/>
      <c r="O133" s="130"/>
    </row>
    <row r="134" spans="2:15" ht="28.5">
      <c r="B134" s="87" t="s">
        <v>435</v>
      </c>
      <c r="C134" s="66"/>
      <c r="D134" s="66"/>
      <c r="E134" s="66"/>
      <c r="F134" s="66"/>
      <c r="G134" s="91"/>
      <c r="H134" s="91"/>
      <c r="I134" s="66"/>
      <c r="J134" s="1278" t="s">
        <v>180</v>
      </c>
      <c r="K134" s="91"/>
      <c r="L134" s="91"/>
      <c r="M134" s="91"/>
      <c r="N134" s="91"/>
      <c r="O134" s="91"/>
    </row>
    <row r="135" spans="2:15">
      <c r="B135" s="84" t="s">
        <v>366</v>
      </c>
      <c r="C135" s="111">
        <v>60.9</v>
      </c>
      <c r="D135" s="111">
        <v>74.349999999999994</v>
      </c>
      <c r="E135" s="111">
        <v>73.11</v>
      </c>
      <c r="F135" s="134">
        <v>72.63</v>
      </c>
      <c r="G135" s="134">
        <v>79.47</v>
      </c>
      <c r="H135" s="134">
        <v>130.38</v>
      </c>
      <c r="I135" s="134">
        <v>135.12</v>
      </c>
      <c r="J135" s="134">
        <v>131.99</v>
      </c>
      <c r="K135" s="134">
        <v>50.9</v>
      </c>
      <c r="L135" s="134"/>
      <c r="M135" s="134"/>
      <c r="N135" s="134"/>
      <c r="O135" s="134"/>
    </row>
    <row r="136" spans="2:15">
      <c r="J136" s="1275"/>
    </row>
    <row r="137" spans="2:15">
      <c r="B137" s="75" t="s">
        <v>367</v>
      </c>
      <c r="J137" s="1275"/>
    </row>
    <row r="138" spans="2:15">
      <c r="B138" s="82" t="s">
        <v>308</v>
      </c>
      <c r="C138" s="88">
        <v>2017</v>
      </c>
      <c r="D138" s="88">
        <v>2018</v>
      </c>
      <c r="E138" s="88">
        <v>2019</v>
      </c>
      <c r="F138" s="88">
        <v>2020</v>
      </c>
      <c r="G138" s="88">
        <v>2021</v>
      </c>
      <c r="H138" s="88">
        <v>2022</v>
      </c>
      <c r="I138" s="88">
        <v>2023</v>
      </c>
      <c r="J138" s="1276">
        <v>2024</v>
      </c>
      <c r="K138" s="88">
        <v>2025</v>
      </c>
      <c r="L138" s="88">
        <v>2026</v>
      </c>
      <c r="M138" s="88">
        <v>2027</v>
      </c>
      <c r="N138" s="88">
        <v>2028</v>
      </c>
      <c r="O138" s="88">
        <v>2029</v>
      </c>
    </row>
    <row r="139" spans="2:15">
      <c r="B139" s="83" t="s">
        <v>368</v>
      </c>
      <c r="C139" s="90">
        <v>2102104000</v>
      </c>
      <c r="D139" s="90">
        <v>2183144000</v>
      </c>
      <c r="E139" s="90">
        <v>2593305000</v>
      </c>
      <c r="F139" s="90">
        <v>2376780000</v>
      </c>
      <c r="G139" s="90">
        <v>2608895000</v>
      </c>
      <c r="H139" s="90">
        <v>3357065000</v>
      </c>
      <c r="I139" s="90">
        <v>5388410000</v>
      </c>
      <c r="J139" s="90">
        <v>4380673000</v>
      </c>
      <c r="K139" s="90">
        <v>2664503000</v>
      </c>
      <c r="L139" s="90"/>
      <c r="M139" s="90"/>
      <c r="N139" s="90"/>
      <c r="O139" s="90"/>
    </row>
    <row r="140" spans="2:15">
      <c r="B140" s="86" t="s">
        <v>369</v>
      </c>
      <c r="C140" s="91">
        <v>0</v>
      </c>
      <c r="D140" s="93">
        <v>0</v>
      </c>
      <c r="E140" s="93">
        <v>-1203000</v>
      </c>
      <c r="F140" s="66">
        <v>0</v>
      </c>
      <c r="G140" s="93">
        <v>-1020000</v>
      </c>
      <c r="H140" s="66">
        <v>-598000</v>
      </c>
      <c r="I140" s="66">
        <v>-896000</v>
      </c>
      <c r="J140" s="66">
        <v>-949000</v>
      </c>
      <c r="K140" s="1281">
        <v>0</v>
      </c>
      <c r="L140" s="66"/>
      <c r="M140" s="66"/>
      <c r="N140" s="66"/>
      <c r="O140" s="66"/>
    </row>
    <row r="141" spans="2:15">
      <c r="B141" s="85" t="s">
        <v>370</v>
      </c>
      <c r="C141" s="93">
        <v>0</v>
      </c>
      <c r="D141" s="93">
        <v>0</v>
      </c>
      <c r="E141" s="93">
        <v>-1203000</v>
      </c>
      <c r="F141" s="93">
        <v>0</v>
      </c>
      <c r="G141" s="93">
        <v>-1020000</v>
      </c>
      <c r="H141" s="93">
        <v>-598000</v>
      </c>
      <c r="I141" s="93">
        <v>-896000</v>
      </c>
      <c r="J141" s="93">
        <v>-949000</v>
      </c>
      <c r="K141" s="1282">
        <v>0</v>
      </c>
      <c r="L141" s="93"/>
      <c r="M141" s="93"/>
      <c r="N141" s="93"/>
      <c r="O141" s="93"/>
    </row>
    <row r="142" spans="2:15">
      <c r="B142" s="86" t="s">
        <v>372</v>
      </c>
      <c r="C142" s="120">
        <v>-2101924000</v>
      </c>
      <c r="D142" s="120">
        <v>-2179513000</v>
      </c>
      <c r="E142" s="64">
        <v>-2595648000</v>
      </c>
      <c r="F142" s="120">
        <v>-2359818000</v>
      </c>
      <c r="G142" s="120">
        <v>-2341338000</v>
      </c>
      <c r="H142" s="120">
        <v>-3521371000</v>
      </c>
      <c r="I142" s="120">
        <v>-5321915000</v>
      </c>
      <c r="J142" s="120">
        <v>4467773000</v>
      </c>
      <c r="K142" s="1279"/>
      <c r="L142" s="120"/>
      <c r="M142" s="120"/>
      <c r="N142" s="120"/>
      <c r="O142" s="120"/>
    </row>
    <row r="143" spans="2:15">
      <c r="B143" s="85" t="s">
        <v>373</v>
      </c>
      <c r="C143" s="93">
        <v>-2116905000</v>
      </c>
      <c r="D143" s="93">
        <v>-2158524000</v>
      </c>
      <c r="E143" s="66">
        <v>-2608865000</v>
      </c>
      <c r="F143" s="93">
        <v>-2338142000</v>
      </c>
      <c r="G143" s="93">
        <v>-2341338000</v>
      </c>
      <c r="H143" s="93">
        <v>-3392545000</v>
      </c>
      <c r="I143" s="93">
        <v>-5318279000</v>
      </c>
      <c r="J143" s="93">
        <v>4467773000</v>
      </c>
      <c r="K143" s="1280"/>
      <c r="L143" s="93"/>
      <c r="M143" s="93"/>
      <c r="N143" s="93"/>
      <c r="O143" s="93"/>
    </row>
    <row r="144" spans="2:15">
      <c r="B144" s="85" t="s">
        <v>437</v>
      </c>
      <c r="C144" s="93">
        <v>-1364000</v>
      </c>
      <c r="D144" s="93">
        <v>-944000</v>
      </c>
      <c r="E144" s="66">
        <v>-1536000</v>
      </c>
      <c r="F144" s="93">
        <v>-841000</v>
      </c>
      <c r="G144" s="93">
        <v>-66000</v>
      </c>
      <c r="H144" s="93">
        <v>-5470000</v>
      </c>
      <c r="I144" s="93">
        <v>0</v>
      </c>
      <c r="J144" s="1280">
        <v>0</v>
      </c>
      <c r="K144" s="93"/>
      <c r="L144" s="93"/>
      <c r="M144" s="93"/>
      <c r="N144" s="93"/>
      <c r="O144" s="93"/>
    </row>
    <row r="145" spans="2:15">
      <c r="B145" s="86" t="s">
        <v>375</v>
      </c>
      <c r="C145" s="64"/>
      <c r="D145" s="64"/>
      <c r="E145" s="64"/>
      <c r="F145" s="64"/>
      <c r="G145" s="64"/>
      <c r="H145" s="64"/>
      <c r="I145" s="64"/>
      <c r="J145" s="1272">
        <v>0</v>
      </c>
      <c r="K145" s="64"/>
      <c r="L145" s="64"/>
      <c r="M145" s="64"/>
      <c r="N145" s="64"/>
      <c r="O145" s="64"/>
    </row>
    <row r="146" spans="2:15">
      <c r="B146" s="85"/>
      <c r="C146" s="66"/>
      <c r="D146" s="66"/>
      <c r="E146" s="66"/>
      <c r="F146" s="66"/>
      <c r="G146" s="66"/>
      <c r="H146" s="66"/>
      <c r="I146" s="66"/>
      <c r="J146" s="1271"/>
      <c r="K146" s="66"/>
      <c r="L146" s="66"/>
      <c r="M146" s="66"/>
      <c r="N146" s="66"/>
      <c r="O146" s="66"/>
    </row>
    <row r="147" spans="2:15">
      <c r="B147" s="84" t="s">
        <v>376</v>
      </c>
      <c r="C147" s="131">
        <f t="shared" ref="C147:G147" si="145">+C139+C141+C144</f>
        <v>2100740000</v>
      </c>
      <c r="D147" s="131">
        <f t="shared" si="145"/>
        <v>2182200000</v>
      </c>
      <c r="E147" s="131">
        <f t="shared" si="145"/>
        <v>2590566000</v>
      </c>
      <c r="F147" s="131">
        <f t="shared" si="145"/>
        <v>2375939000</v>
      </c>
      <c r="G147" s="131">
        <f t="shared" si="145"/>
        <v>2607809000</v>
      </c>
      <c r="H147" s="131">
        <f>+H139+H141+H144</f>
        <v>3350997000</v>
      </c>
      <c r="I147" s="131">
        <f>+I139+I141+I144</f>
        <v>5387514000</v>
      </c>
      <c r="J147" s="131">
        <f>+J139+J141+J144</f>
        <v>4379724000</v>
      </c>
      <c r="K147" s="131">
        <f>+K139+K141+K144</f>
        <v>2664503000</v>
      </c>
      <c r="L147" s="131"/>
      <c r="M147" s="131"/>
      <c r="N147" s="131"/>
      <c r="O147" s="131"/>
    </row>
  </sheetData>
  <conditionalFormatting sqref="C67:H73 D74:H74 C75:H107 I88:K88 I107:K107">
    <cfRule type="cellIs" dxfId="19" priority="24" operator="lessThan">
      <formula>0</formula>
    </cfRule>
  </conditionalFormatting>
  <conditionalFormatting sqref="I118:K121 L118:O133 C118:H134 I125:K125 I131:K133 K134:O135 C135:J135">
    <cfRule type="cellIs" dxfId="18" priority="5" operator="lessThan">
      <formula>0</formula>
    </cfRule>
  </conditionalFormatting>
  <conditionalFormatting sqref="I67:O68 I68:I87 J69:K70 L69:O107 J72:K78 I89:I106 J91:K91 J95:K95 J97:K97 J99:K101 J104:K104 I108:I113 C109:H114 L109:O114 J110:K112 I114:K114 I115:I116 J122:K122 I122:I124 J126:K127 I126:I130 J130:K130 I134">
    <cfRule type="cellIs" dxfId="17" priority="6" operator="lessThan">
      <formula>0</formula>
    </cfRule>
  </conditionalFormatting>
  <conditionalFormatting sqref="J83:K83">
    <cfRule type="cellIs" dxfId="16" priority="2" operator="lessThan">
      <formula>0</formula>
    </cfRule>
  </conditionalFormatting>
  <conditionalFormatting sqref="K139 J139:J143 L139:O143 C139:I147 K144:O147 J147:K147">
    <cfRule type="cellIs" dxfId="15" priority="4" operator="lessThan">
      <formula>0</formula>
    </cfRule>
  </conditionalFormatting>
  <pageMargins left="0.7" right="0.7" top="0.75" bottom="0.75" header="0.3" footer="0.3"/>
  <pageSetup paperSize="9" orientation="portrait" r:id="rId1"/>
  <legacy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591A7-4596-489A-ACD6-B78064A05128}">
  <dimension ref="B2:P144"/>
  <sheetViews>
    <sheetView zoomScale="80" zoomScaleNormal="80" workbookViewId="0">
      <pane xSplit="2" ySplit="6" topLeftCell="C7" activePane="bottomRight" state="frozen"/>
      <selection pane="bottomRight"/>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3" width="33.28515625" customWidth="1"/>
    <col min="4" max="4" width="35.42578125" customWidth="1"/>
    <col min="5" max="6" width="33.28515625" customWidth="1"/>
    <col min="7" max="7" width="36.28515625" customWidth="1"/>
    <col min="8" max="8" width="35.7109375" customWidth="1"/>
    <col min="9" max="9" width="32.7109375" bestFit="1" customWidth="1"/>
    <col min="10" max="14" width="25.42578125" bestFit="1" customWidth="1"/>
  </cols>
  <sheetData>
    <row r="2" spans="2:14" ht="21">
      <c r="B2" s="313">
        <f ca="1">TODAY()-1</f>
        <v>46105</v>
      </c>
      <c r="C2" s="314"/>
      <c r="D2" s="344" t="s">
        <v>265</v>
      </c>
      <c r="E2" s="345" t="s">
        <v>266</v>
      </c>
    </row>
    <row r="3" spans="2:14" ht="25.5">
      <c r="B3" s="376" cm="1">
        <f t="array" aca="1" ref="B3" ca="1">_FV(B6,"Precio")</f>
        <v>3076.5</v>
      </c>
      <c r="C3" s="316"/>
      <c r="D3" s="346">
        <f>AVERAGE(G45:I45)</f>
        <v>172.26966666666667</v>
      </c>
      <c r="E3" s="346">
        <f>AVERAGE(G44:I44)</f>
        <v>172.57000000000002</v>
      </c>
    </row>
    <row r="4" spans="2:14" ht="15.75" customHeight="1">
      <c r="B4" s="319"/>
      <c r="C4" s="320"/>
      <c r="D4" s="328"/>
      <c r="E4" s="328"/>
    </row>
    <row r="6" spans="2:14" ht="33.4">
      <c r="B6" s="3" t="e" vm="65">
        <v>#VALUE!</v>
      </c>
      <c r="C6" s="3">
        <v>2017</v>
      </c>
      <c r="D6" s="3">
        <v>2018</v>
      </c>
      <c r="E6" s="3">
        <v>2019</v>
      </c>
      <c r="F6" s="3">
        <v>2020</v>
      </c>
      <c r="G6" s="3">
        <v>2021</v>
      </c>
      <c r="H6" s="3">
        <v>2022</v>
      </c>
      <c r="I6" s="3">
        <v>2023</v>
      </c>
      <c r="J6" s="3">
        <v>2024</v>
      </c>
      <c r="K6" s="3">
        <v>2025</v>
      </c>
      <c r="L6" s="3">
        <v>2026</v>
      </c>
      <c r="M6" s="3">
        <v>2027</v>
      </c>
      <c r="N6" s="3">
        <v>2028</v>
      </c>
    </row>
    <row r="7" spans="2:14" ht="25.5">
      <c r="B7" s="4" t="s">
        <v>267</v>
      </c>
      <c r="C7" s="5">
        <f>+C61</f>
        <v>61715312000</v>
      </c>
      <c r="D7" s="5">
        <f t="shared" ref="D7:I7" si="0">+D61</f>
        <v>60007245000</v>
      </c>
      <c r="E7" s="5">
        <f t="shared" si="0"/>
        <v>70777898000</v>
      </c>
      <c r="F7" s="5">
        <f t="shared" si="0"/>
        <v>136075111000</v>
      </c>
      <c r="G7" s="5">
        <f t="shared" si="0"/>
        <v>118712732000</v>
      </c>
      <c r="H7" s="5">
        <f t="shared" si="0"/>
        <v>86454169000</v>
      </c>
      <c r="I7" s="5">
        <f t="shared" si="0"/>
        <v>80836908000</v>
      </c>
      <c r="J7" s="5">
        <f t="shared" ref="J7:N7" si="1">+J61</f>
        <v>0</v>
      </c>
      <c r="K7" s="5">
        <f t="shared" si="1"/>
        <v>0</v>
      </c>
      <c r="L7" s="5">
        <f t="shared" si="1"/>
        <v>0</v>
      </c>
      <c r="M7" s="5">
        <f t="shared" si="1"/>
        <v>0</v>
      </c>
      <c r="N7" s="5">
        <f t="shared" si="1"/>
        <v>0</v>
      </c>
    </row>
    <row r="8" spans="2:14" ht="25.5">
      <c r="B8" s="146" t="s">
        <v>377</v>
      </c>
      <c r="C8" s="147">
        <f>+C65</f>
        <v>21686558000</v>
      </c>
      <c r="D8" s="147">
        <f t="shared" ref="D8:I8" si="2">+D65</f>
        <v>20951548000</v>
      </c>
      <c r="E8" s="147">
        <f t="shared" si="2"/>
        <v>22746108000</v>
      </c>
      <c r="F8" s="147">
        <f t="shared" si="2"/>
        <v>23227593000</v>
      </c>
      <c r="G8" s="147">
        <f t="shared" si="2"/>
        <v>25355640000</v>
      </c>
      <c r="H8" s="147">
        <f t="shared" si="2"/>
        <v>24096615000</v>
      </c>
      <c r="I8" s="147">
        <f t="shared" si="2"/>
        <v>18310410000</v>
      </c>
      <c r="J8" s="147">
        <f t="shared" ref="J8:N8" si="3">+J65</f>
        <v>0</v>
      </c>
      <c r="K8" s="147">
        <f t="shared" si="3"/>
        <v>0</v>
      </c>
      <c r="L8" s="147">
        <f t="shared" si="3"/>
        <v>0</v>
      </c>
      <c r="M8" s="147">
        <f t="shared" si="3"/>
        <v>0</v>
      </c>
      <c r="N8" s="147">
        <f t="shared" si="3"/>
        <v>0</v>
      </c>
    </row>
    <row r="9" spans="2:14" ht="25.5">
      <c r="B9" s="146" t="s">
        <v>378</v>
      </c>
      <c r="C9" s="147">
        <f>+C67</f>
        <v>18884385000</v>
      </c>
      <c r="D9" s="147">
        <f t="shared" ref="D9:I9" si="4">+D67</f>
        <v>22020346000</v>
      </c>
      <c r="E9" s="147">
        <f t="shared" si="4"/>
        <v>23890670000</v>
      </c>
      <c r="F9" s="147">
        <f t="shared" si="4"/>
        <v>18033604000</v>
      </c>
      <c r="G9" s="147">
        <f t="shared" si="4"/>
        <v>26010254000</v>
      </c>
      <c r="H9" s="147">
        <f t="shared" si="4"/>
        <v>36397705000</v>
      </c>
      <c r="I9" s="147">
        <f t="shared" si="4"/>
        <v>31887161000</v>
      </c>
      <c r="J9" s="147">
        <f t="shared" ref="J9:N9" si="5">+J67</f>
        <v>0</v>
      </c>
      <c r="K9" s="147">
        <f t="shared" si="5"/>
        <v>0</v>
      </c>
      <c r="L9" s="147">
        <f t="shared" si="5"/>
        <v>0</v>
      </c>
      <c r="M9" s="147">
        <f t="shared" si="5"/>
        <v>0</v>
      </c>
      <c r="N9" s="147">
        <f t="shared" si="5"/>
        <v>0</v>
      </c>
    </row>
    <row r="10" spans="2:14" ht="25.5">
      <c r="B10" s="4" t="s">
        <v>379</v>
      </c>
      <c r="C10" s="5">
        <f>+C70</f>
        <v>130362436000</v>
      </c>
      <c r="D10" s="5">
        <f t="shared" ref="D10:I10" si="6">+D70</f>
        <v>138780569000</v>
      </c>
      <c r="E10" s="5">
        <f t="shared" si="6"/>
        <v>156265749000</v>
      </c>
      <c r="F10" s="5">
        <f t="shared" si="6"/>
        <v>151460180000</v>
      </c>
      <c r="G10" s="5">
        <f t="shared" si="6"/>
        <v>206448068000</v>
      </c>
      <c r="H10" s="5">
        <f t="shared" si="6"/>
        <v>292282608000</v>
      </c>
      <c r="I10" s="5">
        <f t="shared" si="6"/>
        <v>306319451000</v>
      </c>
      <c r="J10" s="5">
        <f t="shared" ref="J10:N10" si="7">+J70</f>
        <v>0</v>
      </c>
      <c r="K10" s="5">
        <f t="shared" si="7"/>
        <v>0</v>
      </c>
      <c r="L10" s="5">
        <f t="shared" si="7"/>
        <v>0</v>
      </c>
      <c r="M10" s="5">
        <f t="shared" si="7"/>
        <v>0</v>
      </c>
      <c r="N10" s="5">
        <f t="shared" si="7"/>
        <v>0</v>
      </c>
    </row>
    <row r="11" spans="2:14" ht="25.5">
      <c r="B11" s="8" t="s">
        <v>272</v>
      </c>
      <c r="C11" s="9">
        <f>+C10+C7</f>
        <v>192077748000</v>
      </c>
      <c r="D11" s="9">
        <f t="shared" ref="D11:I11" si="8">+D10+D7</f>
        <v>198787814000</v>
      </c>
      <c r="E11" s="9">
        <f t="shared" si="8"/>
        <v>227043647000</v>
      </c>
      <c r="F11" s="9">
        <f t="shared" si="8"/>
        <v>287535291000</v>
      </c>
      <c r="G11" s="9">
        <f t="shared" si="8"/>
        <v>325160800000</v>
      </c>
      <c r="H11" s="9">
        <f t="shared" si="8"/>
        <v>378736777000</v>
      </c>
      <c r="I11" s="9">
        <f t="shared" si="8"/>
        <v>387156359000</v>
      </c>
      <c r="J11" s="9">
        <f t="shared" ref="J11:N11" si="9">+J10+J7</f>
        <v>0</v>
      </c>
      <c r="K11" s="9">
        <f t="shared" si="9"/>
        <v>0</v>
      </c>
      <c r="L11" s="9">
        <f t="shared" si="9"/>
        <v>0</v>
      </c>
      <c r="M11" s="9">
        <f t="shared" si="9"/>
        <v>0</v>
      </c>
      <c r="N11" s="9">
        <f t="shared" si="9"/>
        <v>0</v>
      </c>
    </row>
    <row r="12" spans="2:14" ht="25.5">
      <c r="B12" s="10" t="s">
        <v>273</v>
      </c>
      <c r="C12" s="11">
        <f>+C84</f>
        <v>19838044000</v>
      </c>
      <c r="D12" s="11">
        <f t="shared" ref="D12:I12" si="10">+D84</f>
        <v>19363766000</v>
      </c>
      <c r="E12" s="11">
        <f t="shared" si="10"/>
        <v>35344075000</v>
      </c>
      <c r="F12" s="11">
        <f t="shared" si="10"/>
        <v>29479180000</v>
      </c>
      <c r="G12" s="11">
        <f t="shared" si="10"/>
        <v>25214877000</v>
      </c>
      <c r="H12" s="11">
        <f t="shared" si="10"/>
        <v>30795301000</v>
      </c>
      <c r="I12" s="11">
        <f t="shared" si="10"/>
        <v>24699601000</v>
      </c>
      <c r="J12" s="11">
        <f t="shared" ref="J12:N12" si="11">+J84</f>
        <v>0</v>
      </c>
      <c r="K12" s="11">
        <f t="shared" si="11"/>
        <v>0</v>
      </c>
      <c r="L12" s="11">
        <f t="shared" si="11"/>
        <v>0</v>
      </c>
      <c r="M12" s="11">
        <f t="shared" si="11"/>
        <v>0</v>
      </c>
      <c r="N12" s="11">
        <f t="shared" si="11"/>
        <v>0</v>
      </c>
    </row>
    <row r="13" spans="2:14" ht="25.5">
      <c r="B13" s="10" t="s">
        <v>274</v>
      </c>
      <c r="C13" s="11">
        <f>+C94</f>
        <v>19462309000</v>
      </c>
      <c r="D13" s="11">
        <f t="shared" ref="D13:I13" si="12">+D94</f>
        <v>18549978000</v>
      </c>
      <c r="E13" s="11">
        <f t="shared" si="12"/>
        <v>16552082000</v>
      </c>
      <c r="F13" s="11">
        <f t="shared" si="12"/>
        <v>73063240000</v>
      </c>
      <c r="G13" s="11">
        <f t="shared" si="12"/>
        <v>83779540000</v>
      </c>
      <c r="H13" s="11">
        <f t="shared" si="12"/>
        <v>94454482000</v>
      </c>
      <c r="I13" s="11">
        <f t="shared" si="12"/>
        <v>98019932000</v>
      </c>
      <c r="J13" s="11">
        <f t="shared" ref="J13:N13" si="13">+J94</f>
        <v>0</v>
      </c>
      <c r="K13" s="11">
        <f t="shared" si="13"/>
        <v>0</v>
      </c>
      <c r="L13" s="11">
        <f t="shared" si="13"/>
        <v>0</v>
      </c>
      <c r="M13" s="11">
        <f t="shared" si="13"/>
        <v>0</v>
      </c>
      <c r="N13" s="11">
        <f t="shared" si="13"/>
        <v>0</v>
      </c>
    </row>
    <row r="14" spans="2:14" ht="25.5">
      <c r="B14" s="12" t="s">
        <v>275</v>
      </c>
      <c r="C14" s="13">
        <f>+C12+C13</f>
        <v>39300353000</v>
      </c>
      <c r="D14" s="13">
        <f t="shared" ref="D14:I14" si="14">+D12+D13</f>
        <v>37913744000</v>
      </c>
      <c r="E14" s="13">
        <f t="shared" si="14"/>
        <v>51896157000</v>
      </c>
      <c r="F14" s="13">
        <f t="shared" si="14"/>
        <v>102542420000</v>
      </c>
      <c r="G14" s="13">
        <f t="shared" si="14"/>
        <v>108994417000</v>
      </c>
      <c r="H14" s="13">
        <f t="shared" si="14"/>
        <v>125249783000</v>
      </c>
      <c r="I14" s="13">
        <f t="shared" si="14"/>
        <v>122719533000</v>
      </c>
      <c r="J14" s="13">
        <f t="shared" ref="J14:N14" si="15">+J12+J13</f>
        <v>0</v>
      </c>
      <c r="K14" s="13">
        <f t="shared" si="15"/>
        <v>0</v>
      </c>
      <c r="L14" s="13">
        <f t="shared" si="15"/>
        <v>0</v>
      </c>
      <c r="M14" s="13">
        <f t="shared" si="15"/>
        <v>0</v>
      </c>
      <c r="N14" s="13">
        <f t="shared" si="15"/>
        <v>0</v>
      </c>
    </row>
    <row r="15" spans="2:14" ht="25.5">
      <c r="B15" s="14" t="s">
        <v>276</v>
      </c>
      <c r="C15" s="15">
        <f>+C107</f>
        <v>152743030000</v>
      </c>
      <c r="D15" s="15">
        <f t="shared" ref="D15:I15" si="16">+D107</f>
        <v>160831868000</v>
      </c>
      <c r="E15" s="15">
        <f t="shared" si="16"/>
        <v>175119058000</v>
      </c>
      <c r="F15" s="15">
        <f t="shared" si="16"/>
        <v>184954114000</v>
      </c>
      <c r="G15" s="15">
        <f t="shared" si="16"/>
        <v>216125110000</v>
      </c>
      <c r="H15" s="15">
        <f t="shared" si="16"/>
        <v>249361155000</v>
      </c>
      <c r="I15" s="15">
        <f t="shared" si="16"/>
        <v>264396917000</v>
      </c>
      <c r="J15" s="15">
        <f t="shared" ref="J15:N15" si="17">+J107</f>
        <v>0</v>
      </c>
      <c r="K15" s="15">
        <f t="shared" si="17"/>
        <v>0</v>
      </c>
      <c r="L15" s="15">
        <f t="shared" si="17"/>
        <v>0</v>
      </c>
      <c r="M15" s="15">
        <f t="shared" si="17"/>
        <v>0</v>
      </c>
      <c r="N15" s="15">
        <f t="shared" si="17"/>
        <v>0</v>
      </c>
    </row>
    <row r="16" spans="2:14" ht="25.5">
      <c r="B16" s="79" t="s">
        <v>278</v>
      </c>
      <c r="C16" s="80">
        <v>75000000</v>
      </c>
      <c r="D16" s="80">
        <v>75000000</v>
      </c>
      <c r="E16" s="80">
        <v>75000000</v>
      </c>
      <c r="F16" s="80">
        <v>75000000</v>
      </c>
      <c r="G16" s="80">
        <v>75000000</v>
      </c>
      <c r="H16" s="80">
        <v>75000000</v>
      </c>
      <c r="I16" s="80">
        <v>75000000</v>
      </c>
      <c r="J16" s="80"/>
      <c r="K16" s="80"/>
      <c r="L16" s="80"/>
      <c r="M16" s="80"/>
      <c r="N16" s="80"/>
    </row>
    <row r="18" spans="2:14" ht="25.5">
      <c r="B18" s="18" t="s">
        <v>279</v>
      </c>
      <c r="C18" s="19">
        <f t="shared" ref="C18:I18" si="18">(C15/C16)</f>
        <v>2036.5737333333334</v>
      </c>
      <c r="D18" s="19">
        <f t="shared" si="18"/>
        <v>2144.4249066666666</v>
      </c>
      <c r="E18" s="19">
        <f t="shared" si="18"/>
        <v>2334.9207733333333</v>
      </c>
      <c r="F18" s="19">
        <f t="shared" si="18"/>
        <v>2466.0548533333335</v>
      </c>
      <c r="G18" s="19">
        <f t="shared" si="18"/>
        <v>2881.6681333333331</v>
      </c>
      <c r="H18" s="19">
        <f t="shared" si="18"/>
        <v>3324.8154</v>
      </c>
      <c r="I18" s="19">
        <f t="shared" si="18"/>
        <v>3525.2922266666665</v>
      </c>
      <c r="J18" s="19" t="e">
        <f t="shared" ref="J18:N18" si="19">(J15/J16)</f>
        <v>#DIV/0!</v>
      </c>
      <c r="K18" s="19" t="e">
        <f t="shared" si="19"/>
        <v>#DIV/0!</v>
      </c>
      <c r="L18" s="19" t="e">
        <f t="shared" si="19"/>
        <v>#DIV/0!</v>
      </c>
      <c r="M18" s="19" t="e">
        <f t="shared" si="19"/>
        <v>#DIV/0!</v>
      </c>
      <c r="N18" s="19" t="e">
        <f t="shared" si="19"/>
        <v>#DIV/0!</v>
      </c>
    </row>
    <row r="19" spans="2:14" ht="25.5">
      <c r="B19" s="76" t="s">
        <v>282</v>
      </c>
      <c r="C19" s="77">
        <v>2501</v>
      </c>
      <c r="D19" s="77">
        <v>2501</v>
      </c>
      <c r="E19" s="77">
        <v>2300</v>
      </c>
      <c r="F19" s="77">
        <v>1933</v>
      </c>
      <c r="G19" s="101">
        <v>2000</v>
      </c>
      <c r="H19" s="101">
        <v>2000</v>
      </c>
      <c r="I19" s="101">
        <v>2120</v>
      </c>
      <c r="J19" s="101"/>
      <c r="K19" s="101"/>
      <c r="L19" s="101"/>
      <c r="M19" s="101"/>
      <c r="N19" s="101"/>
    </row>
    <row r="20" spans="2:14" ht="25.5">
      <c r="B20" s="18" t="s">
        <v>283</v>
      </c>
      <c r="C20" s="22">
        <f>+C19/C40</f>
        <v>13.051873499634693</v>
      </c>
      <c r="D20" s="22">
        <f t="shared" ref="D20:I20" si="20">+D19/D40</f>
        <v>11.247020731213743</v>
      </c>
      <c r="E20" s="22">
        <f t="shared" si="20"/>
        <v>10.327795240233499</v>
      </c>
      <c r="F20" s="22">
        <f t="shared" si="20"/>
        <v>5.7279165555456775</v>
      </c>
      <c r="G20" s="22">
        <f t="shared" si="20"/>
        <v>2.9517681090973498</v>
      </c>
      <c r="H20" s="22">
        <f t="shared" si="20"/>
        <v>4.5079565432989224</v>
      </c>
      <c r="I20" s="22">
        <f t="shared" si="20"/>
        <v>8.3754740834386858</v>
      </c>
      <c r="J20" s="22" t="e">
        <f t="shared" ref="J20:N20" si="21">+J19/J40</f>
        <v>#DIV/0!</v>
      </c>
      <c r="K20" s="22" t="e">
        <f t="shared" si="21"/>
        <v>#DIV/0!</v>
      </c>
      <c r="L20" s="22" t="e">
        <f t="shared" si="21"/>
        <v>#DIV/0!</v>
      </c>
      <c r="M20" s="22" t="e">
        <f t="shared" si="21"/>
        <v>#DIV/0!</v>
      </c>
      <c r="N20" s="22" t="e">
        <f t="shared" si="21"/>
        <v>#DIV/0!</v>
      </c>
    </row>
    <row r="21" spans="2:14" ht="25.5">
      <c r="B21" s="18" t="s">
        <v>380</v>
      </c>
      <c r="C21" s="22">
        <f t="shared" ref="C21:I21" si="22">+C19/C18</f>
        <v>1.2280429424504673</v>
      </c>
      <c r="D21" s="22">
        <f t="shared" si="22"/>
        <v>1.1662800558904161</v>
      </c>
      <c r="E21" s="22">
        <f t="shared" si="22"/>
        <v>0.98504412923463769</v>
      </c>
      <c r="F21" s="22">
        <f t="shared" si="22"/>
        <v>0.78384306715123941</v>
      </c>
      <c r="G21" s="22">
        <f t="shared" si="22"/>
        <v>0.69404244606283838</v>
      </c>
      <c r="H21" s="22">
        <f t="shared" si="22"/>
        <v>0.6015371560177446</v>
      </c>
      <c r="I21" s="22">
        <f t="shared" si="22"/>
        <v>0.60136858554973249</v>
      </c>
      <c r="J21" s="22" t="e">
        <f t="shared" ref="J21:N21" si="23">+J19/J18</f>
        <v>#DIV/0!</v>
      </c>
      <c r="K21" s="22" t="e">
        <f t="shared" si="23"/>
        <v>#DIV/0!</v>
      </c>
      <c r="L21" s="22" t="e">
        <f t="shared" si="23"/>
        <v>#DIV/0!</v>
      </c>
      <c r="M21" s="22" t="e">
        <f t="shared" si="23"/>
        <v>#DIV/0!</v>
      </c>
      <c r="N21" s="22" t="e">
        <f t="shared" si="23"/>
        <v>#DIV/0!</v>
      </c>
    </row>
    <row r="22" spans="2:14" ht="25.5">
      <c r="B22" s="18" t="s">
        <v>285</v>
      </c>
      <c r="C22" s="22">
        <f>+C20*C21</f>
        <v>16.028261136982668</v>
      </c>
      <c r="D22" s="22">
        <f t="shared" ref="D22:I22" si="24">+D20*D21</f>
        <v>13.117175967000632</v>
      </c>
      <c r="E22" s="22">
        <f t="shared" si="24"/>
        <v>10.173334069329442</v>
      </c>
      <c r="F22" s="22">
        <f t="shared" si="24"/>
        <v>4.4897876812852866</v>
      </c>
      <c r="G22" s="22">
        <f t="shared" si="24"/>
        <v>2.0486523586482037</v>
      </c>
      <c r="H22" s="22">
        <f t="shared" si="24"/>
        <v>2.7117033585076165</v>
      </c>
      <c r="I22" s="22">
        <f t="shared" si="24"/>
        <v>5.0367470028659644</v>
      </c>
      <c r="J22" s="22" t="e">
        <f t="shared" ref="J22:N22" si="25">+J20*J21</f>
        <v>#DIV/0!</v>
      </c>
      <c r="K22" s="22" t="e">
        <f t="shared" si="25"/>
        <v>#DIV/0!</v>
      </c>
      <c r="L22" s="22" t="e">
        <f t="shared" si="25"/>
        <v>#DIV/0!</v>
      </c>
      <c r="M22" s="22" t="e">
        <f t="shared" si="25"/>
        <v>#DIV/0!</v>
      </c>
      <c r="N22" s="22" t="e">
        <f t="shared" si="25"/>
        <v>#DIV/0!</v>
      </c>
    </row>
    <row r="23" spans="2:14" ht="25.5">
      <c r="B23" s="23" t="s">
        <v>286</v>
      </c>
      <c r="C23" s="24">
        <f>IF(C41&lt;10%,0,IF(15%&lt;C41,2,1))</f>
        <v>1</v>
      </c>
      <c r="D23" s="24">
        <f>IF(D41&lt;10%,0,IF(15%&lt;D41,2,1))</f>
        <v>1</v>
      </c>
      <c r="E23" s="24">
        <f t="shared" ref="E23:I23" si="26">IF(E41&lt;10%,0,IF(15%&lt;E41,2,1))</f>
        <v>0</v>
      </c>
      <c r="F23" s="24">
        <f t="shared" si="26"/>
        <v>1</v>
      </c>
      <c r="G23" s="24">
        <f t="shared" si="26"/>
        <v>2</v>
      </c>
      <c r="H23" s="24">
        <f t="shared" si="26"/>
        <v>1</v>
      </c>
      <c r="I23" s="24">
        <f t="shared" si="26"/>
        <v>0</v>
      </c>
      <c r="J23" s="24" t="e">
        <f t="shared" ref="J23:N23" si="27">IF(J41&lt;10%,0,IF(15%&lt;J41,2,1))</f>
        <v>#DIV/0!</v>
      </c>
      <c r="K23" s="24" t="e">
        <f t="shared" si="27"/>
        <v>#DIV/0!</v>
      </c>
      <c r="L23" s="24" t="e">
        <f t="shared" si="27"/>
        <v>#DIV/0!</v>
      </c>
      <c r="M23" s="24" t="e">
        <f t="shared" si="27"/>
        <v>#DIV/0!</v>
      </c>
      <c r="N23" s="24" t="e">
        <f t="shared" si="27"/>
        <v>#DIV/0!</v>
      </c>
    </row>
    <row r="24" spans="2:14" ht="25.5">
      <c r="B24" s="23" t="s">
        <v>287</v>
      </c>
      <c r="C24" s="24">
        <f>IF(C41&lt;10%,1,IF(15%&lt;C41,2.5,2))</f>
        <v>2</v>
      </c>
      <c r="D24" s="24">
        <f t="shared" ref="D24:I24" si="28">IF(D41&lt;10%,1,IF(15%&lt;D41,2.5,2))</f>
        <v>2</v>
      </c>
      <c r="E24" s="24">
        <f t="shared" si="28"/>
        <v>1</v>
      </c>
      <c r="F24" s="24">
        <f t="shared" si="28"/>
        <v>2</v>
      </c>
      <c r="G24" s="24">
        <f t="shared" si="28"/>
        <v>2.5</v>
      </c>
      <c r="H24" s="24">
        <f t="shared" si="28"/>
        <v>2</v>
      </c>
      <c r="I24" s="24">
        <f t="shared" si="28"/>
        <v>1</v>
      </c>
      <c r="J24" s="24" t="e">
        <f t="shared" ref="J24:N24" si="29">IF(J41&lt;10%,1,IF(15%&lt;J41,2.5,2))</f>
        <v>#DIV/0!</v>
      </c>
      <c r="K24" s="24" t="e">
        <f t="shared" si="29"/>
        <v>#DIV/0!</v>
      </c>
      <c r="L24" s="24" t="e">
        <f t="shared" si="29"/>
        <v>#DIV/0!</v>
      </c>
      <c r="M24" s="24" t="e">
        <f t="shared" si="29"/>
        <v>#DIV/0!</v>
      </c>
      <c r="N24" s="24" t="e">
        <f t="shared" si="29"/>
        <v>#DIV/0!</v>
      </c>
    </row>
    <row r="25" spans="2:14" ht="25.5">
      <c r="B25" s="25" t="s">
        <v>288</v>
      </c>
      <c r="C25" s="26">
        <f t="shared" ref="C25:I25" si="30">+C23*C18</f>
        <v>2036.5737333333334</v>
      </c>
      <c r="D25" s="26">
        <f t="shared" si="30"/>
        <v>2144.4249066666666</v>
      </c>
      <c r="E25" s="26">
        <f t="shared" si="30"/>
        <v>0</v>
      </c>
      <c r="F25" s="26">
        <f t="shared" si="30"/>
        <v>2466.0548533333335</v>
      </c>
      <c r="G25" s="26">
        <f t="shared" si="30"/>
        <v>5763.3362666666662</v>
      </c>
      <c r="H25" s="26">
        <f t="shared" si="30"/>
        <v>3324.8154</v>
      </c>
      <c r="I25" s="26">
        <f t="shared" si="30"/>
        <v>0</v>
      </c>
      <c r="J25" s="26" t="e">
        <f t="shared" ref="J25:N25" si="31">+J23*J18</f>
        <v>#DIV/0!</v>
      </c>
      <c r="K25" s="26" t="e">
        <f t="shared" si="31"/>
        <v>#DIV/0!</v>
      </c>
      <c r="L25" s="26" t="e">
        <f t="shared" si="31"/>
        <v>#DIV/0!</v>
      </c>
      <c r="M25" s="26" t="e">
        <f t="shared" si="31"/>
        <v>#DIV/0!</v>
      </c>
      <c r="N25" s="26" t="e">
        <f t="shared" si="31"/>
        <v>#DIV/0!</v>
      </c>
    </row>
    <row r="26" spans="2:14" ht="25.5">
      <c r="B26" s="25" t="s">
        <v>289</v>
      </c>
      <c r="C26" s="26">
        <f>AVERAGE(C25,C27)</f>
        <v>3054.8606</v>
      </c>
      <c r="D26" s="26">
        <f t="shared" ref="D26:I26" si="32">AVERAGE(D25,D27)</f>
        <v>3216.6373599999997</v>
      </c>
      <c r="E26" s="26">
        <f t="shared" si="32"/>
        <v>1167.4603866666666</v>
      </c>
      <c r="F26" s="26">
        <f t="shared" si="32"/>
        <v>3699.0822800000005</v>
      </c>
      <c r="G26" s="26">
        <f t="shared" si="32"/>
        <v>6483.7532999999994</v>
      </c>
      <c r="H26" s="26">
        <f t="shared" si="32"/>
        <v>4987.2231000000002</v>
      </c>
      <c r="I26" s="26">
        <f t="shared" si="32"/>
        <v>1762.6461133333332</v>
      </c>
      <c r="J26" s="26" t="e">
        <f t="shared" ref="J26:N26" si="33">AVERAGE(J25,J27)</f>
        <v>#DIV/0!</v>
      </c>
      <c r="K26" s="26" t="e">
        <f t="shared" si="33"/>
        <v>#DIV/0!</v>
      </c>
      <c r="L26" s="26" t="e">
        <f t="shared" si="33"/>
        <v>#DIV/0!</v>
      </c>
      <c r="M26" s="26" t="e">
        <f t="shared" si="33"/>
        <v>#DIV/0!</v>
      </c>
      <c r="N26" s="26" t="e">
        <f t="shared" si="33"/>
        <v>#DIV/0!</v>
      </c>
    </row>
    <row r="27" spans="2:14" ht="25.5">
      <c r="B27" s="25" t="s">
        <v>290</v>
      </c>
      <c r="C27" s="26">
        <f t="shared" ref="C27:I27" si="34">+C18*C24</f>
        <v>4073.1474666666668</v>
      </c>
      <c r="D27" s="26">
        <f t="shared" si="34"/>
        <v>4288.8498133333333</v>
      </c>
      <c r="E27" s="26">
        <f t="shared" si="34"/>
        <v>2334.9207733333333</v>
      </c>
      <c r="F27" s="26">
        <f t="shared" si="34"/>
        <v>4932.1097066666671</v>
      </c>
      <c r="G27" s="26">
        <f t="shared" si="34"/>
        <v>7204.1703333333326</v>
      </c>
      <c r="H27" s="26">
        <f t="shared" si="34"/>
        <v>6649.6307999999999</v>
      </c>
      <c r="I27" s="26">
        <f t="shared" si="34"/>
        <v>3525.2922266666665</v>
      </c>
      <c r="J27" s="26" t="e">
        <f t="shared" ref="J27:N27" si="35">+J18*J24</f>
        <v>#DIV/0!</v>
      </c>
      <c r="K27" s="26" t="e">
        <f t="shared" si="35"/>
        <v>#DIV/0!</v>
      </c>
      <c r="L27" s="26" t="e">
        <f t="shared" si="35"/>
        <v>#DIV/0!</v>
      </c>
      <c r="M27" s="26" t="e">
        <f t="shared" si="35"/>
        <v>#DIV/0!</v>
      </c>
      <c r="N27" s="26" t="e">
        <f t="shared" si="35"/>
        <v>#DIV/0!</v>
      </c>
    </row>
    <row r="29" spans="2:14" ht="25.5">
      <c r="B29" s="243" t="s">
        <v>291</v>
      </c>
      <c r="C29" s="81">
        <f t="shared" ref="C29:I29" si="36">C7-C12</f>
        <v>41877268000</v>
      </c>
      <c r="D29" s="81">
        <f t="shared" si="36"/>
        <v>40643479000</v>
      </c>
      <c r="E29" s="81">
        <f t="shared" si="36"/>
        <v>35433823000</v>
      </c>
      <c r="F29" s="81">
        <f t="shared" si="36"/>
        <v>106595931000</v>
      </c>
      <c r="G29" s="81">
        <f t="shared" si="36"/>
        <v>93497855000</v>
      </c>
      <c r="H29" s="81">
        <f t="shared" si="36"/>
        <v>55658868000</v>
      </c>
      <c r="I29" s="81">
        <f t="shared" si="36"/>
        <v>56137307000</v>
      </c>
      <c r="J29" s="81">
        <f t="shared" ref="J29:N29" si="37">J7-J12</f>
        <v>0</v>
      </c>
      <c r="K29" s="81">
        <f t="shared" si="37"/>
        <v>0</v>
      </c>
      <c r="L29" s="81">
        <f t="shared" si="37"/>
        <v>0</v>
      </c>
      <c r="M29" s="81">
        <f t="shared" si="37"/>
        <v>0</v>
      </c>
      <c r="N29" s="81">
        <f t="shared" si="37"/>
        <v>0</v>
      </c>
    </row>
    <row r="30" spans="2:14" ht="25.5">
      <c r="B30" s="30" t="s">
        <v>149</v>
      </c>
      <c r="C30" s="241">
        <f t="shared" ref="C30:I30" si="38">C7/C12</f>
        <v>3.1109575117385564</v>
      </c>
      <c r="D30" s="241">
        <f t="shared" si="38"/>
        <v>3.0989449572980794</v>
      </c>
      <c r="E30" s="241">
        <f t="shared" si="38"/>
        <v>2.002539265775098</v>
      </c>
      <c r="F30" s="241">
        <f t="shared" si="38"/>
        <v>4.6159734090296949</v>
      </c>
      <c r="G30" s="241">
        <f t="shared" si="38"/>
        <v>4.7080432714385241</v>
      </c>
      <c r="H30" s="242">
        <f t="shared" si="38"/>
        <v>2.8073818469902276</v>
      </c>
      <c r="I30" s="242">
        <f t="shared" si="38"/>
        <v>3.2728021800837999</v>
      </c>
      <c r="J30" s="242" t="e">
        <f t="shared" ref="J30:N30" si="39">J7/J12</f>
        <v>#DIV/0!</v>
      </c>
      <c r="K30" s="242" t="e">
        <f t="shared" si="39"/>
        <v>#DIV/0!</v>
      </c>
      <c r="L30" s="242" t="e">
        <f t="shared" si="39"/>
        <v>#DIV/0!</v>
      </c>
      <c r="M30" s="242" t="e">
        <f t="shared" si="39"/>
        <v>#DIV/0!</v>
      </c>
      <c r="N30" s="242" t="e">
        <f t="shared" si="39"/>
        <v>#DIV/0!</v>
      </c>
    </row>
    <row r="31" spans="2:14" ht="25.5">
      <c r="B31" s="30" t="s">
        <v>292</v>
      </c>
      <c r="C31" s="241">
        <f t="shared" ref="C31:I31" si="40">+(C7-C9)/C12</f>
        <v>2.159029741036969</v>
      </c>
      <c r="D31" s="241">
        <f t="shared" si="40"/>
        <v>1.9617516034845701</v>
      </c>
      <c r="E31" s="241">
        <f t="shared" si="40"/>
        <v>1.3265937218614436</v>
      </c>
      <c r="F31" s="241">
        <f t="shared" si="40"/>
        <v>4.0042330553292187</v>
      </c>
      <c r="G31" s="241">
        <f t="shared" si="40"/>
        <v>3.6764993142738711</v>
      </c>
      <c r="H31" s="241">
        <f t="shared" si="40"/>
        <v>1.625457858002427</v>
      </c>
      <c r="I31" s="241">
        <f t="shared" si="40"/>
        <v>1.9818031473463884</v>
      </c>
      <c r="J31" s="241" t="e">
        <f t="shared" ref="J31:N31" si="41">+(J7-J9)/J12</f>
        <v>#DIV/0!</v>
      </c>
      <c r="K31" s="241" t="e">
        <f t="shared" si="41"/>
        <v>#DIV/0!</v>
      </c>
      <c r="L31" s="241" t="e">
        <f t="shared" si="41"/>
        <v>#DIV/0!</v>
      </c>
      <c r="M31" s="241" t="e">
        <f t="shared" si="41"/>
        <v>#DIV/0!</v>
      </c>
      <c r="N31" s="241" t="e">
        <f t="shared" si="41"/>
        <v>#DIV/0!</v>
      </c>
    </row>
    <row r="32" spans="2:14" ht="25.5">
      <c r="B32" s="32" t="s">
        <v>153</v>
      </c>
      <c r="C32" s="33">
        <f t="shared" ref="C32:I32" si="42">C14/C11</f>
        <v>0.20460648570286236</v>
      </c>
      <c r="D32" s="33">
        <f t="shared" si="42"/>
        <v>0.19072468898923553</v>
      </c>
      <c r="E32" s="33">
        <f t="shared" si="42"/>
        <v>0.22857348217279122</v>
      </c>
      <c r="F32" s="33">
        <f t="shared" si="42"/>
        <v>0.35662551070991838</v>
      </c>
      <c r="G32" s="33">
        <f t="shared" si="42"/>
        <v>0.33520158949049211</v>
      </c>
      <c r="H32" s="33">
        <f t="shared" si="42"/>
        <v>0.33070404197900222</v>
      </c>
      <c r="I32" s="33">
        <f t="shared" si="42"/>
        <v>0.3169766688502203</v>
      </c>
      <c r="J32" s="33" t="e">
        <f t="shared" ref="J32:N32" si="43">J14/J11</f>
        <v>#DIV/0!</v>
      </c>
      <c r="K32" s="33" t="e">
        <f t="shared" si="43"/>
        <v>#DIV/0!</v>
      </c>
      <c r="L32" s="33" t="e">
        <f t="shared" si="43"/>
        <v>#DIV/0!</v>
      </c>
      <c r="M32" s="33" t="e">
        <f t="shared" si="43"/>
        <v>#DIV/0!</v>
      </c>
      <c r="N32" s="33" t="e">
        <f t="shared" si="43"/>
        <v>#DIV/0!</v>
      </c>
    </row>
    <row r="35" spans="2:14" ht="25.5">
      <c r="B35" s="35" t="s">
        <v>293</v>
      </c>
      <c r="C35" s="36">
        <f>+C112</f>
        <v>100057320000</v>
      </c>
      <c r="D35" s="36">
        <f t="shared" ref="D35:I35" si="44">+D112</f>
        <v>112291796000</v>
      </c>
      <c r="E35" s="36">
        <f t="shared" si="44"/>
        <v>106284852000</v>
      </c>
      <c r="F35" s="36">
        <f t="shared" si="44"/>
        <v>119801721000</v>
      </c>
      <c r="G35" s="36">
        <f t="shared" si="44"/>
        <v>165939408000</v>
      </c>
      <c r="H35" s="36">
        <f t="shared" si="44"/>
        <v>175743425000</v>
      </c>
      <c r="I35" s="36">
        <f t="shared" si="44"/>
        <v>151263829000</v>
      </c>
      <c r="J35" s="36">
        <f t="shared" ref="J35:N35" si="45">+J112</f>
        <v>0</v>
      </c>
      <c r="K35" s="36">
        <f t="shared" si="45"/>
        <v>0</v>
      </c>
      <c r="L35" s="36">
        <f t="shared" si="45"/>
        <v>0</v>
      </c>
      <c r="M35" s="36">
        <f t="shared" si="45"/>
        <v>0</v>
      </c>
      <c r="N35" s="36">
        <f t="shared" si="45"/>
        <v>0</v>
      </c>
    </row>
    <row r="36" spans="2:14" ht="25.5">
      <c r="B36" s="39" t="s">
        <v>156</v>
      </c>
      <c r="C36" s="40">
        <f>+C119</f>
        <v>17192858000</v>
      </c>
      <c r="D36" s="40">
        <f t="shared" ref="D36:I36" si="46">+D119</f>
        <v>19334309000</v>
      </c>
      <c r="E36" s="40">
        <f t="shared" si="46"/>
        <v>17199057000</v>
      </c>
      <c r="F36" s="40">
        <f t="shared" si="46"/>
        <v>25360944000</v>
      </c>
      <c r="G36" s="40">
        <f t="shared" si="46"/>
        <v>44756927000</v>
      </c>
      <c r="H36" s="40">
        <f t="shared" si="46"/>
        <v>30538863000</v>
      </c>
      <c r="I36" s="40">
        <f t="shared" si="46"/>
        <v>12928983000</v>
      </c>
      <c r="J36" s="40">
        <f t="shared" ref="J36:N36" si="47">+J119</f>
        <v>0</v>
      </c>
      <c r="K36" s="40">
        <f t="shared" si="47"/>
        <v>0</v>
      </c>
      <c r="L36" s="40">
        <f t="shared" si="47"/>
        <v>0</v>
      </c>
      <c r="M36" s="40">
        <f t="shared" si="47"/>
        <v>0</v>
      </c>
      <c r="N36" s="40">
        <f t="shared" si="47"/>
        <v>0</v>
      </c>
    </row>
    <row r="37" spans="2:14" ht="25.5">
      <c r="B37" s="35" t="s">
        <v>381</v>
      </c>
      <c r="C37" s="41">
        <f>C36/C35</f>
        <v>0.17183008699413496</v>
      </c>
      <c r="D37" s="41">
        <f t="shared" ref="D37:I37" si="48">D36/D35</f>
        <v>0.17217917682962341</v>
      </c>
      <c r="E37" s="41">
        <f t="shared" si="48"/>
        <v>0.16182039751064431</v>
      </c>
      <c r="F37" s="41">
        <f t="shared" si="48"/>
        <v>0.21169098230233271</v>
      </c>
      <c r="G37" s="41">
        <f t="shared" si="48"/>
        <v>0.26971849266811898</v>
      </c>
      <c r="H37" s="41">
        <f t="shared" si="48"/>
        <v>0.17376959052664417</v>
      </c>
      <c r="I37" s="41">
        <f t="shared" si="48"/>
        <v>8.5473064416477257E-2</v>
      </c>
      <c r="J37" s="41" t="e">
        <f t="shared" ref="J37:N37" si="49">J36/J35</f>
        <v>#DIV/0!</v>
      </c>
      <c r="K37" s="41" t="e">
        <f t="shared" si="49"/>
        <v>#DIV/0!</v>
      </c>
      <c r="L37" s="41" t="e">
        <f t="shared" si="49"/>
        <v>#DIV/0!</v>
      </c>
      <c r="M37" s="41" t="e">
        <f t="shared" si="49"/>
        <v>#DIV/0!</v>
      </c>
      <c r="N37" s="41" t="e">
        <f t="shared" si="49"/>
        <v>#DIV/0!</v>
      </c>
    </row>
    <row r="38" spans="2:14" ht="25.5">
      <c r="B38" s="43" t="s">
        <v>295</v>
      </c>
      <c r="C38" s="44">
        <f>+C131</f>
        <v>15498470000</v>
      </c>
      <c r="D38" s="44">
        <f t="shared" ref="D38:I38" si="50">+D131</f>
        <v>17580684000</v>
      </c>
      <c r="E38" s="44">
        <f t="shared" si="50"/>
        <v>17234989000</v>
      </c>
      <c r="F38" s="44">
        <f t="shared" si="50"/>
        <v>26164807000</v>
      </c>
      <c r="G38" s="44">
        <f t="shared" si="50"/>
        <v>50817052000</v>
      </c>
      <c r="H38" s="44">
        <f t="shared" si="50"/>
        <v>33274697000</v>
      </c>
      <c r="I38" s="44">
        <f t="shared" si="50"/>
        <v>18984044000</v>
      </c>
      <c r="J38" s="44">
        <f t="shared" ref="J38:N38" si="51">+J131</f>
        <v>0</v>
      </c>
      <c r="K38" s="44">
        <f t="shared" si="51"/>
        <v>0</v>
      </c>
      <c r="L38" s="44">
        <f t="shared" si="51"/>
        <v>0</v>
      </c>
      <c r="M38" s="44">
        <f t="shared" si="51"/>
        <v>0</v>
      </c>
      <c r="N38" s="44">
        <f t="shared" si="51"/>
        <v>0</v>
      </c>
    </row>
    <row r="39" spans="2:14" ht="25.5">
      <c r="B39" s="30" t="s">
        <v>296</v>
      </c>
      <c r="C39" s="45">
        <f>C38/C35</f>
        <v>0.15489591366228878</v>
      </c>
      <c r="D39" s="45">
        <f t="shared" ref="D39:I39" si="52">D38/D35</f>
        <v>0.15656249722820356</v>
      </c>
      <c r="E39" s="45">
        <f t="shared" si="52"/>
        <v>0.16215847014586801</v>
      </c>
      <c r="F39" s="45">
        <f t="shared" si="52"/>
        <v>0.21840092764610619</v>
      </c>
      <c r="G39" s="45">
        <f t="shared" si="52"/>
        <v>0.30623860005575049</v>
      </c>
      <c r="H39" s="45">
        <f t="shared" si="52"/>
        <v>0.18933679595694689</v>
      </c>
      <c r="I39" s="45">
        <f t="shared" si="52"/>
        <v>0.12550286559254031</v>
      </c>
      <c r="J39" s="45" t="e">
        <f t="shared" ref="J39:N39" si="53">J38/J35</f>
        <v>#DIV/0!</v>
      </c>
      <c r="K39" s="45" t="e">
        <f t="shared" si="53"/>
        <v>#DIV/0!</v>
      </c>
      <c r="L39" s="45" t="e">
        <f t="shared" si="53"/>
        <v>#DIV/0!</v>
      </c>
      <c r="M39" s="45" t="e">
        <f t="shared" si="53"/>
        <v>#DIV/0!</v>
      </c>
      <c r="N39" s="45" t="e">
        <f t="shared" si="53"/>
        <v>#DIV/0!</v>
      </c>
    </row>
    <row r="40" spans="2:14" ht="25.5">
      <c r="B40" s="46" t="s">
        <v>159</v>
      </c>
      <c r="C40" s="121">
        <f>+C132</f>
        <v>191.62</v>
      </c>
      <c r="D40" s="121">
        <f t="shared" ref="D40:I40" si="54">+D132</f>
        <v>222.37</v>
      </c>
      <c r="E40" s="121">
        <f t="shared" si="54"/>
        <v>222.7</v>
      </c>
      <c r="F40" s="121">
        <f t="shared" si="54"/>
        <v>337.47</v>
      </c>
      <c r="G40" s="121">
        <f t="shared" si="54"/>
        <v>677.56</v>
      </c>
      <c r="H40" s="121">
        <f t="shared" si="54"/>
        <v>443.66</v>
      </c>
      <c r="I40" s="121">
        <f t="shared" si="54"/>
        <v>253.12</v>
      </c>
      <c r="J40" s="121">
        <f t="shared" ref="J40:N40" si="55">+J132</f>
        <v>0</v>
      </c>
      <c r="K40" s="121">
        <f t="shared" si="55"/>
        <v>0</v>
      </c>
      <c r="L40" s="121">
        <f t="shared" si="55"/>
        <v>0</v>
      </c>
      <c r="M40" s="121">
        <f t="shared" si="55"/>
        <v>0</v>
      </c>
      <c r="N40" s="121">
        <f t="shared" si="55"/>
        <v>0</v>
      </c>
    </row>
    <row r="41" spans="2:14" ht="25.5">
      <c r="B41" s="48" t="s">
        <v>160</v>
      </c>
      <c r="C41" s="49">
        <f t="shared" ref="C41:I41" si="56">C38/C15</f>
        <v>0.1014676087020141</v>
      </c>
      <c r="D41" s="49">
        <f t="shared" si="56"/>
        <v>0.10931094825062904</v>
      </c>
      <c r="E41" s="49">
        <f t="shared" si="56"/>
        <v>9.8418694097817727E-2</v>
      </c>
      <c r="F41" s="49">
        <f t="shared" si="56"/>
        <v>0.14146647746370217</v>
      </c>
      <c r="G41" s="49">
        <f t="shared" si="56"/>
        <v>0.23512794047854968</v>
      </c>
      <c r="H41" s="49">
        <f t="shared" si="56"/>
        <v>0.13343977733821452</v>
      </c>
      <c r="I41" s="49">
        <f t="shared" si="56"/>
        <v>7.1801306215684813E-2</v>
      </c>
      <c r="J41" s="49" t="e">
        <f t="shared" ref="J41:N41" si="57">J38/J15</f>
        <v>#DIV/0!</v>
      </c>
      <c r="K41" s="49" t="e">
        <f t="shared" si="57"/>
        <v>#DIV/0!</v>
      </c>
      <c r="L41" s="49" t="e">
        <f t="shared" si="57"/>
        <v>#DIV/0!</v>
      </c>
      <c r="M41" s="49" t="e">
        <f t="shared" si="57"/>
        <v>#DIV/0!</v>
      </c>
      <c r="N41" s="49" t="e">
        <f t="shared" si="57"/>
        <v>#DIV/0!</v>
      </c>
    </row>
    <row r="42" spans="2:14" ht="25.5">
      <c r="B42" s="48" t="s">
        <v>382</v>
      </c>
      <c r="C42" s="49">
        <f>AVERAGE(G41:I41)</f>
        <v>0.14678967467748302</v>
      </c>
      <c r="D42" s="49"/>
      <c r="E42" s="49"/>
      <c r="F42" s="49"/>
      <c r="G42" s="49"/>
      <c r="H42" s="49"/>
      <c r="I42" s="49"/>
      <c r="J42" s="49"/>
      <c r="K42" s="49"/>
      <c r="L42" s="49"/>
      <c r="M42" s="49"/>
      <c r="N42" s="49"/>
    </row>
    <row r="43" spans="2:14" ht="25.5">
      <c r="B43" s="48" t="s">
        <v>298</v>
      </c>
      <c r="C43" s="50">
        <f>+C144</f>
        <v>11169770000</v>
      </c>
      <c r="D43" s="50">
        <f t="shared" ref="D43:I43" si="58">+D144</f>
        <v>12050694000</v>
      </c>
      <c r="E43" s="50">
        <f t="shared" si="58"/>
        <v>-5189822000</v>
      </c>
      <c r="F43" s="50">
        <f t="shared" si="58"/>
        <v>3237787000</v>
      </c>
      <c r="G43" s="50">
        <f t="shared" si="58"/>
        <v>-50817000</v>
      </c>
      <c r="H43" s="50">
        <f t="shared" si="58"/>
        <v>11790864000</v>
      </c>
      <c r="I43" s="50">
        <f t="shared" si="58"/>
        <v>24755615000</v>
      </c>
      <c r="J43" s="50">
        <f t="shared" ref="J43:N43" si="59">+J144</f>
        <v>0</v>
      </c>
      <c r="K43" s="50">
        <f t="shared" si="59"/>
        <v>0</v>
      </c>
      <c r="L43" s="50">
        <f t="shared" si="59"/>
        <v>0</v>
      </c>
      <c r="M43" s="50">
        <f t="shared" si="59"/>
        <v>0</v>
      </c>
      <c r="N43" s="50">
        <f t="shared" si="59"/>
        <v>0</v>
      </c>
    </row>
    <row r="44" spans="2:14" ht="25.5">
      <c r="B44" s="51" t="s">
        <v>119</v>
      </c>
      <c r="C44" s="51">
        <f>SUM(C46:C49)</f>
        <v>88</v>
      </c>
      <c r="D44" s="51">
        <f t="shared" ref="D44:F44" si="60">SUM(D46:D49)</f>
        <v>105</v>
      </c>
      <c r="E44" s="51">
        <f t="shared" si="60"/>
        <v>97</v>
      </c>
      <c r="F44" s="51">
        <f t="shared" si="60"/>
        <v>67</v>
      </c>
      <c r="G44" s="51">
        <f>SUM(G46:G49)</f>
        <v>249</v>
      </c>
      <c r="H44" s="51">
        <f>SUM(H46:H49)</f>
        <v>134.71</v>
      </c>
      <c r="I44" s="51">
        <f t="shared" ref="I44:N44" si="61">SUM(I46:I48)</f>
        <v>134</v>
      </c>
      <c r="J44" s="51">
        <f t="shared" si="61"/>
        <v>85</v>
      </c>
      <c r="K44" s="51">
        <f t="shared" si="61"/>
        <v>0</v>
      </c>
      <c r="L44" s="51">
        <f t="shared" si="61"/>
        <v>0</v>
      </c>
      <c r="M44" s="51">
        <f t="shared" si="61"/>
        <v>0</v>
      </c>
      <c r="N44" s="51">
        <f t="shared" si="61"/>
        <v>0</v>
      </c>
    </row>
    <row r="45" spans="2:14" ht="25.5">
      <c r="B45" s="51" t="s">
        <v>383</v>
      </c>
      <c r="C45" s="51">
        <f>+C46+C47</f>
        <v>88</v>
      </c>
      <c r="D45" s="51">
        <f t="shared" ref="D45:I45" si="62">+D46+D47</f>
        <v>66.486000000000004</v>
      </c>
      <c r="E45" s="51">
        <f t="shared" si="62"/>
        <v>57</v>
      </c>
      <c r="F45" s="51">
        <f t="shared" si="62"/>
        <v>67</v>
      </c>
      <c r="G45" s="51">
        <f t="shared" si="62"/>
        <v>249</v>
      </c>
      <c r="H45" s="51">
        <f t="shared" si="62"/>
        <v>134.71</v>
      </c>
      <c r="I45" s="51">
        <f t="shared" si="62"/>
        <v>133.09899999999999</v>
      </c>
      <c r="J45" s="51">
        <f t="shared" ref="J45:N45" si="63">+J46+J47</f>
        <v>70.936199999999999</v>
      </c>
      <c r="K45" s="51">
        <f t="shared" si="63"/>
        <v>0</v>
      </c>
      <c r="L45" s="51">
        <f t="shared" si="63"/>
        <v>0</v>
      </c>
      <c r="M45" s="51">
        <f t="shared" si="63"/>
        <v>0</v>
      </c>
      <c r="N45" s="51">
        <f t="shared" si="63"/>
        <v>0</v>
      </c>
    </row>
    <row r="46" spans="2:14" ht="18">
      <c r="B46" s="135" t="s">
        <v>121</v>
      </c>
      <c r="C46" s="94">
        <v>31</v>
      </c>
      <c r="D46" s="94">
        <v>0.48599999999999999</v>
      </c>
      <c r="E46" s="94">
        <v>21</v>
      </c>
      <c r="F46" s="94">
        <v>27</v>
      </c>
      <c r="G46" s="94">
        <v>119</v>
      </c>
      <c r="H46" s="94">
        <f>28.343+1.367</f>
        <v>29.71</v>
      </c>
      <c r="I46" s="94">
        <v>73.099000000000004</v>
      </c>
      <c r="J46" s="94">
        <v>15.936199999999999</v>
      </c>
      <c r="K46" s="94"/>
      <c r="L46" s="94"/>
      <c r="M46" s="94"/>
      <c r="N46" s="94"/>
    </row>
    <row r="47" spans="2:14" ht="18">
      <c r="B47" s="135" t="s">
        <v>122</v>
      </c>
      <c r="C47" s="94">
        <f>27+30</f>
        <v>57</v>
      </c>
      <c r="D47" s="94">
        <f>36+30</f>
        <v>66</v>
      </c>
      <c r="E47" s="94">
        <v>36</v>
      </c>
      <c r="F47" s="94">
        <f>20+20</f>
        <v>40</v>
      </c>
      <c r="G47" s="94">
        <f>100+30</f>
        <v>130</v>
      </c>
      <c r="H47" s="94">
        <f>30+75</f>
        <v>105</v>
      </c>
      <c r="I47" s="94">
        <f>30+30</f>
        <v>60</v>
      </c>
      <c r="J47" s="94">
        <f>30+25</f>
        <v>55</v>
      </c>
      <c r="K47" s="94"/>
      <c r="L47" s="94"/>
      <c r="M47" s="94"/>
      <c r="N47" s="94"/>
    </row>
    <row r="48" spans="2:14" ht="18">
      <c r="B48" s="135" t="s">
        <v>123</v>
      </c>
      <c r="C48" s="94"/>
      <c r="D48" s="94">
        <v>38.514000000000003</v>
      </c>
      <c r="E48" s="94">
        <v>40</v>
      </c>
      <c r="F48" s="94"/>
      <c r="G48" s="94"/>
      <c r="H48" s="94"/>
      <c r="I48" s="94">
        <v>0.90100000000000002</v>
      </c>
      <c r="J48" s="94">
        <v>14.063800000000001</v>
      </c>
      <c r="K48" s="94"/>
      <c r="L48" s="94"/>
      <c r="M48" s="94"/>
      <c r="N48" s="94"/>
    </row>
    <row r="49" spans="2:16" ht="18">
      <c r="B49" s="135" t="s">
        <v>124</v>
      </c>
      <c r="C49" s="94"/>
      <c r="D49" s="94"/>
      <c r="E49" s="94"/>
      <c r="F49" s="94"/>
      <c r="G49" s="94"/>
      <c r="H49" s="94"/>
      <c r="I49" s="94"/>
      <c r="J49" s="94"/>
      <c r="K49" s="94"/>
      <c r="L49" s="94"/>
      <c r="M49" s="94"/>
      <c r="N49" s="94"/>
    </row>
    <row r="50" spans="2:16" ht="25.5">
      <c r="B50" s="541" t="s">
        <v>167</v>
      </c>
      <c r="C50" s="99">
        <f>(C47+C48+D46)/C40</f>
        <v>0.3</v>
      </c>
      <c r="D50" s="99">
        <f t="shared" ref="D50:N50" si="64">(D47+D48+E46)/D40</f>
        <v>0.5644376489634394</v>
      </c>
      <c r="E50" s="99">
        <f t="shared" si="64"/>
        <v>0.46250561293219578</v>
      </c>
      <c r="F50" s="99">
        <f t="shared" si="64"/>
        <v>0.47115299137701128</v>
      </c>
      <c r="G50" s="99">
        <f t="shared" si="64"/>
        <v>0.23571344235196887</v>
      </c>
      <c r="H50" s="99">
        <f t="shared" si="64"/>
        <v>0.40143127620249736</v>
      </c>
      <c r="I50" s="99">
        <f t="shared" si="64"/>
        <v>0.3035603666245259</v>
      </c>
      <c r="J50" s="99" t="e">
        <f t="shared" si="64"/>
        <v>#DIV/0!</v>
      </c>
      <c r="K50" s="99" t="e">
        <f t="shared" si="64"/>
        <v>#DIV/0!</v>
      </c>
      <c r="L50" s="99" t="e">
        <f t="shared" si="64"/>
        <v>#DIV/0!</v>
      </c>
      <c r="M50" s="99" t="e">
        <f t="shared" si="64"/>
        <v>#DIV/0!</v>
      </c>
      <c r="N50" s="99" t="e">
        <f t="shared" si="64"/>
        <v>#DIV/0!</v>
      </c>
    </row>
    <row r="51" spans="2:16" ht="28.5">
      <c r="B51" s="540" t="s">
        <v>303</v>
      </c>
      <c r="C51" s="54">
        <f>AVERAGE(G50:I50)</f>
        <v>0.31356836172633068</v>
      </c>
      <c r="D51" s="54"/>
      <c r="E51" s="54"/>
      <c r="F51" s="54"/>
      <c r="G51" s="54"/>
      <c r="H51" s="54"/>
      <c r="I51" s="54"/>
      <c r="J51" s="54"/>
      <c r="K51" s="54"/>
      <c r="L51" s="54"/>
      <c r="M51" s="54"/>
      <c r="N51" s="54"/>
    </row>
    <row r="52" spans="2:16" ht="25.5">
      <c r="B52" s="541" t="s">
        <v>299</v>
      </c>
      <c r="C52" s="99">
        <f t="shared" ref="C52:I52" si="65">+C44/C19</f>
        <v>3.5185925629748101E-2</v>
      </c>
      <c r="D52" s="99">
        <f t="shared" si="65"/>
        <v>4.1983206717313072E-2</v>
      </c>
      <c r="E52" s="99">
        <f t="shared" si="65"/>
        <v>4.2173913043478263E-2</v>
      </c>
      <c r="F52" s="99">
        <f t="shared" si="65"/>
        <v>3.4661148473874803E-2</v>
      </c>
      <c r="G52" s="99">
        <f t="shared" si="65"/>
        <v>0.1245</v>
      </c>
      <c r="H52" s="99">
        <f t="shared" si="65"/>
        <v>6.7354999999999998E-2</v>
      </c>
      <c r="I52" s="99">
        <f t="shared" si="65"/>
        <v>6.3207547169811321E-2</v>
      </c>
      <c r="J52" s="99" t="e">
        <f t="shared" ref="J52:N52" si="66">+J44/J19</f>
        <v>#DIV/0!</v>
      </c>
      <c r="K52" s="99" t="e">
        <f t="shared" si="66"/>
        <v>#DIV/0!</v>
      </c>
      <c r="L52" s="99" t="e">
        <f t="shared" si="66"/>
        <v>#DIV/0!</v>
      </c>
      <c r="M52" s="99" t="e">
        <f t="shared" si="66"/>
        <v>#DIV/0!</v>
      </c>
      <c r="N52" s="99" t="e">
        <f t="shared" si="66"/>
        <v>#DIV/0!</v>
      </c>
    </row>
    <row r="53" spans="2:16" ht="25.5">
      <c r="B53" s="542" t="s">
        <v>384</v>
      </c>
      <c r="C53" s="534">
        <f>AVERAGE(G52:I52)</f>
        <v>8.5020849056603773E-2</v>
      </c>
      <c r="D53" s="534"/>
      <c r="E53" s="534"/>
      <c r="F53" s="534"/>
      <c r="G53" s="534"/>
      <c r="H53" s="534"/>
      <c r="I53" s="534"/>
      <c r="J53" s="534"/>
      <c r="K53" s="534"/>
      <c r="L53" s="534"/>
      <c r="M53" s="534"/>
      <c r="N53" s="534"/>
      <c r="O53" s="534"/>
      <c r="P53" s="534"/>
    </row>
    <row r="54" spans="2:16" ht="25.5">
      <c r="B54" s="543" t="s">
        <v>176</v>
      </c>
      <c r="C54" s="355">
        <f>+C41*(100%-C50)</f>
        <v>7.1027326091409868E-2</v>
      </c>
      <c r="D54" s="355">
        <f t="shared" ref="D54:I54" si="67">+D41*(100%-D50)</f>
        <v>4.7611733614079797E-2</v>
      </c>
      <c r="E54" s="355">
        <f t="shared" si="67"/>
        <v>5.2899495660120255E-2</v>
      </c>
      <c r="F54" s="549">
        <f t="shared" si="67"/>
        <v>7.4814123427110343E-2</v>
      </c>
      <c r="G54" s="355">
        <f t="shared" si="67"/>
        <v>0.17970512423522189</v>
      </c>
      <c r="H54" s="355">
        <f t="shared" si="67"/>
        <v>7.9872877225157971E-2</v>
      </c>
      <c r="I54" s="355">
        <f t="shared" si="67"/>
        <v>5.0005275376731682E-2</v>
      </c>
      <c r="J54" s="355" t="e">
        <f t="shared" ref="J54:N54" si="68">+J41*(100%-J50)</f>
        <v>#DIV/0!</v>
      </c>
      <c r="K54" s="355" t="e">
        <f t="shared" si="68"/>
        <v>#DIV/0!</v>
      </c>
      <c r="L54" s="355" t="e">
        <f t="shared" si="68"/>
        <v>#DIV/0!</v>
      </c>
      <c r="M54" s="355" t="e">
        <f t="shared" si="68"/>
        <v>#DIV/0!</v>
      </c>
      <c r="N54" s="355" t="e">
        <f t="shared" si="68"/>
        <v>#DIV/0!</v>
      </c>
    </row>
    <row r="55" spans="2:16" ht="25.5">
      <c r="B55" s="542" t="s">
        <v>306</v>
      </c>
      <c r="C55" s="534">
        <f>AVERAGE(G54:I54)</f>
        <v>0.10319442561237051</v>
      </c>
      <c r="D55" s="534"/>
      <c r="E55" s="534"/>
      <c r="F55" s="534"/>
      <c r="G55" s="534"/>
      <c r="H55" s="534"/>
      <c r="I55" s="534"/>
      <c r="J55" s="534"/>
      <c r="K55" s="534"/>
      <c r="L55" s="534"/>
      <c r="M55" s="534"/>
      <c r="N55" s="534"/>
      <c r="O55" s="534"/>
    </row>
    <row r="57" spans="2:16">
      <c r="B57" s="75" t="s">
        <v>307</v>
      </c>
    </row>
    <row r="58" spans="2:16" ht="14.65" thickBot="1"/>
    <row r="59" spans="2:16">
      <c r="B59" s="57" t="s">
        <v>385</v>
      </c>
      <c r="C59" s="158">
        <v>2017</v>
      </c>
      <c r="D59" s="158">
        <v>2018</v>
      </c>
      <c r="E59" s="158">
        <v>2019</v>
      </c>
      <c r="F59" s="158">
        <v>2020</v>
      </c>
      <c r="G59" s="158">
        <v>2021</v>
      </c>
      <c r="H59" s="158">
        <v>2022</v>
      </c>
      <c r="I59" s="158">
        <v>2023</v>
      </c>
      <c r="J59" s="158">
        <v>2024</v>
      </c>
      <c r="K59" s="158">
        <v>2025</v>
      </c>
      <c r="L59" s="158">
        <v>2026</v>
      </c>
      <c r="M59" s="158">
        <v>2027</v>
      </c>
      <c r="N59" s="158">
        <v>2028</v>
      </c>
    </row>
    <row r="60" spans="2:16">
      <c r="B60" s="157" t="s">
        <v>309</v>
      </c>
      <c r="C60" s="66"/>
      <c r="D60" s="66"/>
      <c r="E60" s="66"/>
      <c r="F60" s="66"/>
      <c r="G60" s="66"/>
      <c r="H60" s="66"/>
      <c r="I60" s="66"/>
      <c r="J60" s="66"/>
      <c r="K60" s="66"/>
      <c r="L60" s="66"/>
      <c r="M60" s="66"/>
      <c r="N60" s="66"/>
    </row>
    <row r="61" spans="2:16">
      <c r="B61" s="58" t="s">
        <v>310</v>
      </c>
      <c r="C61" s="64">
        <v>61715312000</v>
      </c>
      <c r="D61" s="64">
        <v>60007245000</v>
      </c>
      <c r="E61" s="64">
        <v>70777898000</v>
      </c>
      <c r="F61" s="159">
        <v>136075111000</v>
      </c>
      <c r="G61" s="64">
        <v>118712732000</v>
      </c>
      <c r="H61" s="141">
        <v>86454169000</v>
      </c>
      <c r="I61" s="64">
        <v>80836908000</v>
      </c>
      <c r="J61" s="64"/>
      <c r="K61" s="64"/>
      <c r="L61" s="64"/>
      <c r="M61" s="64"/>
      <c r="N61" s="64"/>
    </row>
    <row r="62" spans="2:16">
      <c r="B62" s="59" t="s">
        <v>386</v>
      </c>
      <c r="C62" s="66">
        <v>14356250000</v>
      </c>
      <c r="D62" s="66">
        <v>14607139000</v>
      </c>
      <c r="E62" s="66">
        <v>17732702000</v>
      </c>
      <c r="F62" s="66">
        <v>70076666000</v>
      </c>
      <c r="G62" s="66">
        <v>59132255000</v>
      </c>
      <c r="H62" s="160">
        <v>11893091000</v>
      </c>
      <c r="I62" s="66">
        <v>24901551000</v>
      </c>
      <c r="J62" s="66"/>
      <c r="K62" s="66"/>
      <c r="L62" s="66"/>
      <c r="M62" s="66"/>
      <c r="N62" s="66"/>
    </row>
    <row r="63" spans="2:16">
      <c r="B63" s="59" t="s">
        <v>387</v>
      </c>
      <c r="C63" s="66"/>
      <c r="D63" s="66"/>
      <c r="E63" s="66"/>
      <c r="F63" s="66"/>
      <c r="G63" s="66"/>
      <c r="H63" s="160"/>
      <c r="I63" s="66"/>
      <c r="J63" s="66"/>
      <c r="K63" s="66"/>
      <c r="L63" s="66"/>
      <c r="M63" s="66"/>
      <c r="N63" s="66"/>
    </row>
    <row r="64" spans="2:16">
      <c r="B64" s="59" t="s">
        <v>388</v>
      </c>
      <c r="C64" s="66"/>
      <c r="D64" s="66"/>
      <c r="E64" s="66"/>
      <c r="F64" s="66"/>
      <c r="G64" s="66"/>
      <c r="H64" s="160"/>
      <c r="I64" s="66"/>
      <c r="J64" s="66"/>
      <c r="K64" s="66"/>
      <c r="L64" s="66"/>
      <c r="M64" s="66"/>
      <c r="N64" s="66"/>
    </row>
    <row r="65" spans="2:14">
      <c r="B65" s="59" t="s">
        <v>389</v>
      </c>
      <c r="C65" s="66">
        <v>21686558000</v>
      </c>
      <c r="D65" s="66">
        <v>20951548000</v>
      </c>
      <c r="E65" s="66">
        <v>22746108000</v>
      </c>
      <c r="F65" s="66">
        <v>23227593000</v>
      </c>
      <c r="G65" s="66">
        <v>25355640000</v>
      </c>
      <c r="H65" s="160">
        <v>24096615000</v>
      </c>
      <c r="I65" s="66">
        <v>18310410000</v>
      </c>
      <c r="J65" s="66"/>
      <c r="K65" s="66"/>
      <c r="L65" s="66"/>
      <c r="M65" s="66"/>
      <c r="N65" s="66"/>
    </row>
    <row r="66" spans="2:14">
      <c r="B66" s="59" t="s">
        <v>390</v>
      </c>
      <c r="C66" s="66"/>
      <c r="D66" s="66"/>
      <c r="E66" s="66"/>
      <c r="F66" s="66"/>
      <c r="G66" s="66"/>
      <c r="H66" s="160"/>
      <c r="I66" s="66"/>
      <c r="J66" s="66"/>
      <c r="K66" s="66"/>
      <c r="L66" s="66"/>
      <c r="M66" s="66"/>
      <c r="N66" s="66"/>
    </row>
    <row r="67" spans="2:14">
      <c r="B67" s="59" t="s">
        <v>391</v>
      </c>
      <c r="C67" s="161">
        <v>18884385000</v>
      </c>
      <c r="D67" s="66">
        <v>22020346000</v>
      </c>
      <c r="E67" s="66">
        <v>23890670000</v>
      </c>
      <c r="F67" s="66">
        <v>18033604000</v>
      </c>
      <c r="G67" s="66">
        <v>26010254000</v>
      </c>
      <c r="H67" s="160">
        <v>36397705000</v>
      </c>
      <c r="I67" s="66">
        <v>31887161000</v>
      </c>
      <c r="J67" s="66"/>
      <c r="K67" s="66"/>
      <c r="L67" s="66"/>
      <c r="M67" s="66"/>
      <c r="N67" s="66"/>
    </row>
    <row r="68" spans="2:14">
      <c r="B68" s="59" t="s">
        <v>392</v>
      </c>
      <c r="C68" s="66"/>
      <c r="D68" s="66"/>
      <c r="E68" s="66"/>
      <c r="F68" s="66"/>
      <c r="G68" s="66"/>
      <c r="H68" s="160"/>
      <c r="I68" s="66"/>
      <c r="J68" s="66"/>
      <c r="K68" s="66"/>
      <c r="L68" s="66"/>
      <c r="M68" s="66"/>
      <c r="N68" s="66"/>
    </row>
    <row r="69" spans="2:14">
      <c r="B69" s="59" t="s">
        <v>318</v>
      </c>
      <c r="C69" s="66">
        <f t="shared" ref="C69:L69" si="69">+C61-C62-C67-C68-C66-C65-C64-C63</f>
        <v>6788119000</v>
      </c>
      <c r="D69" s="66">
        <f t="shared" si="69"/>
        <v>2428212000</v>
      </c>
      <c r="E69" s="66">
        <f t="shared" si="69"/>
        <v>6408418000</v>
      </c>
      <c r="F69" s="66">
        <f t="shared" si="69"/>
        <v>24737248000</v>
      </c>
      <c r="G69" s="66">
        <f t="shared" si="69"/>
        <v>8214583000</v>
      </c>
      <c r="H69" s="66">
        <f t="shared" si="69"/>
        <v>14066758000</v>
      </c>
      <c r="I69" s="66">
        <f t="shared" si="69"/>
        <v>5737786000</v>
      </c>
      <c r="J69" s="66">
        <f t="shared" si="69"/>
        <v>0</v>
      </c>
      <c r="K69" s="66">
        <f t="shared" si="69"/>
        <v>0</v>
      </c>
      <c r="L69" s="66">
        <f t="shared" si="69"/>
        <v>0</v>
      </c>
      <c r="M69" s="66"/>
      <c r="N69" s="66"/>
    </row>
    <row r="70" spans="2:14">
      <c r="B70" s="58" t="s">
        <v>319</v>
      </c>
      <c r="C70" s="64">
        <v>130362436000</v>
      </c>
      <c r="D70" s="64">
        <v>138780569000</v>
      </c>
      <c r="E70" s="64">
        <v>156265749000</v>
      </c>
      <c r="F70" s="159">
        <v>151460180000</v>
      </c>
      <c r="G70" s="64">
        <v>206448068000</v>
      </c>
      <c r="H70" s="141">
        <v>292282608000</v>
      </c>
      <c r="I70" s="64">
        <v>306319451000</v>
      </c>
      <c r="J70" s="64"/>
      <c r="K70" s="64"/>
      <c r="L70" s="64"/>
      <c r="M70" s="64"/>
      <c r="N70" s="64"/>
    </row>
    <row r="71" spans="2:14">
      <c r="B71" s="59" t="s">
        <v>393</v>
      </c>
      <c r="C71" s="66"/>
      <c r="D71" s="66"/>
      <c r="E71" s="66"/>
      <c r="F71" s="66"/>
      <c r="G71" s="66"/>
      <c r="H71" s="160"/>
      <c r="I71" s="66"/>
      <c r="J71" s="66"/>
      <c r="K71" s="66"/>
      <c r="L71" s="66"/>
      <c r="M71" s="66"/>
      <c r="N71" s="66"/>
    </row>
    <row r="72" spans="2:14">
      <c r="B72" s="59" t="s">
        <v>394</v>
      </c>
      <c r="C72" s="66"/>
      <c r="D72" s="66"/>
      <c r="E72" s="66"/>
      <c r="F72" s="66"/>
      <c r="G72" s="66"/>
      <c r="H72" s="160"/>
      <c r="I72" s="66"/>
      <c r="J72" s="66"/>
      <c r="K72" s="66"/>
      <c r="L72" s="66"/>
      <c r="M72" s="66"/>
      <c r="N72" s="66"/>
    </row>
    <row r="73" spans="2:14">
      <c r="B73" s="59" t="s">
        <v>860</v>
      </c>
      <c r="C73" s="66">
        <v>35056101000</v>
      </c>
      <c r="D73" s="66">
        <v>38518768000</v>
      </c>
      <c r="E73" s="66">
        <v>41950419000</v>
      </c>
      <c r="F73" s="66">
        <v>41134003000</v>
      </c>
      <c r="G73" s="66">
        <v>58862745000</v>
      </c>
      <c r="H73" s="160">
        <v>122579335000</v>
      </c>
      <c r="I73" s="66">
        <v>132653061000</v>
      </c>
      <c r="J73" s="66"/>
      <c r="K73" s="66"/>
      <c r="L73" s="66"/>
      <c r="M73" s="66"/>
      <c r="N73" s="66"/>
    </row>
    <row r="74" spans="2:14">
      <c r="B74" s="59" t="s">
        <v>396</v>
      </c>
      <c r="C74" s="66"/>
      <c r="D74" s="66"/>
      <c r="E74" s="66"/>
      <c r="F74" s="66"/>
      <c r="G74" s="66"/>
      <c r="H74" s="160"/>
      <c r="I74" s="66"/>
      <c r="J74" s="66"/>
      <c r="K74" s="66"/>
      <c r="L74" s="66"/>
      <c r="M74" s="66"/>
      <c r="N74" s="66"/>
    </row>
    <row r="75" spans="2:14">
      <c r="B75" s="59" t="s">
        <v>397</v>
      </c>
      <c r="C75" s="66"/>
      <c r="D75" s="66"/>
      <c r="E75" s="66"/>
      <c r="F75" s="66"/>
      <c r="G75" s="66"/>
      <c r="H75" s="160"/>
      <c r="I75" s="66"/>
      <c r="J75" s="66"/>
      <c r="K75" s="66"/>
      <c r="L75" s="66"/>
      <c r="M75" s="66"/>
      <c r="N75" s="66"/>
    </row>
    <row r="76" spans="2:14">
      <c r="B76" s="59" t="s">
        <v>398</v>
      </c>
      <c r="C76" s="66">
        <v>77041008000</v>
      </c>
      <c r="D76" s="66">
        <v>78802079000</v>
      </c>
      <c r="E76" s="66">
        <v>91091276000</v>
      </c>
      <c r="F76" s="66">
        <v>103198287000</v>
      </c>
      <c r="G76" s="66">
        <v>137022056000</v>
      </c>
      <c r="H76" s="160">
        <v>160863636000</v>
      </c>
      <c r="I76" s="66">
        <v>159120421000</v>
      </c>
      <c r="J76" s="66"/>
      <c r="K76" s="66"/>
      <c r="L76" s="66"/>
      <c r="M76" s="66"/>
      <c r="N76" s="66"/>
    </row>
    <row r="77" spans="2:14">
      <c r="B77" s="59" t="s">
        <v>399</v>
      </c>
      <c r="C77" s="66"/>
      <c r="D77" s="66"/>
      <c r="E77" s="66"/>
      <c r="F77" s="66"/>
      <c r="G77" s="66"/>
      <c r="H77" s="160"/>
      <c r="I77" s="66"/>
      <c r="J77" s="66"/>
      <c r="K77" s="66"/>
      <c r="L77" s="66"/>
      <c r="M77" s="66"/>
      <c r="N77" s="66"/>
    </row>
    <row r="78" spans="2:14">
      <c r="B78" s="59" t="s">
        <v>400</v>
      </c>
      <c r="C78" s="66"/>
      <c r="D78" s="66"/>
      <c r="E78" s="66"/>
      <c r="F78" s="161"/>
      <c r="G78" s="66"/>
      <c r="H78" s="160"/>
      <c r="I78" s="66"/>
      <c r="J78" s="66"/>
      <c r="K78" s="66"/>
      <c r="L78" s="66"/>
      <c r="M78" s="66"/>
      <c r="N78" s="66"/>
    </row>
    <row r="79" spans="2:14">
      <c r="B79" s="59" t="s">
        <v>401</v>
      </c>
      <c r="C79" s="66"/>
      <c r="D79" s="66"/>
      <c r="E79" s="66"/>
      <c r="F79" s="66"/>
      <c r="G79" s="66"/>
      <c r="H79" s="160"/>
      <c r="I79" s="66"/>
      <c r="J79" s="66"/>
      <c r="K79" s="66"/>
      <c r="L79" s="66"/>
      <c r="M79" s="66"/>
      <c r="N79" s="66"/>
    </row>
    <row r="80" spans="2:14">
      <c r="B80" s="59" t="s">
        <v>328</v>
      </c>
      <c r="C80" s="66">
        <f t="shared" ref="C80:L80" si="70">+C70-C77-C78-C76-C71-C79-C75-C74-C73-C72</f>
        <v>18265327000</v>
      </c>
      <c r="D80" s="66">
        <f t="shared" si="70"/>
        <v>21459722000</v>
      </c>
      <c r="E80" s="66">
        <f t="shared" si="70"/>
        <v>23224054000</v>
      </c>
      <c r="F80" s="66">
        <f t="shared" si="70"/>
        <v>7127890000</v>
      </c>
      <c r="G80" s="66">
        <f t="shared" si="70"/>
        <v>10563267000</v>
      </c>
      <c r="H80" s="66">
        <f t="shared" si="70"/>
        <v>8839637000</v>
      </c>
      <c r="I80" s="66">
        <f t="shared" si="70"/>
        <v>14545969000</v>
      </c>
      <c r="J80" s="66">
        <f t="shared" si="70"/>
        <v>0</v>
      </c>
      <c r="K80" s="66">
        <f t="shared" si="70"/>
        <v>0</v>
      </c>
      <c r="L80" s="66">
        <f t="shared" si="70"/>
        <v>0</v>
      </c>
      <c r="M80" s="66"/>
      <c r="N80" s="66"/>
    </row>
    <row r="81" spans="2:14" ht="14.65" thickBot="1">
      <c r="B81" s="60" t="s">
        <v>329</v>
      </c>
      <c r="C81" s="70">
        <f t="shared" ref="C81:I81" si="71">+C70+C61</f>
        <v>192077748000</v>
      </c>
      <c r="D81" s="70">
        <f t="shared" si="71"/>
        <v>198787814000</v>
      </c>
      <c r="E81" s="70">
        <f t="shared" si="71"/>
        <v>227043647000</v>
      </c>
      <c r="F81" s="70">
        <f t="shared" si="71"/>
        <v>287535291000</v>
      </c>
      <c r="G81" s="70">
        <f t="shared" si="71"/>
        <v>325160800000</v>
      </c>
      <c r="H81" s="162">
        <f t="shared" si="71"/>
        <v>378736777000</v>
      </c>
      <c r="I81" s="162">
        <f t="shared" si="71"/>
        <v>387156359000</v>
      </c>
      <c r="J81" s="70"/>
      <c r="K81" s="70"/>
      <c r="L81" s="70"/>
      <c r="M81" s="70"/>
      <c r="N81" s="70"/>
    </row>
    <row r="82" spans="2:14" ht="14.65" thickBot="1">
      <c r="B82" s="61"/>
      <c r="C82" s="72"/>
      <c r="D82" s="72"/>
      <c r="E82" s="72"/>
      <c r="F82" s="72"/>
      <c r="G82" s="72"/>
      <c r="H82" s="163"/>
      <c r="I82" s="72"/>
      <c r="J82" s="72"/>
      <c r="K82" s="72"/>
      <c r="L82" s="72"/>
      <c r="M82" s="72"/>
      <c r="N82" s="72"/>
    </row>
    <row r="83" spans="2:14">
      <c r="B83" s="57" t="s">
        <v>330</v>
      </c>
      <c r="C83" s="62"/>
      <c r="D83" s="62"/>
      <c r="E83" s="62"/>
      <c r="F83" s="62"/>
      <c r="G83" s="62"/>
      <c r="H83" s="164"/>
      <c r="I83" s="62"/>
      <c r="J83" s="62"/>
      <c r="K83" s="62"/>
      <c r="L83" s="62"/>
      <c r="M83" s="62"/>
      <c r="N83" s="62"/>
    </row>
    <row r="84" spans="2:14">
      <c r="B84" s="58" t="s">
        <v>310</v>
      </c>
      <c r="C84" s="64">
        <v>19838044000</v>
      </c>
      <c r="D84" s="64">
        <v>19363766000</v>
      </c>
      <c r="E84" s="64">
        <v>35344075000</v>
      </c>
      <c r="F84" s="64">
        <v>29479180000</v>
      </c>
      <c r="G84" s="64">
        <v>25214877000</v>
      </c>
      <c r="H84" s="141">
        <v>30795301000</v>
      </c>
      <c r="I84" s="64">
        <v>24699601000</v>
      </c>
      <c r="J84" s="64"/>
      <c r="K84" s="64"/>
      <c r="L84" s="64"/>
      <c r="M84" s="64"/>
      <c r="N84" s="64"/>
    </row>
    <row r="85" spans="2:14">
      <c r="B85" s="59" t="s">
        <v>402</v>
      </c>
      <c r="C85" s="66"/>
      <c r="D85" s="66"/>
      <c r="E85" s="66"/>
      <c r="F85" s="66"/>
      <c r="G85" s="66"/>
      <c r="H85" s="160"/>
      <c r="I85" s="66">
        <v>339220000</v>
      </c>
      <c r="J85" s="66"/>
      <c r="K85" s="66"/>
      <c r="L85" s="66"/>
      <c r="M85" s="66"/>
      <c r="N85" s="66"/>
    </row>
    <row r="86" spans="2:14">
      <c r="B86" s="59" t="s">
        <v>403</v>
      </c>
      <c r="C86" s="66"/>
      <c r="D86" s="66"/>
      <c r="E86" s="66"/>
      <c r="F86" s="66"/>
      <c r="G86" s="66"/>
      <c r="H86" s="160"/>
      <c r="I86" s="66">
        <v>592305000</v>
      </c>
      <c r="J86" s="66"/>
      <c r="K86" s="66"/>
      <c r="L86" s="66"/>
      <c r="M86" s="66"/>
      <c r="N86" s="66"/>
    </row>
    <row r="87" spans="2:14">
      <c r="B87" s="59" t="s">
        <v>404</v>
      </c>
      <c r="C87" s="66"/>
      <c r="D87" s="66"/>
      <c r="E87" s="66"/>
      <c r="F87" s="66"/>
      <c r="G87" s="66"/>
      <c r="H87" s="160"/>
      <c r="I87" s="66"/>
      <c r="J87" s="66"/>
      <c r="K87" s="66"/>
      <c r="L87" s="66"/>
      <c r="M87" s="66"/>
      <c r="N87" s="66"/>
    </row>
    <row r="88" spans="2:14">
      <c r="B88" s="59" t="s">
        <v>405</v>
      </c>
      <c r="C88" s="66">
        <v>9353168000</v>
      </c>
      <c r="D88" s="66">
        <v>8110255000</v>
      </c>
      <c r="E88" s="66">
        <v>11410151000</v>
      </c>
      <c r="F88" s="66">
        <v>11596387000</v>
      </c>
      <c r="G88" s="66">
        <v>13812097000</v>
      </c>
      <c r="H88" s="160">
        <v>18628839000</v>
      </c>
      <c r="I88" s="66">
        <v>15975109000</v>
      </c>
      <c r="J88" s="66"/>
      <c r="K88" s="66"/>
      <c r="L88" s="66"/>
      <c r="M88" s="66"/>
      <c r="N88" s="66"/>
    </row>
    <row r="89" spans="2:14">
      <c r="B89" s="59" t="s">
        <v>406</v>
      </c>
      <c r="C89" s="66"/>
      <c r="D89" s="66"/>
      <c r="E89" s="66"/>
      <c r="F89" s="66"/>
      <c r="G89" s="66"/>
      <c r="H89" s="160"/>
      <c r="I89" s="66"/>
      <c r="J89" s="66"/>
      <c r="K89" s="66"/>
      <c r="L89" s="66"/>
      <c r="M89" s="66"/>
      <c r="N89" s="66"/>
    </row>
    <row r="90" spans="2:14">
      <c r="B90" s="59" t="s">
        <v>407</v>
      </c>
      <c r="C90" s="66"/>
      <c r="D90" s="66"/>
      <c r="E90" s="66"/>
      <c r="F90" s="66"/>
      <c r="G90" s="66"/>
      <c r="H90" s="160"/>
      <c r="I90" s="66"/>
      <c r="J90" s="66"/>
      <c r="K90" s="66"/>
      <c r="L90" s="66"/>
      <c r="M90" s="66"/>
      <c r="N90" s="66"/>
    </row>
    <row r="91" spans="2:14">
      <c r="B91" s="59" t="s">
        <v>408</v>
      </c>
      <c r="C91" s="66"/>
      <c r="D91" s="66"/>
      <c r="E91" s="66"/>
      <c r="F91" s="66"/>
      <c r="G91" s="66"/>
      <c r="H91" s="160"/>
      <c r="I91" s="66"/>
      <c r="J91" s="66"/>
      <c r="K91" s="66"/>
      <c r="L91" s="66"/>
      <c r="M91" s="66"/>
      <c r="N91" s="66"/>
    </row>
    <row r="92" spans="2:14">
      <c r="B92" s="59" t="s">
        <v>409</v>
      </c>
      <c r="C92" s="66"/>
      <c r="D92" s="66"/>
      <c r="E92" s="66"/>
      <c r="F92" s="66"/>
      <c r="G92" s="66"/>
      <c r="H92" s="160"/>
      <c r="I92" s="66"/>
      <c r="J92" s="66"/>
      <c r="K92" s="66"/>
      <c r="L92" s="66"/>
      <c r="M92" s="66"/>
      <c r="N92" s="66"/>
    </row>
    <row r="93" spans="2:14">
      <c r="B93" s="59" t="s">
        <v>410</v>
      </c>
      <c r="C93" s="66">
        <f t="shared" ref="C93:I93" si="72">+C84-C85-C91-C92-C90-C89-C88-C87-C86</f>
        <v>10484876000</v>
      </c>
      <c r="D93" s="66">
        <f t="shared" si="72"/>
        <v>11253511000</v>
      </c>
      <c r="E93" s="66">
        <f t="shared" si="72"/>
        <v>23933924000</v>
      </c>
      <c r="F93" s="66">
        <f t="shared" si="72"/>
        <v>17882793000</v>
      </c>
      <c r="G93" s="66">
        <f t="shared" si="72"/>
        <v>11402780000</v>
      </c>
      <c r="H93" s="66">
        <f t="shared" si="72"/>
        <v>12166462000</v>
      </c>
      <c r="I93" s="66">
        <f t="shared" si="72"/>
        <v>7792967000</v>
      </c>
      <c r="J93" s="66"/>
      <c r="K93" s="66"/>
      <c r="L93" s="66"/>
      <c r="M93" s="66"/>
      <c r="N93" s="66"/>
    </row>
    <row r="94" spans="2:14">
      <c r="B94" s="58" t="s">
        <v>319</v>
      </c>
      <c r="C94" s="64">
        <v>19462309000</v>
      </c>
      <c r="D94" s="64">
        <v>18549978000</v>
      </c>
      <c r="E94" s="64">
        <v>16552082000</v>
      </c>
      <c r="F94" s="64">
        <v>73063240000</v>
      </c>
      <c r="G94" s="64">
        <v>83779540000</v>
      </c>
      <c r="H94" s="141">
        <v>94454482000</v>
      </c>
      <c r="I94" s="64">
        <v>98019932000</v>
      </c>
      <c r="J94" s="64"/>
      <c r="K94" s="64"/>
      <c r="L94" s="64"/>
      <c r="M94" s="64"/>
      <c r="N94" s="64"/>
    </row>
    <row r="95" spans="2:14">
      <c r="B95" s="59" t="s">
        <v>411</v>
      </c>
      <c r="C95" s="66">
        <v>8400540000</v>
      </c>
      <c r="D95" s="66">
        <v>7401634000</v>
      </c>
      <c r="E95" s="66">
        <v>5086333000</v>
      </c>
      <c r="F95" s="66">
        <v>59885029000</v>
      </c>
      <c r="G95" s="66">
        <v>60438002000</v>
      </c>
      <c r="H95" s="160">
        <v>68675368000</v>
      </c>
      <c r="I95" s="66">
        <v>72011067000</v>
      </c>
      <c r="J95" s="66"/>
      <c r="K95" s="66"/>
      <c r="L95" s="66"/>
      <c r="M95" s="66"/>
      <c r="N95" s="66"/>
    </row>
    <row r="96" spans="2:14">
      <c r="B96" s="59" t="s">
        <v>412</v>
      </c>
      <c r="C96" s="66"/>
      <c r="D96" s="66"/>
      <c r="E96" s="66"/>
      <c r="F96" s="66"/>
      <c r="G96" s="66"/>
      <c r="H96" s="160"/>
      <c r="I96" s="66"/>
      <c r="J96" s="66"/>
      <c r="K96" s="66"/>
      <c r="L96" s="66"/>
      <c r="M96" s="66"/>
      <c r="N96" s="66"/>
    </row>
    <row r="97" spans="2:14">
      <c r="B97" s="59" t="s">
        <v>413</v>
      </c>
      <c r="C97" s="66">
        <v>8258809000</v>
      </c>
      <c r="D97" s="66">
        <v>8100967000</v>
      </c>
      <c r="E97" s="66"/>
      <c r="F97" s="66"/>
      <c r="G97" s="66">
        <v>19765811000</v>
      </c>
      <c r="H97" s="160">
        <v>19612893000</v>
      </c>
      <c r="I97" s="66">
        <v>20848344000</v>
      </c>
      <c r="J97" s="66"/>
      <c r="K97" s="66"/>
      <c r="L97" s="66"/>
      <c r="M97" s="66"/>
      <c r="N97" s="66"/>
    </row>
    <row r="98" spans="2:14">
      <c r="B98" s="59" t="s">
        <v>414</v>
      </c>
      <c r="C98" s="66"/>
      <c r="D98" s="66"/>
      <c r="E98" s="66"/>
      <c r="F98" s="66"/>
      <c r="G98" s="66"/>
      <c r="H98" s="160"/>
      <c r="I98" s="66"/>
      <c r="J98" s="66"/>
      <c r="K98" s="66"/>
      <c r="L98" s="66"/>
      <c r="M98" s="66"/>
      <c r="N98" s="66"/>
    </row>
    <row r="99" spans="2:14">
      <c r="B99" s="59" t="s">
        <v>341</v>
      </c>
      <c r="C99" s="66">
        <f t="shared" ref="C99:I99" si="73">+C94-C95-C97-C98-C96</f>
        <v>2802960000</v>
      </c>
      <c r="D99" s="66">
        <f t="shared" si="73"/>
        <v>3047377000</v>
      </c>
      <c r="E99" s="66">
        <f t="shared" si="73"/>
        <v>11465749000</v>
      </c>
      <c r="F99" s="66">
        <f t="shared" si="73"/>
        <v>13178211000</v>
      </c>
      <c r="G99" s="66">
        <f t="shared" si="73"/>
        <v>3575727000</v>
      </c>
      <c r="H99" s="66">
        <f t="shared" si="73"/>
        <v>6166221000</v>
      </c>
      <c r="I99" s="66">
        <f t="shared" si="73"/>
        <v>5160521000</v>
      </c>
      <c r="J99" s="66"/>
      <c r="K99" s="66"/>
      <c r="L99" s="66"/>
      <c r="M99" s="66"/>
      <c r="N99" s="66"/>
    </row>
    <row r="100" spans="2:14" ht="14.65" thickBot="1">
      <c r="B100" s="60" t="s">
        <v>342</v>
      </c>
      <c r="C100" s="70">
        <f t="shared" ref="C100:I100" si="74">+C94+C84</f>
        <v>39300353000</v>
      </c>
      <c r="D100" s="70">
        <f t="shared" si="74"/>
        <v>37913744000</v>
      </c>
      <c r="E100" s="70">
        <f t="shared" si="74"/>
        <v>51896157000</v>
      </c>
      <c r="F100" s="70">
        <f t="shared" si="74"/>
        <v>102542420000</v>
      </c>
      <c r="G100" s="70">
        <f t="shared" si="74"/>
        <v>108994417000</v>
      </c>
      <c r="H100" s="162">
        <f t="shared" si="74"/>
        <v>125249783000</v>
      </c>
      <c r="I100" s="162">
        <f t="shared" si="74"/>
        <v>122719533000</v>
      </c>
      <c r="J100" s="70"/>
      <c r="K100" s="70"/>
      <c r="L100" s="70"/>
      <c r="M100" s="70"/>
      <c r="N100" s="70"/>
    </row>
    <row r="101" spans="2:14" ht="14.65" thickBot="1">
      <c r="B101" s="61"/>
      <c r="C101" s="61"/>
      <c r="D101" s="61"/>
      <c r="E101" s="61"/>
      <c r="F101" s="61"/>
      <c r="G101" s="61"/>
      <c r="H101" s="61"/>
      <c r="I101" s="61"/>
      <c r="J101" s="61"/>
      <c r="K101" s="61"/>
      <c r="L101" s="61"/>
      <c r="M101" s="61"/>
      <c r="N101" s="61"/>
    </row>
    <row r="102" spans="2:14">
      <c r="B102" s="57" t="s">
        <v>343</v>
      </c>
      <c r="C102" s="62"/>
      <c r="D102" s="62"/>
      <c r="E102" s="62"/>
      <c r="F102" s="62"/>
      <c r="G102" s="62"/>
      <c r="H102" s="164"/>
      <c r="I102" s="62"/>
      <c r="J102" s="62"/>
      <c r="K102" s="62"/>
      <c r="L102" s="62"/>
      <c r="M102" s="62"/>
      <c r="N102" s="62"/>
    </row>
    <row r="103" spans="2:14">
      <c r="B103" s="59" t="s">
        <v>532</v>
      </c>
      <c r="C103" s="160">
        <v>1053141000</v>
      </c>
      <c r="D103" s="160">
        <v>1053141000</v>
      </c>
      <c r="E103" s="160">
        <v>1053141000</v>
      </c>
      <c r="F103" s="160">
        <v>1053141000</v>
      </c>
      <c r="G103" s="160">
        <v>1053141000</v>
      </c>
      <c r="H103" s="160">
        <v>1053141000</v>
      </c>
      <c r="I103" s="160">
        <v>1053141000</v>
      </c>
      <c r="J103" s="160"/>
      <c r="K103" s="160"/>
      <c r="L103" s="160"/>
      <c r="M103" s="160"/>
      <c r="N103" s="160"/>
    </row>
    <row r="104" spans="2:14">
      <c r="B104" s="59" t="s">
        <v>416</v>
      </c>
      <c r="C104" s="66">
        <v>160400328000</v>
      </c>
      <c r="D104" s="66">
        <v>167959710000</v>
      </c>
      <c r="E104" s="66">
        <v>179341684000</v>
      </c>
      <c r="F104" s="66">
        <v>196969656000</v>
      </c>
      <c r="G104" s="66">
        <v>225436617000</v>
      </c>
      <c r="H104" s="160">
        <v>249792954000</v>
      </c>
      <c r="I104" s="66">
        <v>262489357000</v>
      </c>
      <c r="J104" s="66"/>
      <c r="K104" s="66"/>
      <c r="L104" s="66"/>
      <c r="M104" s="66"/>
      <c r="N104" s="66"/>
    </row>
    <row r="105" spans="2:14">
      <c r="B105" s="59" t="s">
        <v>345</v>
      </c>
      <c r="C105" s="66">
        <v>-8710439000</v>
      </c>
      <c r="D105" s="66">
        <v>-8180983000</v>
      </c>
      <c r="E105" s="66">
        <v>-5275767000</v>
      </c>
      <c r="F105" s="66">
        <v>-13068683000</v>
      </c>
      <c r="G105" s="66">
        <v>-10364648000</v>
      </c>
      <c r="H105" s="160">
        <v>-1484940000</v>
      </c>
      <c r="I105" s="66">
        <v>854419000</v>
      </c>
      <c r="J105" s="66"/>
      <c r="K105" s="66"/>
      <c r="L105" s="66"/>
      <c r="M105" s="66"/>
      <c r="N105" s="66"/>
    </row>
    <row r="106" spans="2:14">
      <c r="B106" s="59" t="s">
        <v>419</v>
      </c>
      <c r="C106" s="66">
        <v>34365000</v>
      </c>
      <c r="D106" s="66">
        <v>42202000</v>
      </c>
      <c r="E106" s="66">
        <v>28432000</v>
      </c>
      <c r="F106" s="66">
        <v>38757000</v>
      </c>
      <c r="G106" s="66">
        <v>41273000</v>
      </c>
      <c r="H106" s="160">
        <v>46623000</v>
      </c>
      <c r="I106" s="66">
        <v>39909000</v>
      </c>
      <c r="J106" s="66"/>
      <c r="K106" s="66"/>
      <c r="L106" s="66"/>
      <c r="M106" s="66"/>
      <c r="N106" s="66"/>
    </row>
    <row r="107" spans="2:14" ht="14.65" thickBot="1">
      <c r="B107" s="60" t="s">
        <v>420</v>
      </c>
      <c r="C107" s="70">
        <f t="shared" ref="C107:F107" si="75">+C103+C105+C104</f>
        <v>152743030000</v>
      </c>
      <c r="D107" s="70">
        <f t="shared" si="75"/>
        <v>160831868000</v>
      </c>
      <c r="E107" s="70">
        <f t="shared" si="75"/>
        <v>175119058000</v>
      </c>
      <c r="F107" s="70">
        <f t="shared" si="75"/>
        <v>184954114000</v>
      </c>
      <c r="G107" s="70">
        <f>+G103+G105+G104</f>
        <v>216125110000</v>
      </c>
      <c r="H107" s="70">
        <f>+H103+H105+H104</f>
        <v>249361155000</v>
      </c>
      <c r="I107" s="70">
        <f>+I103+I105+I104</f>
        <v>264396917000</v>
      </c>
      <c r="J107" s="70"/>
      <c r="K107" s="70"/>
      <c r="L107" s="70"/>
      <c r="M107" s="70"/>
      <c r="N107" s="70"/>
    </row>
    <row r="108" spans="2:14" ht="14.65" thickBot="1">
      <c r="B108" s="60" t="s">
        <v>347</v>
      </c>
      <c r="C108" s="70">
        <f>+C107+C106</f>
        <v>152777395000</v>
      </c>
      <c r="D108" s="70">
        <f t="shared" ref="D108:I108" si="76">+D107+D106</f>
        <v>160874070000</v>
      </c>
      <c r="E108" s="70">
        <f t="shared" si="76"/>
        <v>175147490000</v>
      </c>
      <c r="F108" s="70">
        <f t="shared" si="76"/>
        <v>184992871000</v>
      </c>
      <c r="G108" s="70">
        <f t="shared" si="76"/>
        <v>216166383000</v>
      </c>
      <c r="H108" s="70">
        <f t="shared" si="76"/>
        <v>249407778000</v>
      </c>
      <c r="I108" s="70">
        <f t="shared" si="76"/>
        <v>264436826000</v>
      </c>
      <c r="J108" s="70">
        <f t="shared" ref="J108:N108" si="77">+J107+J106</f>
        <v>0</v>
      </c>
      <c r="K108" s="70">
        <f t="shared" si="77"/>
        <v>0</v>
      </c>
      <c r="L108" s="70">
        <f t="shared" si="77"/>
        <v>0</v>
      </c>
      <c r="M108" s="70">
        <f t="shared" si="77"/>
        <v>0</v>
      </c>
      <c r="N108" s="70">
        <f t="shared" si="77"/>
        <v>0</v>
      </c>
    </row>
    <row r="109" spans="2:14">
      <c r="I109" s="125"/>
    </row>
    <row r="110" spans="2:14" ht="14.65" thickBot="1">
      <c r="B110" s="75" t="s">
        <v>348</v>
      </c>
    </row>
    <row r="111" spans="2:14" ht="14.65" thickBot="1">
      <c r="B111" s="82" t="s">
        <v>308</v>
      </c>
      <c r="C111" s="88">
        <v>2017</v>
      </c>
      <c r="D111" s="88">
        <v>2018</v>
      </c>
      <c r="E111" s="88">
        <v>2019</v>
      </c>
      <c r="F111" s="88">
        <v>2020</v>
      </c>
      <c r="G111" s="88">
        <v>2021</v>
      </c>
      <c r="H111" s="88">
        <v>2022</v>
      </c>
      <c r="I111" s="88">
        <v>2023</v>
      </c>
      <c r="J111" s="88">
        <v>2024</v>
      </c>
      <c r="K111" s="88">
        <v>2025</v>
      </c>
      <c r="L111" s="88">
        <v>2026</v>
      </c>
      <c r="M111" s="88">
        <v>2027</v>
      </c>
      <c r="N111" s="88">
        <v>2028</v>
      </c>
    </row>
    <row r="112" spans="2:14">
      <c r="B112" s="83" t="s">
        <v>349</v>
      </c>
      <c r="C112" s="90">
        <v>100057320000</v>
      </c>
      <c r="D112" s="90">
        <v>112291796000</v>
      </c>
      <c r="E112" s="90">
        <v>106284852000</v>
      </c>
      <c r="F112" s="90">
        <v>119801721000</v>
      </c>
      <c r="G112" s="90">
        <v>165939408000</v>
      </c>
      <c r="H112" s="90">
        <v>175743425000</v>
      </c>
      <c r="I112" s="90">
        <v>151263829000</v>
      </c>
      <c r="J112" s="90"/>
      <c r="K112" s="90"/>
      <c r="L112" s="90"/>
      <c r="M112" s="90"/>
      <c r="N112" s="90"/>
    </row>
    <row r="113" spans="2:14">
      <c r="B113" s="85" t="s">
        <v>534</v>
      </c>
      <c r="C113" s="66">
        <v>-61022951000</v>
      </c>
      <c r="D113" s="66">
        <v>-68670651000</v>
      </c>
      <c r="E113" s="66">
        <v>-65643128000</v>
      </c>
      <c r="F113" s="66">
        <v>-70003307000</v>
      </c>
      <c r="G113" s="66">
        <v>-92291472000</v>
      </c>
      <c r="H113" s="66">
        <v>-112732495000</v>
      </c>
      <c r="I113" s="66">
        <v>-103633604000</v>
      </c>
      <c r="J113" s="66"/>
      <c r="K113" s="66"/>
      <c r="L113" s="66"/>
      <c r="M113" s="66"/>
      <c r="N113" s="66"/>
    </row>
    <row r="114" spans="2:14">
      <c r="B114" s="86" t="s">
        <v>422</v>
      </c>
      <c r="C114" s="64">
        <f t="shared" ref="C114:F114" si="78">+C112+C113</f>
        <v>39034369000</v>
      </c>
      <c r="D114" s="64">
        <f>+D112+D113</f>
        <v>43621145000</v>
      </c>
      <c r="E114" s="64">
        <f t="shared" si="78"/>
        <v>40641724000</v>
      </c>
      <c r="F114" s="64">
        <f t="shared" si="78"/>
        <v>49798414000</v>
      </c>
      <c r="G114" s="64">
        <f>+G112+G113</f>
        <v>73647936000</v>
      </c>
      <c r="H114" s="64">
        <f t="shared" ref="H114:L114" si="79">+H112+H113</f>
        <v>63010930000</v>
      </c>
      <c r="I114" s="64">
        <f t="shared" si="79"/>
        <v>47630225000</v>
      </c>
      <c r="J114" s="64">
        <f t="shared" si="79"/>
        <v>0</v>
      </c>
      <c r="K114" s="64">
        <f t="shared" si="79"/>
        <v>0</v>
      </c>
      <c r="L114" s="64">
        <f t="shared" si="79"/>
        <v>0</v>
      </c>
      <c r="M114" s="64"/>
      <c r="N114" s="64"/>
    </row>
    <row r="115" spans="2:14">
      <c r="B115" s="85" t="s">
        <v>861</v>
      </c>
      <c r="C115" s="117">
        <v>-129659000</v>
      </c>
      <c r="D115" s="117">
        <v>-151279000</v>
      </c>
      <c r="E115" s="117">
        <v>-121429000</v>
      </c>
      <c r="F115" s="117">
        <v>-141172000</v>
      </c>
      <c r="G115" s="117">
        <v>-618123000</v>
      </c>
      <c r="H115" s="117">
        <v>-276638000</v>
      </c>
      <c r="I115" s="117">
        <v>-187988000</v>
      </c>
      <c r="J115" s="117"/>
      <c r="K115" s="117"/>
      <c r="L115" s="117"/>
      <c r="M115" s="117"/>
      <c r="N115" s="117"/>
    </row>
    <row r="116" spans="2:14">
      <c r="B116" s="85" t="s">
        <v>536</v>
      </c>
      <c r="C116" s="117">
        <v>-9666847000</v>
      </c>
      <c r="D116" s="117">
        <v>-10688269000</v>
      </c>
      <c r="E116" s="117">
        <v>-10612904000</v>
      </c>
      <c r="F116" s="117">
        <v>-11386836000</v>
      </c>
      <c r="G116" s="117">
        <v>-13837203000</v>
      </c>
      <c r="H116" s="117">
        <v>-14872659000</v>
      </c>
      <c r="I116" s="117">
        <v>-15745541000</v>
      </c>
      <c r="J116" s="117"/>
      <c r="K116" s="117"/>
      <c r="L116" s="117"/>
      <c r="M116" s="117"/>
      <c r="N116" s="117"/>
    </row>
    <row r="117" spans="2:14">
      <c r="B117" s="85" t="s">
        <v>537</v>
      </c>
      <c r="C117" s="117">
        <v>-12724128000</v>
      </c>
      <c r="D117" s="117">
        <v>-13796303000</v>
      </c>
      <c r="E117" s="117">
        <v>-12796755000</v>
      </c>
      <c r="F117" s="117">
        <v>-12406887000</v>
      </c>
      <c r="G117" s="117">
        <v>-14364073000</v>
      </c>
      <c r="H117" s="117">
        <v>-17524029000</v>
      </c>
      <c r="I117" s="117">
        <v>-18986893000</v>
      </c>
      <c r="J117" s="117"/>
      <c r="K117" s="117"/>
      <c r="L117" s="117"/>
      <c r="M117" s="117"/>
      <c r="N117" s="117"/>
    </row>
    <row r="118" spans="2:14">
      <c r="B118" s="85" t="s">
        <v>593</v>
      </c>
      <c r="C118" s="66">
        <v>679123000</v>
      </c>
      <c r="D118" s="66">
        <v>349015000</v>
      </c>
      <c r="E118" s="66">
        <v>88421000</v>
      </c>
      <c r="F118" s="117">
        <v>-502575000</v>
      </c>
      <c r="G118" s="117">
        <v>-71610000</v>
      </c>
      <c r="H118" s="117">
        <v>201259000</v>
      </c>
      <c r="I118" s="117">
        <v>219180000</v>
      </c>
      <c r="J118" s="117"/>
      <c r="K118" s="117"/>
      <c r="L118" s="117"/>
      <c r="M118" s="117"/>
      <c r="N118" s="117"/>
    </row>
    <row r="119" spans="2:14">
      <c r="B119" s="86" t="s">
        <v>428</v>
      </c>
      <c r="C119" s="64">
        <f t="shared" ref="C119:G119" si="80">+C114+C118+C115+C116+C117</f>
        <v>17192858000</v>
      </c>
      <c r="D119" s="64">
        <f t="shared" si="80"/>
        <v>19334309000</v>
      </c>
      <c r="E119" s="64">
        <f t="shared" si="80"/>
        <v>17199057000</v>
      </c>
      <c r="F119" s="64">
        <f t="shared" si="80"/>
        <v>25360944000</v>
      </c>
      <c r="G119" s="64">
        <f t="shared" si="80"/>
        <v>44756927000</v>
      </c>
      <c r="H119" s="64">
        <f>+H114+H118+H115+H116+H117</f>
        <v>30538863000</v>
      </c>
      <c r="I119" s="64">
        <f t="shared" ref="I119:M119" si="81">+I114+I118+I115+I116+I117</f>
        <v>12928983000</v>
      </c>
      <c r="J119" s="64">
        <f t="shared" si="81"/>
        <v>0</v>
      </c>
      <c r="K119" s="64">
        <f t="shared" si="81"/>
        <v>0</v>
      </c>
      <c r="L119" s="64">
        <f t="shared" si="81"/>
        <v>0</v>
      </c>
      <c r="M119" s="64">
        <f t="shared" si="81"/>
        <v>0</v>
      </c>
      <c r="N119" s="64"/>
    </row>
    <row r="120" spans="2:14">
      <c r="B120" s="85" t="s">
        <v>862</v>
      </c>
      <c r="C120" s="117">
        <v>0</v>
      </c>
      <c r="D120" s="117">
        <v>-247428000</v>
      </c>
      <c r="E120" s="117">
        <v>-23385000</v>
      </c>
      <c r="F120" s="117">
        <v>87858000</v>
      </c>
      <c r="G120" s="356">
        <v>308503000</v>
      </c>
      <c r="H120" s="356">
        <v>-15000000</v>
      </c>
      <c r="I120" s="356">
        <v>85525000</v>
      </c>
      <c r="J120" s="356"/>
      <c r="K120" s="356"/>
      <c r="L120" s="356"/>
      <c r="M120" s="356"/>
      <c r="N120" s="356"/>
    </row>
    <row r="121" spans="2:14">
      <c r="B121" s="85" t="s">
        <v>429</v>
      </c>
      <c r="C121" s="66">
        <v>1070730000</v>
      </c>
      <c r="D121" s="66">
        <v>1027991000</v>
      </c>
      <c r="E121" s="66">
        <v>994923000</v>
      </c>
      <c r="F121" s="66">
        <v>2308380000</v>
      </c>
      <c r="G121" s="131">
        <v>315543000</v>
      </c>
      <c r="H121" s="131">
        <v>1234240000</v>
      </c>
      <c r="I121" s="131">
        <v>2573140000</v>
      </c>
      <c r="J121" s="131"/>
      <c r="K121" s="131"/>
      <c r="L121" s="131"/>
      <c r="M121" s="131"/>
      <c r="N121" s="131"/>
    </row>
    <row r="122" spans="2:14">
      <c r="B122" s="85" t="s">
        <v>430</v>
      </c>
      <c r="C122" s="66">
        <v>563687000</v>
      </c>
      <c r="D122" s="66">
        <v>451373000</v>
      </c>
      <c r="E122" s="66">
        <v>-402227000</v>
      </c>
      <c r="F122" s="66">
        <v>-1041129000</v>
      </c>
      <c r="G122" s="131">
        <v>-231619000</v>
      </c>
      <c r="H122" s="131">
        <v>-681275000</v>
      </c>
      <c r="I122" s="131">
        <v>-1566876000</v>
      </c>
      <c r="J122" s="131"/>
      <c r="K122" s="131"/>
      <c r="L122" s="131"/>
      <c r="M122" s="131"/>
      <c r="N122" s="131"/>
    </row>
    <row r="123" spans="2:14">
      <c r="B123" s="85" t="s">
        <v>431</v>
      </c>
      <c r="C123" s="66">
        <v>1014581000</v>
      </c>
      <c r="D123" s="66">
        <v>2073967000</v>
      </c>
      <c r="E123" s="66">
        <v>3737384000</v>
      </c>
      <c r="F123" s="66">
        <v>4354819000</v>
      </c>
      <c r="G123" s="131">
        <v>5766666000</v>
      </c>
      <c r="H123" s="131">
        <v>10515723000</v>
      </c>
      <c r="I123" s="131">
        <v>10016370000</v>
      </c>
      <c r="J123" s="131"/>
      <c r="K123" s="131"/>
      <c r="L123" s="131"/>
      <c r="M123" s="131"/>
      <c r="N123" s="131"/>
    </row>
    <row r="124" spans="2:14">
      <c r="B124" s="85" t="s">
        <v>432</v>
      </c>
      <c r="C124" s="66">
        <v>-1261609000</v>
      </c>
      <c r="D124" s="66">
        <v>1880733000</v>
      </c>
      <c r="E124" s="66">
        <v>895207000</v>
      </c>
      <c r="F124" s="66">
        <v>-541014000</v>
      </c>
      <c r="G124" s="131">
        <v>6319655000</v>
      </c>
      <c r="H124" s="131">
        <v>-38184000</v>
      </c>
      <c r="I124" s="131">
        <v>97087000</v>
      </c>
      <c r="J124" s="131"/>
      <c r="K124" s="131"/>
      <c r="L124" s="131"/>
      <c r="M124" s="131"/>
      <c r="N124" s="131"/>
    </row>
    <row r="125" spans="2:14">
      <c r="B125" s="85" t="s">
        <v>433</v>
      </c>
      <c r="C125" s="66">
        <v>3022000</v>
      </c>
      <c r="D125" s="66">
        <v>3988000</v>
      </c>
      <c r="E125" s="66">
        <v>1541000</v>
      </c>
      <c r="F125" s="66">
        <v>-621131000</v>
      </c>
      <c r="G125" s="131">
        <v>-488106000</v>
      </c>
      <c r="H125" s="131">
        <v>-3097321000</v>
      </c>
      <c r="I125" s="131">
        <v>-3061758000</v>
      </c>
      <c r="J125" s="131"/>
      <c r="K125" s="131"/>
      <c r="L125" s="131"/>
      <c r="M125" s="131"/>
      <c r="N125" s="131"/>
    </row>
    <row r="126" spans="2:14">
      <c r="B126" s="86" t="s">
        <v>362</v>
      </c>
      <c r="C126" s="64">
        <f t="shared" ref="C126:G126" si="82">+C119+C121+C122+C123+C124+C125+C120</f>
        <v>18583269000</v>
      </c>
      <c r="D126" s="64">
        <f t="shared" si="82"/>
        <v>24524933000</v>
      </c>
      <c r="E126" s="64">
        <f t="shared" si="82"/>
        <v>22402500000</v>
      </c>
      <c r="F126" s="64">
        <f t="shared" si="82"/>
        <v>29908727000</v>
      </c>
      <c r="G126" s="64">
        <f t="shared" si="82"/>
        <v>56747569000</v>
      </c>
      <c r="H126" s="64">
        <f t="shared" ref="H126:N126" si="83">+H119+H121+H122+H123+H124+H125+H120</f>
        <v>38457046000</v>
      </c>
      <c r="I126" s="64">
        <f t="shared" si="83"/>
        <v>21072471000</v>
      </c>
      <c r="J126" s="64">
        <f t="shared" si="83"/>
        <v>0</v>
      </c>
      <c r="K126" s="64">
        <f t="shared" si="83"/>
        <v>0</v>
      </c>
      <c r="L126" s="64">
        <f t="shared" si="83"/>
        <v>0</v>
      </c>
      <c r="M126" s="64">
        <f t="shared" si="83"/>
        <v>0</v>
      </c>
      <c r="N126" s="64">
        <f t="shared" si="83"/>
        <v>0</v>
      </c>
    </row>
    <row r="127" spans="2:14">
      <c r="B127" s="85" t="s">
        <v>363</v>
      </c>
      <c r="C127" s="66">
        <v>-3076550000</v>
      </c>
      <c r="D127" s="66">
        <v>-6936402000</v>
      </c>
      <c r="E127" s="66">
        <v>-5160204000</v>
      </c>
      <c r="F127" s="66">
        <v>-3733295000</v>
      </c>
      <c r="G127" s="91">
        <v>-8752298000</v>
      </c>
      <c r="H127" s="91">
        <v>-5168609000</v>
      </c>
      <c r="I127" s="91">
        <v>-2085364000</v>
      </c>
      <c r="J127" s="91"/>
      <c r="K127" s="91"/>
      <c r="L127" s="91"/>
      <c r="M127" s="91"/>
      <c r="N127" s="91"/>
    </row>
    <row r="128" spans="2:14">
      <c r="B128" s="84" t="s">
        <v>365</v>
      </c>
      <c r="C128" s="130">
        <f t="shared" ref="C128:G128" si="84">+C126+C127</f>
        <v>15506719000</v>
      </c>
      <c r="D128" s="130">
        <f t="shared" si="84"/>
        <v>17588531000</v>
      </c>
      <c r="E128" s="130">
        <f t="shared" si="84"/>
        <v>17242296000</v>
      </c>
      <c r="F128" s="130">
        <f t="shared" si="84"/>
        <v>26175432000</v>
      </c>
      <c r="G128" s="130">
        <f t="shared" si="84"/>
        <v>47995271000</v>
      </c>
      <c r="H128" s="130">
        <f>+H126+H127</f>
        <v>33288437000</v>
      </c>
      <c r="I128" s="130">
        <f>+I126+I127</f>
        <v>18987107000</v>
      </c>
      <c r="J128" s="130"/>
      <c r="K128" s="130"/>
      <c r="L128" s="130"/>
      <c r="M128" s="130"/>
      <c r="N128" s="130"/>
    </row>
    <row r="129" spans="2:14">
      <c r="B129" s="357" t="s">
        <v>434</v>
      </c>
      <c r="C129" s="187"/>
      <c r="D129" s="187"/>
      <c r="E129" s="187"/>
      <c r="F129" s="187"/>
      <c r="G129" s="187">
        <v>2840597000</v>
      </c>
      <c r="H129" s="187">
        <v>0</v>
      </c>
      <c r="I129" s="187"/>
      <c r="J129" s="187"/>
      <c r="K129" s="187"/>
      <c r="L129" s="187"/>
      <c r="M129" s="187"/>
      <c r="N129" s="187"/>
    </row>
    <row r="130" spans="2:14" ht="28.5">
      <c r="B130" s="87" t="s">
        <v>435</v>
      </c>
      <c r="C130" s="66">
        <v>8249000</v>
      </c>
      <c r="D130" s="66">
        <v>7847000</v>
      </c>
      <c r="E130" s="66">
        <v>7307000</v>
      </c>
      <c r="F130" s="66">
        <v>10625000</v>
      </c>
      <c r="G130" s="91">
        <v>18816000</v>
      </c>
      <c r="H130" s="91">
        <v>13740000</v>
      </c>
      <c r="I130" s="91">
        <v>3063000</v>
      </c>
      <c r="J130" s="91"/>
      <c r="K130" s="91"/>
      <c r="L130" s="91"/>
      <c r="M130" s="91"/>
      <c r="N130" s="91"/>
    </row>
    <row r="131" spans="2:14">
      <c r="B131" s="84" t="s">
        <v>436</v>
      </c>
      <c r="C131" s="66">
        <f t="shared" ref="C131:G131" si="85">+C128-C130+C129</f>
        <v>15498470000</v>
      </c>
      <c r="D131" s="66">
        <f t="shared" si="85"/>
        <v>17580684000</v>
      </c>
      <c r="E131" s="66">
        <f t="shared" si="85"/>
        <v>17234989000</v>
      </c>
      <c r="F131" s="66">
        <f t="shared" si="85"/>
        <v>26164807000</v>
      </c>
      <c r="G131" s="66">
        <f t="shared" si="85"/>
        <v>50817052000</v>
      </c>
      <c r="H131" s="66">
        <f t="shared" ref="H131:N131" si="86">+H128-H130+H129</f>
        <v>33274697000</v>
      </c>
      <c r="I131" s="66">
        <f t="shared" si="86"/>
        <v>18984044000</v>
      </c>
      <c r="J131" s="66">
        <f t="shared" si="86"/>
        <v>0</v>
      </c>
      <c r="K131" s="66">
        <f t="shared" si="86"/>
        <v>0</v>
      </c>
      <c r="L131" s="66">
        <f t="shared" si="86"/>
        <v>0</v>
      </c>
      <c r="M131" s="66">
        <f t="shared" si="86"/>
        <v>0</v>
      </c>
      <c r="N131" s="66">
        <f t="shared" si="86"/>
        <v>0</v>
      </c>
    </row>
    <row r="132" spans="2:14">
      <c r="B132" s="84" t="s">
        <v>366</v>
      </c>
      <c r="C132" s="111">
        <v>191.62</v>
      </c>
      <c r="D132" s="111">
        <v>222.37</v>
      </c>
      <c r="E132" s="111">
        <v>222.7</v>
      </c>
      <c r="F132" s="134">
        <v>337.47</v>
      </c>
      <c r="G132" s="134">
        <v>677.56</v>
      </c>
      <c r="H132" s="134">
        <v>443.66</v>
      </c>
      <c r="I132" s="134">
        <v>253.12</v>
      </c>
      <c r="J132" s="134"/>
      <c r="K132" s="134"/>
      <c r="L132" s="134"/>
      <c r="M132" s="134"/>
      <c r="N132" s="134"/>
    </row>
    <row r="134" spans="2:14" ht="14.65" thickBot="1">
      <c r="B134" s="75" t="s">
        <v>367</v>
      </c>
    </row>
    <row r="135" spans="2:14" ht="14.65" thickBot="1">
      <c r="B135" s="82" t="s">
        <v>308</v>
      </c>
      <c r="C135" s="88">
        <v>2017</v>
      </c>
      <c r="D135" s="88">
        <v>2018</v>
      </c>
      <c r="E135" s="88">
        <v>2019</v>
      </c>
      <c r="F135" s="88">
        <v>2020</v>
      </c>
      <c r="G135" s="88">
        <v>2021</v>
      </c>
      <c r="H135" s="88">
        <v>2022</v>
      </c>
      <c r="I135" s="88">
        <v>2023</v>
      </c>
      <c r="J135" s="88">
        <v>2024</v>
      </c>
      <c r="K135" s="88">
        <v>2025</v>
      </c>
      <c r="L135" s="88">
        <v>2026</v>
      </c>
      <c r="M135" s="88">
        <v>2027</v>
      </c>
      <c r="N135" s="88">
        <v>2028</v>
      </c>
    </row>
    <row r="136" spans="2:14">
      <c r="B136" s="83" t="s">
        <v>368</v>
      </c>
      <c r="C136" s="90">
        <v>17675564000</v>
      </c>
      <c r="D136" s="90">
        <v>19245546000</v>
      </c>
      <c r="E136" s="90">
        <v>13741014000</v>
      </c>
      <c r="F136" s="90">
        <v>31643441000</v>
      </c>
      <c r="G136" s="90">
        <v>37947757000</v>
      </c>
      <c r="H136" s="90">
        <v>40522286000</v>
      </c>
      <c r="I136" s="90">
        <v>36101102000</v>
      </c>
      <c r="J136" s="90"/>
      <c r="K136" s="90"/>
      <c r="L136" s="90"/>
      <c r="M136" s="90"/>
      <c r="N136" s="90"/>
    </row>
    <row r="137" spans="2:14">
      <c r="B137" s="86" t="s">
        <v>369</v>
      </c>
      <c r="C137" s="91">
        <v>-17523594000</v>
      </c>
      <c r="D137" s="93">
        <v>-9550378000</v>
      </c>
      <c r="E137" s="93">
        <v>-16373328000</v>
      </c>
      <c r="F137" s="66">
        <v>-12551935000</v>
      </c>
      <c r="G137" s="93">
        <v>-23244729000</v>
      </c>
      <c r="H137" s="66">
        <v>-75694172000</v>
      </c>
      <c r="I137" s="66">
        <v>-12705184000</v>
      </c>
      <c r="J137" s="66"/>
      <c r="K137" s="66"/>
      <c r="L137" s="66"/>
      <c r="M137" s="66"/>
      <c r="N137" s="66"/>
    </row>
    <row r="138" spans="2:14">
      <c r="B138" s="85" t="s">
        <v>370</v>
      </c>
      <c r="C138" s="93">
        <v>-6505794000</v>
      </c>
      <c r="D138" s="93">
        <v>-7194852000</v>
      </c>
      <c r="E138" s="93">
        <v>-18930836000</v>
      </c>
      <c r="F138" s="93">
        <v>-28405654000</v>
      </c>
      <c r="G138" s="93">
        <v>-37998574000</v>
      </c>
      <c r="H138" s="93">
        <v>-28731422000</v>
      </c>
      <c r="I138" s="93">
        <v>-11345487000</v>
      </c>
      <c r="J138" s="93"/>
      <c r="K138" s="93"/>
      <c r="L138" s="93"/>
      <c r="M138" s="93"/>
      <c r="N138" s="93"/>
    </row>
    <row r="139" spans="2:14">
      <c r="B139" s="86" t="s">
        <v>372</v>
      </c>
      <c r="C139" s="120">
        <v>3485994000</v>
      </c>
      <c r="D139" s="120">
        <v>-9541806000</v>
      </c>
      <c r="E139" s="64">
        <v>5822285000</v>
      </c>
      <c r="F139" s="64">
        <v>34734022000</v>
      </c>
      <c r="G139" s="120">
        <v>-25586664000</v>
      </c>
      <c r="H139" s="120">
        <v>-12084154000</v>
      </c>
      <c r="I139" s="120">
        <v>-10738046000</v>
      </c>
      <c r="J139" s="120"/>
      <c r="K139" s="120"/>
      <c r="L139" s="120"/>
      <c r="M139" s="120"/>
      <c r="N139" s="120"/>
    </row>
    <row r="140" spans="2:14">
      <c r="B140" s="85" t="s">
        <v>373</v>
      </c>
      <c r="C140" s="93">
        <v>-659654000</v>
      </c>
      <c r="D140" s="93">
        <v>-7861698000</v>
      </c>
      <c r="E140" s="66">
        <v>-7288004000</v>
      </c>
      <c r="F140" s="93">
        <v>-5025632000</v>
      </c>
      <c r="G140" s="93">
        <v>18691300000</v>
      </c>
      <c r="H140" s="93">
        <v>-10125000000</v>
      </c>
      <c r="I140" s="93">
        <v>-10060000000</v>
      </c>
      <c r="J140" s="93"/>
      <c r="K140" s="93"/>
      <c r="L140" s="93"/>
      <c r="M140" s="93"/>
      <c r="N140" s="93"/>
    </row>
    <row r="141" spans="2:14">
      <c r="B141" s="85" t="s">
        <v>437</v>
      </c>
      <c r="C141" s="93">
        <v>0</v>
      </c>
      <c r="D141" s="93">
        <v>0</v>
      </c>
      <c r="E141" s="93">
        <v>0</v>
      </c>
      <c r="F141" s="93">
        <v>0</v>
      </c>
      <c r="G141" s="93">
        <v>0</v>
      </c>
      <c r="H141" s="93">
        <v>0</v>
      </c>
      <c r="I141" s="93">
        <v>0</v>
      </c>
      <c r="J141" s="93"/>
      <c r="K141" s="93"/>
      <c r="L141" s="93"/>
      <c r="M141" s="93"/>
      <c r="N141" s="93"/>
    </row>
    <row r="142" spans="2:14">
      <c r="B142" s="86" t="s">
        <v>375</v>
      </c>
      <c r="C142" s="64">
        <v>14356250000</v>
      </c>
      <c r="D142" s="64">
        <v>14607139000</v>
      </c>
      <c r="E142" s="64">
        <v>17732702000</v>
      </c>
      <c r="F142" s="64">
        <v>71363986000</v>
      </c>
      <c r="G142" s="64">
        <v>59132255000</v>
      </c>
      <c r="H142" s="64">
        <v>11893091000</v>
      </c>
      <c r="I142" s="64">
        <v>24901551000</v>
      </c>
      <c r="J142" s="64"/>
      <c r="K142" s="64"/>
      <c r="L142" s="64"/>
      <c r="M142" s="64"/>
      <c r="N142" s="64"/>
    </row>
    <row r="143" spans="2:14">
      <c r="B143" s="85"/>
      <c r="C143" s="66"/>
      <c r="D143" s="66"/>
      <c r="E143" s="66"/>
      <c r="F143" s="66"/>
      <c r="G143" s="66"/>
      <c r="H143" s="66"/>
      <c r="I143" s="66"/>
      <c r="J143" s="66"/>
      <c r="K143" s="66"/>
      <c r="L143" s="66"/>
      <c r="M143" s="66"/>
      <c r="N143" s="66"/>
    </row>
    <row r="144" spans="2:14">
      <c r="B144" s="84" t="s">
        <v>376</v>
      </c>
      <c r="C144" s="131">
        <f t="shared" ref="C144:G144" si="87">+C136+C138+C141</f>
        <v>11169770000</v>
      </c>
      <c r="D144" s="131">
        <f t="shared" si="87"/>
        <v>12050694000</v>
      </c>
      <c r="E144" s="131">
        <f t="shared" si="87"/>
        <v>-5189822000</v>
      </c>
      <c r="F144" s="131">
        <f t="shared" si="87"/>
        <v>3237787000</v>
      </c>
      <c r="G144" s="131">
        <f t="shared" si="87"/>
        <v>-50817000</v>
      </c>
      <c r="H144" s="131">
        <f>+H136+H138+H141</f>
        <v>11790864000</v>
      </c>
      <c r="I144" s="131">
        <f>+I136+I138+I141</f>
        <v>24755615000</v>
      </c>
      <c r="J144" s="131"/>
      <c r="K144" s="131"/>
      <c r="L144" s="131"/>
      <c r="M144" s="131"/>
      <c r="N144" s="131"/>
    </row>
  </sheetData>
  <conditionalFormatting sqref="C60:H66 D67:H67 C68:H100">
    <cfRule type="cellIs" dxfId="14" priority="18" operator="lessThan">
      <formula>0</formula>
    </cfRule>
  </conditionalFormatting>
  <conditionalFormatting sqref="C112:N132">
    <cfRule type="cellIs" dxfId="13" priority="2" operator="lessThan">
      <formula>0</formula>
    </cfRule>
  </conditionalFormatting>
  <conditionalFormatting sqref="C136:N144">
    <cfRule type="cellIs" dxfId="12" priority="1" operator="lessThan">
      <formula>0</formula>
    </cfRule>
  </conditionalFormatting>
  <conditionalFormatting sqref="H119:M119">
    <cfRule type="cellIs" dxfId="11" priority="17" operator="lessThan">
      <formula>0</formula>
    </cfRule>
  </conditionalFormatting>
  <conditionalFormatting sqref="I60:N100 C102:N108">
    <cfRule type="cellIs" dxfId="10" priority="3" operator="lessThan">
      <formula>0</formula>
    </cfRule>
  </conditionalFormatting>
  <pageMargins left="0.7" right="0.7" top="0.75" bottom="0.75" header="0.3" footer="0.3"/>
  <pageSetup paperSize="9" orientation="portrait" r:id="rId1"/>
  <legacy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D013D-6D7A-4972-B235-A8ECDAB99A15}">
  <sheetPr codeName="Hoja7"/>
  <dimension ref="B2:P132"/>
  <sheetViews>
    <sheetView zoomScale="55" zoomScaleNormal="55" workbookViewId="0">
      <pane xSplit="2" ySplit="6" topLeftCell="C12" activePane="bottomRight" state="frozen"/>
      <selection pane="bottomRight" activeCell="C5" sqref="C5"/>
      <selection pane="bottomLeft"/>
      <selection pane="topRight"/>
    </sheetView>
  </sheetViews>
  <sheetFormatPr defaultColWidth="10.7109375" defaultRowHeight="14.25"/>
  <cols>
    <col min="1" max="1" width="3" customWidth="1"/>
    <col min="2" max="2" width="42.28515625" bestFit="1" customWidth="1"/>
    <col min="3" max="7" width="33.28515625" customWidth="1"/>
    <col min="8" max="9" width="32.7109375" bestFit="1" customWidth="1"/>
    <col min="10" max="10" width="32" style="414" bestFit="1" customWidth="1"/>
    <col min="11" max="11" width="33.28515625" customWidth="1"/>
    <col min="12" max="16" width="22" bestFit="1" customWidth="1"/>
  </cols>
  <sheetData>
    <row r="2" spans="2:16" ht="21">
      <c r="B2" s="313">
        <f ca="1">TODAY()-1</f>
        <v>46105</v>
      </c>
      <c r="C2" s="314"/>
      <c r="D2" s="344" t="s">
        <v>265</v>
      </c>
      <c r="E2" s="345" t="s">
        <v>266</v>
      </c>
    </row>
    <row r="3" spans="2:16" ht="25.5">
      <c r="B3" s="376" cm="1">
        <f t="array" aca="1" ref="B3" ca="1">_FV(B6,"Precio")</f>
        <v>1004.3</v>
      </c>
      <c r="C3" s="316"/>
      <c r="D3" s="346">
        <f>AVERAGE(H45:J45)</f>
        <v>66.241</v>
      </c>
      <c r="E3" s="346">
        <f>AVERAGE(H44:J44)</f>
        <v>66.241</v>
      </c>
    </row>
    <row r="4" spans="2:16" ht="28.5">
      <c r="B4" s="319"/>
      <c r="C4" s="320"/>
      <c r="D4" s="328"/>
      <c r="E4" s="328"/>
    </row>
    <row r="5" spans="2:16" ht="12" customHeight="1"/>
    <row r="6" spans="2:16" ht="33.4">
      <c r="B6" s="3" t="e" vm="66">
        <v>#VALUE!</v>
      </c>
      <c r="C6" s="3">
        <v>2017</v>
      </c>
      <c r="D6" s="3">
        <v>2018</v>
      </c>
      <c r="E6" s="3">
        <v>2019</v>
      </c>
      <c r="F6" s="3">
        <v>2020</v>
      </c>
      <c r="G6" s="3">
        <v>2021</v>
      </c>
      <c r="H6" s="3">
        <v>2022</v>
      </c>
      <c r="I6" s="3">
        <v>2023</v>
      </c>
      <c r="J6" s="459">
        <v>2024</v>
      </c>
      <c r="K6" s="3">
        <v>2025</v>
      </c>
      <c r="L6" s="3">
        <v>2026</v>
      </c>
      <c r="M6" s="3">
        <v>2027</v>
      </c>
      <c r="N6" s="3">
        <v>2028</v>
      </c>
      <c r="O6" s="3">
        <v>2029</v>
      </c>
      <c r="P6" s="3">
        <v>2030</v>
      </c>
    </row>
    <row r="7" spans="2:16" ht="25.5">
      <c r="B7" s="4" t="s">
        <v>267</v>
      </c>
      <c r="C7" s="5">
        <f>+C68</f>
        <v>15059566000</v>
      </c>
      <c r="D7" s="5">
        <f t="shared" ref="D7:I7" si="0">+D68</f>
        <v>20783707000</v>
      </c>
      <c r="E7" s="5">
        <f t="shared" si="0"/>
        <v>22534981000</v>
      </c>
      <c r="F7" s="5">
        <f t="shared" si="0"/>
        <v>28297079000</v>
      </c>
      <c r="G7" s="5">
        <f t="shared" si="0"/>
        <v>41532244000</v>
      </c>
      <c r="H7" s="5">
        <f t="shared" si="0"/>
        <v>49516031000</v>
      </c>
      <c r="I7" s="5">
        <f t="shared" si="0"/>
        <v>56698864000</v>
      </c>
      <c r="J7" s="416">
        <f t="shared" ref="J7:P7" si="1">+J68</f>
        <v>53670043000</v>
      </c>
      <c r="K7" s="387">
        <f t="shared" si="1"/>
        <v>57949989000</v>
      </c>
      <c r="L7" s="5">
        <f t="shared" si="1"/>
        <v>0</v>
      </c>
      <c r="M7" s="5">
        <f t="shared" si="1"/>
        <v>0</v>
      </c>
      <c r="N7" s="5">
        <f t="shared" si="1"/>
        <v>0</v>
      </c>
      <c r="O7" s="5">
        <f t="shared" si="1"/>
        <v>0</v>
      </c>
      <c r="P7" s="5">
        <f t="shared" si="1"/>
        <v>0</v>
      </c>
    </row>
    <row r="8" spans="2:16" ht="25.5">
      <c r="B8" s="6" t="s">
        <v>268</v>
      </c>
      <c r="C8" s="7">
        <f>+C71</f>
        <v>1740065000</v>
      </c>
      <c r="D8" s="7">
        <f t="shared" ref="D8:I8" si="2">+D71</f>
        <v>243592000</v>
      </c>
      <c r="E8" s="7">
        <f t="shared" si="2"/>
        <v>267293000</v>
      </c>
      <c r="F8" s="7">
        <f t="shared" si="2"/>
        <v>260495000</v>
      </c>
      <c r="G8" s="7">
        <f t="shared" si="2"/>
        <v>291740000</v>
      </c>
      <c r="H8" s="7">
        <f t="shared" si="2"/>
        <v>327030000</v>
      </c>
      <c r="I8" s="7">
        <f t="shared" si="2"/>
        <v>395301000</v>
      </c>
      <c r="J8" s="417">
        <f t="shared" ref="J8:P8" si="3">+J71</f>
        <v>428729000</v>
      </c>
      <c r="K8" s="388">
        <f t="shared" si="3"/>
        <v>475701000</v>
      </c>
      <c r="L8" s="7">
        <f t="shared" si="3"/>
        <v>0</v>
      </c>
      <c r="M8" s="7">
        <f t="shared" si="3"/>
        <v>0</v>
      </c>
      <c r="N8" s="7">
        <f t="shared" si="3"/>
        <v>0</v>
      </c>
      <c r="O8" s="7">
        <f t="shared" si="3"/>
        <v>0</v>
      </c>
      <c r="P8" s="7">
        <f t="shared" si="3"/>
        <v>0</v>
      </c>
    </row>
    <row r="9" spans="2:16" ht="25.5">
      <c r="B9" s="6" t="s">
        <v>377</v>
      </c>
      <c r="C9" s="7">
        <f>C70</f>
        <v>4576128000</v>
      </c>
      <c r="D9" s="7">
        <f t="shared" ref="D9:P9" si="4">D70</f>
        <v>6194136000</v>
      </c>
      <c r="E9" s="7">
        <f t="shared" si="4"/>
        <v>5687343000</v>
      </c>
      <c r="F9" s="7">
        <f t="shared" si="4"/>
        <v>9275387000</v>
      </c>
      <c r="G9" s="7">
        <f t="shared" si="4"/>
        <v>4902522000</v>
      </c>
      <c r="H9" s="7">
        <f t="shared" si="4"/>
        <v>5048380000</v>
      </c>
      <c r="I9" s="7">
        <f t="shared" si="4"/>
        <v>6473341000</v>
      </c>
      <c r="J9" s="7">
        <f t="shared" si="4"/>
        <v>7000366000</v>
      </c>
      <c r="K9" s="7">
        <f t="shared" si="4"/>
        <v>7392257000</v>
      </c>
      <c r="L9" s="7">
        <f t="shared" si="4"/>
        <v>0</v>
      </c>
      <c r="M9" s="7">
        <f t="shared" si="4"/>
        <v>0</v>
      </c>
      <c r="N9" s="7">
        <f t="shared" si="4"/>
        <v>0</v>
      </c>
      <c r="O9" s="7">
        <f t="shared" si="4"/>
        <v>0</v>
      </c>
      <c r="P9" s="7">
        <f t="shared" si="4"/>
        <v>0</v>
      </c>
    </row>
    <row r="10" spans="2:16" ht="25.5">
      <c r="B10" s="4" t="s">
        <v>269</v>
      </c>
      <c r="C10" s="5">
        <f>+C73</f>
        <v>94042364000</v>
      </c>
      <c r="D10" s="5">
        <f t="shared" ref="D10:I10" si="5">+D73</f>
        <v>93758818000</v>
      </c>
      <c r="E10" s="5">
        <f t="shared" si="5"/>
        <v>92597662000</v>
      </c>
      <c r="F10" s="5">
        <f t="shared" si="5"/>
        <v>89594355000</v>
      </c>
      <c r="G10" s="5">
        <f t="shared" si="5"/>
        <v>85011403000</v>
      </c>
      <c r="H10" s="5">
        <f t="shared" si="5"/>
        <v>81917817000</v>
      </c>
      <c r="I10" s="5">
        <f t="shared" si="5"/>
        <v>80999465000</v>
      </c>
      <c r="J10" s="416">
        <f t="shared" ref="J10:P10" si="6">+J73</f>
        <v>82126361000</v>
      </c>
      <c r="K10" s="387">
        <f t="shared" si="6"/>
        <v>81494895000</v>
      </c>
      <c r="L10" s="5">
        <f t="shared" si="6"/>
        <v>0</v>
      </c>
      <c r="M10" s="5">
        <f t="shared" si="6"/>
        <v>0</v>
      </c>
      <c r="N10" s="5">
        <f t="shared" si="6"/>
        <v>0</v>
      </c>
      <c r="O10" s="5">
        <f t="shared" si="6"/>
        <v>0</v>
      </c>
      <c r="P10" s="5">
        <f t="shared" si="6"/>
        <v>0</v>
      </c>
    </row>
    <row r="11" spans="2:16" ht="25.5">
      <c r="B11" s="8" t="s">
        <v>272</v>
      </c>
      <c r="C11" s="9">
        <f>+C7+C10</f>
        <v>109101930000</v>
      </c>
      <c r="D11" s="9">
        <f t="shared" ref="D11:I11" si="7">+D7+D10</f>
        <v>114542525000</v>
      </c>
      <c r="E11" s="9">
        <f t="shared" si="7"/>
        <v>115132643000</v>
      </c>
      <c r="F11" s="9">
        <f t="shared" si="7"/>
        <v>117891434000</v>
      </c>
      <c r="G11" s="9">
        <f t="shared" si="7"/>
        <v>126543647000</v>
      </c>
      <c r="H11" s="9">
        <f t="shared" si="7"/>
        <v>131433848000</v>
      </c>
      <c r="I11" s="9">
        <f t="shared" si="7"/>
        <v>137698329000</v>
      </c>
      <c r="J11" s="418">
        <f t="shared" ref="J11:P11" si="8">+J7+J10</f>
        <v>135796404000</v>
      </c>
      <c r="K11" s="389">
        <f t="shared" si="8"/>
        <v>139444884000</v>
      </c>
      <c r="L11" s="9">
        <f t="shared" si="8"/>
        <v>0</v>
      </c>
      <c r="M11" s="9">
        <f t="shared" si="8"/>
        <v>0</v>
      </c>
      <c r="N11" s="9">
        <f t="shared" si="8"/>
        <v>0</v>
      </c>
      <c r="O11" s="9">
        <f t="shared" si="8"/>
        <v>0</v>
      </c>
      <c r="P11" s="9">
        <f t="shared" si="8"/>
        <v>0</v>
      </c>
    </row>
    <row r="12" spans="2:16" ht="25.5">
      <c r="B12" s="10" t="s">
        <v>273</v>
      </c>
      <c r="C12" s="11">
        <f>+C83</f>
        <v>20116262000</v>
      </c>
      <c r="D12" s="11">
        <f t="shared" ref="D12:I12" si="9">+D83</f>
        <v>20619488000</v>
      </c>
      <c r="E12" s="11">
        <f t="shared" si="9"/>
        <v>21115546000</v>
      </c>
      <c r="F12" s="11">
        <f t="shared" si="9"/>
        <v>18254773000</v>
      </c>
      <c r="G12" s="11">
        <f t="shared" si="9"/>
        <v>22887718000</v>
      </c>
      <c r="H12" s="11">
        <f t="shared" si="9"/>
        <v>32215722000</v>
      </c>
      <c r="I12" s="11">
        <f t="shared" si="9"/>
        <v>34925435000</v>
      </c>
      <c r="J12" s="419">
        <f t="shared" ref="J12:P12" si="10">+J83</f>
        <v>35967358000</v>
      </c>
      <c r="K12" s="390">
        <f t="shared" si="10"/>
        <v>29714023000</v>
      </c>
      <c r="L12" s="11">
        <f t="shared" si="10"/>
        <v>0</v>
      </c>
      <c r="M12" s="11">
        <f t="shared" si="10"/>
        <v>0</v>
      </c>
      <c r="N12" s="11">
        <f t="shared" si="10"/>
        <v>0</v>
      </c>
      <c r="O12" s="11">
        <f t="shared" si="10"/>
        <v>0</v>
      </c>
      <c r="P12" s="11">
        <f t="shared" si="10"/>
        <v>0</v>
      </c>
    </row>
    <row r="13" spans="2:16" ht="25.5">
      <c r="B13" s="10" t="s">
        <v>274</v>
      </c>
      <c r="C13" s="11">
        <f>+C88</f>
        <v>45393665000</v>
      </c>
      <c r="D13" s="11">
        <f t="shared" ref="D13:I13" si="11">+D88</f>
        <v>45318079000</v>
      </c>
      <c r="E13" s="11">
        <f t="shared" si="11"/>
        <v>44811168000</v>
      </c>
      <c r="F13" s="11">
        <f t="shared" si="11"/>
        <v>52030622000</v>
      </c>
      <c r="G13" s="11">
        <f t="shared" si="11"/>
        <v>48004390000</v>
      </c>
      <c r="H13" s="11">
        <f t="shared" si="11"/>
        <v>48294551000</v>
      </c>
      <c r="I13" s="11">
        <f t="shared" si="11"/>
        <v>48166087000</v>
      </c>
      <c r="J13" s="419">
        <f t="shared" ref="J13:P13" si="12">+J88</f>
        <v>44961456000</v>
      </c>
      <c r="K13" s="390">
        <f t="shared" si="12"/>
        <v>40172685000</v>
      </c>
      <c r="L13" s="11">
        <f t="shared" si="12"/>
        <v>0</v>
      </c>
      <c r="M13" s="11">
        <f t="shared" si="12"/>
        <v>0</v>
      </c>
      <c r="N13" s="11">
        <f t="shared" si="12"/>
        <v>0</v>
      </c>
      <c r="O13" s="11">
        <f t="shared" si="12"/>
        <v>0</v>
      </c>
      <c r="P13" s="11">
        <f t="shared" si="12"/>
        <v>0</v>
      </c>
    </row>
    <row r="14" spans="2:16" ht="25.5">
      <c r="B14" s="12" t="s">
        <v>275</v>
      </c>
      <c r="C14" s="13">
        <f t="shared" ref="C14" si="13">SUM(C12:C13)</f>
        <v>65509927000</v>
      </c>
      <c r="D14" s="13">
        <f t="shared" ref="D14:I14" si="14">SUM(D12:D13)</f>
        <v>65937567000</v>
      </c>
      <c r="E14" s="13">
        <f t="shared" si="14"/>
        <v>65926714000</v>
      </c>
      <c r="F14" s="13">
        <f t="shared" si="14"/>
        <v>70285395000</v>
      </c>
      <c r="G14" s="13">
        <f t="shared" si="14"/>
        <v>70892108000</v>
      </c>
      <c r="H14" s="13">
        <f t="shared" si="14"/>
        <v>80510273000</v>
      </c>
      <c r="I14" s="13">
        <f t="shared" si="14"/>
        <v>83091522000</v>
      </c>
      <c r="J14" s="420">
        <f t="shared" ref="J14:P14" si="15">SUM(J12:J13)</f>
        <v>80928814000</v>
      </c>
      <c r="K14" s="391">
        <f t="shared" si="15"/>
        <v>69886708000</v>
      </c>
      <c r="L14" s="13">
        <f t="shared" si="15"/>
        <v>0</v>
      </c>
      <c r="M14" s="13">
        <f t="shared" si="15"/>
        <v>0</v>
      </c>
      <c r="N14" s="13">
        <f t="shared" si="15"/>
        <v>0</v>
      </c>
      <c r="O14" s="13">
        <f t="shared" si="15"/>
        <v>0</v>
      </c>
      <c r="P14" s="13">
        <f t="shared" si="15"/>
        <v>0</v>
      </c>
    </row>
    <row r="15" spans="2:16" ht="25.5">
      <c r="B15" s="14" t="s">
        <v>276</v>
      </c>
      <c r="C15" s="15">
        <f>+C100</f>
        <v>43592003000</v>
      </c>
      <c r="D15" s="15">
        <f t="shared" ref="D15:I15" si="16">+D100</f>
        <v>48604958000</v>
      </c>
      <c r="E15" s="15">
        <f t="shared" si="16"/>
        <v>49205929000</v>
      </c>
      <c r="F15" s="15">
        <f t="shared" si="16"/>
        <v>47606039000</v>
      </c>
      <c r="G15" s="15">
        <f t="shared" si="16"/>
        <v>55651539000</v>
      </c>
      <c r="H15" s="15">
        <f t="shared" si="16"/>
        <v>50923575000</v>
      </c>
      <c r="I15" s="15">
        <f t="shared" si="16"/>
        <v>54606807000</v>
      </c>
      <c r="J15" s="421">
        <f t="shared" ref="J15:P15" si="17">+J100</f>
        <v>54867590000</v>
      </c>
      <c r="K15" s="392">
        <f t="shared" si="17"/>
        <v>69558176000</v>
      </c>
      <c r="L15" s="15">
        <f t="shared" si="17"/>
        <v>0</v>
      </c>
      <c r="M15" s="15">
        <f t="shared" si="17"/>
        <v>0</v>
      </c>
      <c r="N15" s="15">
        <f t="shared" si="17"/>
        <v>0</v>
      </c>
      <c r="O15" s="15">
        <f t="shared" si="17"/>
        <v>0</v>
      </c>
      <c r="P15" s="15">
        <f t="shared" si="17"/>
        <v>0</v>
      </c>
    </row>
    <row r="16" spans="2:16" ht="25.5">
      <c r="B16" s="79" t="s">
        <v>278</v>
      </c>
      <c r="C16" s="80">
        <v>220569255</v>
      </c>
      <c r="D16" s="80">
        <v>220569255</v>
      </c>
      <c r="E16" s="80">
        <v>220569255</v>
      </c>
      <c r="F16" s="80">
        <v>220569255</v>
      </c>
      <c r="G16" s="80">
        <v>220569255</v>
      </c>
      <c r="H16" s="80">
        <v>220569255</v>
      </c>
      <c r="I16" s="80">
        <v>220569255</v>
      </c>
      <c r="J16" s="80">
        <v>220569255</v>
      </c>
      <c r="K16" s="394">
        <v>220569255</v>
      </c>
      <c r="L16" s="80">
        <v>0</v>
      </c>
      <c r="M16" s="80">
        <v>0</v>
      </c>
      <c r="N16" s="80">
        <v>0</v>
      </c>
      <c r="O16" s="80">
        <v>0</v>
      </c>
      <c r="P16" s="80">
        <v>0</v>
      </c>
    </row>
    <row r="18" spans="2:16" ht="25.5">
      <c r="B18" s="18" t="s">
        <v>279</v>
      </c>
      <c r="C18" s="19">
        <f t="shared" ref="C18:I18" si="18">(C15/C16)</f>
        <v>197.63408549391892</v>
      </c>
      <c r="D18" s="19">
        <f t="shared" si="18"/>
        <v>220.36143704615586</v>
      </c>
      <c r="E18" s="19">
        <f t="shared" si="18"/>
        <v>223.08607335142878</v>
      </c>
      <c r="F18" s="19">
        <f t="shared" si="18"/>
        <v>215.83261456815458</v>
      </c>
      <c r="G18" s="19">
        <f t="shared" si="18"/>
        <v>252.30868644861678</v>
      </c>
      <c r="H18" s="19">
        <f t="shared" si="18"/>
        <v>230.87340527128316</v>
      </c>
      <c r="I18" s="19">
        <f t="shared" si="18"/>
        <v>247.57216049897798</v>
      </c>
      <c r="J18" s="424">
        <f>(J15/J16)</f>
        <v>248.75447849701447</v>
      </c>
      <c r="K18" s="19">
        <f>(K15/K16)</f>
        <v>315.35753249019223</v>
      </c>
      <c r="L18" s="19" t="e">
        <f t="shared" ref="K18:P18" si="19">(L15/L16)</f>
        <v>#DIV/0!</v>
      </c>
      <c r="M18" s="19" t="e">
        <f t="shared" si="19"/>
        <v>#DIV/0!</v>
      </c>
      <c r="N18" s="19" t="e">
        <f t="shared" si="19"/>
        <v>#DIV/0!</v>
      </c>
      <c r="O18" s="19" t="e">
        <f t="shared" si="19"/>
        <v>#DIV/0!</v>
      </c>
      <c r="P18" s="19" t="e">
        <f t="shared" si="19"/>
        <v>#DIV/0!</v>
      </c>
    </row>
    <row r="19" spans="2:16" ht="25.5">
      <c r="B19" s="76" t="s">
        <v>282</v>
      </c>
      <c r="C19" s="77">
        <v>680</v>
      </c>
      <c r="D19" s="77">
        <v>734</v>
      </c>
      <c r="E19" s="77">
        <v>619</v>
      </c>
      <c r="F19" s="77">
        <v>388</v>
      </c>
      <c r="G19" s="77">
        <v>415</v>
      </c>
      <c r="H19" s="101">
        <v>414.47</v>
      </c>
      <c r="I19" s="101">
        <v>620</v>
      </c>
      <c r="J19" s="460">
        <v>838</v>
      </c>
      <c r="K19" s="101">
        <v>1100</v>
      </c>
      <c r="L19" s="101"/>
      <c r="M19" s="101"/>
      <c r="N19" s="101"/>
      <c r="O19" s="101"/>
      <c r="P19" s="101"/>
    </row>
    <row r="20" spans="2:16" ht="25.5">
      <c r="B20" s="18" t="s">
        <v>283</v>
      </c>
      <c r="C20" s="22">
        <f>+C19/C40</f>
        <v>12.495406100698272</v>
      </c>
      <c r="D20" s="22">
        <f t="shared" ref="D20:I20" si="20">+D19/D40</f>
        <v>10.402494331065759</v>
      </c>
      <c r="E20" s="22">
        <f t="shared" si="20"/>
        <v>11.401731442254558</v>
      </c>
      <c r="F20" s="22">
        <f t="shared" si="20"/>
        <v>13.571178733823015</v>
      </c>
      <c r="G20" s="22">
        <f t="shared" si="20"/>
        <v>5.7028995465164218</v>
      </c>
      <c r="H20" s="22">
        <f t="shared" si="20"/>
        <v>5.5159701889805701</v>
      </c>
      <c r="I20" s="22">
        <f t="shared" si="20"/>
        <v>7.7114427860696511</v>
      </c>
      <c r="J20" s="427">
        <f>+J19/J40</f>
        <v>9.9880810488676985</v>
      </c>
      <c r="K20" s="22">
        <f t="shared" ref="K20:P20" si="21">+K19/K40</f>
        <v>16.735128556214818</v>
      </c>
      <c r="L20" s="22" t="e">
        <f t="shared" si="21"/>
        <v>#DIV/0!</v>
      </c>
      <c r="M20" s="22" t="e">
        <f t="shared" si="21"/>
        <v>#DIV/0!</v>
      </c>
      <c r="N20" s="22" t="e">
        <f t="shared" si="21"/>
        <v>#DIV/0!</v>
      </c>
      <c r="O20" s="22" t="e">
        <f t="shared" si="21"/>
        <v>#DIV/0!</v>
      </c>
      <c r="P20" s="22" t="e">
        <f t="shared" si="21"/>
        <v>#DIV/0!</v>
      </c>
    </row>
    <row r="21" spans="2:16" ht="25.5">
      <c r="B21" s="18" t="s">
        <v>301</v>
      </c>
      <c r="C21" s="22">
        <f t="shared" ref="C21:I21" si="22">+C19/C18</f>
        <v>3.4407020342699095</v>
      </c>
      <c r="D21" s="22">
        <f t="shared" si="22"/>
        <v>3.3308913294400955</v>
      </c>
      <c r="E21" s="22">
        <f t="shared" si="22"/>
        <v>2.7747137716879609</v>
      </c>
      <c r="F21" s="22">
        <f t="shared" si="22"/>
        <v>1.7976893843236987</v>
      </c>
      <c r="G21" s="22">
        <f>+G19/G18</f>
        <v>1.644810592300062</v>
      </c>
      <c r="H21" s="22">
        <f t="shared" si="22"/>
        <v>1.7952262605256997</v>
      </c>
      <c r="I21" s="22">
        <f t="shared" si="22"/>
        <v>2.5043203514902457</v>
      </c>
      <c r="J21" s="427">
        <f t="shared" ref="J21:P21" si="23">+J19/J18</f>
        <v>3.3687835694988606</v>
      </c>
      <c r="K21" s="22">
        <f t="shared" si="23"/>
        <v>3.4881044106159429</v>
      </c>
      <c r="L21" s="22" t="e">
        <f t="shared" si="23"/>
        <v>#DIV/0!</v>
      </c>
      <c r="M21" s="22" t="e">
        <f t="shared" si="23"/>
        <v>#DIV/0!</v>
      </c>
      <c r="N21" s="22" t="e">
        <f t="shared" si="23"/>
        <v>#DIV/0!</v>
      </c>
      <c r="O21" s="22" t="e">
        <f t="shared" si="23"/>
        <v>#DIV/0!</v>
      </c>
      <c r="P21" s="22" t="e">
        <f t="shared" si="23"/>
        <v>#DIV/0!</v>
      </c>
    </row>
    <row r="22" spans="2:16" ht="25.5">
      <c r="B22" s="18" t="s">
        <v>285</v>
      </c>
      <c r="C22" s="22">
        <f>+C20*C21</f>
        <v>42.992969189701185</v>
      </c>
      <c r="D22" s="22">
        <f t="shared" ref="D22:I22" si="24">+D20*D21</f>
        <v>34.649578171896678</v>
      </c>
      <c r="E22" s="22">
        <f t="shared" si="24"/>
        <v>31.636541253911357</v>
      </c>
      <c r="F22" s="22">
        <f t="shared" si="24"/>
        <v>24.396763942553168</v>
      </c>
      <c r="G22" s="22">
        <f t="shared" si="24"/>
        <v>9.3801895809334308</v>
      </c>
      <c r="H22" s="22">
        <f t="shared" si="24"/>
        <v>9.9024145355348256</v>
      </c>
      <c r="I22" s="22">
        <f t="shared" si="24"/>
        <v>19.311923108506868</v>
      </c>
      <c r="J22" s="427">
        <f t="shared" ref="J22:P22" si="25">+J20*J21</f>
        <v>33.647683328248448</v>
      </c>
      <c r="K22" s="22">
        <f t="shared" si="25"/>
        <v>58.373875729157724</v>
      </c>
      <c r="L22" s="22" t="e">
        <f t="shared" si="25"/>
        <v>#DIV/0!</v>
      </c>
      <c r="M22" s="22" t="e">
        <f t="shared" si="25"/>
        <v>#DIV/0!</v>
      </c>
      <c r="N22" s="22" t="e">
        <f t="shared" si="25"/>
        <v>#DIV/0!</v>
      </c>
      <c r="O22" s="22" t="e">
        <f t="shared" si="25"/>
        <v>#DIV/0!</v>
      </c>
      <c r="P22" s="22" t="e">
        <f t="shared" si="25"/>
        <v>#DIV/0!</v>
      </c>
    </row>
    <row r="23" spans="2:16" ht="25.5">
      <c r="B23" s="23" t="s">
        <v>286</v>
      </c>
      <c r="C23" s="24">
        <v>2</v>
      </c>
      <c r="D23" s="24">
        <v>2</v>
      </c>
      <c r="E23" s="24">
        <v>2</v>
      </c>
      <c r="F23" s="24">
        <v>1</v>
      </c>
      <c r="G23" s="24">
        <v>2</v>
      </c>
      <c r="H23" s="24">
        <v>2</v>
      </c>
      <c r="I23" s="24">
        <v>2</v>
      </c>
      <c r="J23" s="24">
        <v>2</v>
      </c>
      <c r="K23" s="24">
        <v>2</v>
      </c>
      <c r="L23" s="24"/>
      <c r="M23" s="24"/>
      <c r="N23" s="24"/>
      <c r="O23" s="24"/>
      <c r="P23" s="24"/>
    </row>
    <row r="24" spans="2:16" ht="25.5">
      <c r="B24" s="23" t="s">
        <v>287</v>
      </c>
      <c r="C24" s="24">
        <v>2.5</v>
      </c>
      <c r="D24" s="24">
        <v>2.5</v>
      </c>
      <c r="E24" s="24">
        <v>2.5</v>
      </c>
      <c r="F24" s="24">
        <v>2.5</v>
      </c>
      <c r="G24" s="24">
        <v>2.5</v>
      </c>
      <c r="H24" s="24">
        <v>2.5</v>
      </c>
      <c r="I24" s="24">
        <v>2.5</v>
      </c>
      <c r="J24" s="24">
        <v>2.5</v>
      </c>
      <c r="K24" s="24">
        <v>2.5</v>
      </c>
      <c r="L24" s="24"/>
      <c r="M24" s="24"/>
      <c r="N24" s="24"/>
      <c r="O24" s="24"/>
      <c r="P24" s="24"/>
    </row>
    <row r="25" spans="2:16" ht="25.5">
      <c r="B25" s="25" t="s">
        <v>288</v>
      </c>
      <c r="C25" s="26">
        <f>+C23*C18</f>
        <v>395.26817098783783</v>
      </c>
      <c r="D25" s="26">
        <f t="shared" ref="D25:H25" si="26">+D23*D18</f>
        <v>440.72287409231171</v>
      </c>
      <c r="E25" s="26">
        <f t="shared" si="26"/>
        <v>446.17214670285756</v>
      </c>
      <c r="F25" s="26">
        <f t="shared" si="26"/>
        <v>215.83261456815458</v>
      </c>
      <c r="G25" s="26">
        <f t="shared" si="26"/>
        <v>504.61737289723357</v>
      </c>
      <c r="H25" s="26">
        <f t="shared" si="26"/>
        <v>461.74681054256632</v>
      </c>
      <c r="I25" s="26">
        <f t="shared" ref="I25" si="27">+I23*I18</f>
        <v>495.14432099795596</v>
      </c>
      <c r="J25" s="429">
        <f>+J23*J18</f>
        <v>497.50895699402895</v>
      </c>
      <c r="K25" s="26">
        <f t="shared" ref="K25:P25" si="28">+K23*K18</f>
        <v>630.71506498038445</v>
      </c>
      <c r="L25" s="26" t="e">
        <f t="shared" si="28"/>
        <v>#DIV/0!</v>
      </c>
      <c r="M25" s="26" t="e">
        <f t="shared" si="28"/>
        <v>#DIV/0!</v>
      </c>
      <c r="N25" s="26" t="e">
        <f t="shared" si="28"/>
        <v>#DIV/0!</v>
      </c>
      <c r="O25" s="26" t="e">
        <f t="shared" si="28"/>
        <v>#DIV/0!</v>
      </c>
      <c r="P25" s="26" t="e">
        <f t="shared" si="28"/>
        <v>#DIV/0!</v>
      </c>
    </row>
    <row r="26" spans="2:16" ht="25.5">
      <c r="B26" s="25" t="s">
        <v>289</v>
      </c>
      <c r="C26" s="26">
        <f>AVERAGE(C25,C27)</f>
        <v>444.67669236131758</v>
      </c>
      <c r="D26" s="26">
        <f t="shared" ref="D26:H26" si="29">AVERAGE(D25,D27)</f>
        <v>495.81323335385071</v>
      </c>
      <c r="E26" s="26">
        <f t="shared" si="29"/>
        <v>501.94366504071479</v>
      </c>
      <c r="F26" s="26">
        <f t="shared" si="29"/>
        <v>377.7070754942705</v>
      </c>
      <c r="G26" s="26">
        <f t="shared" si="29"/>
        <v>567.69454450938781</v>
      </c>
      <c r="H26" s="26">
        <f t="shared" si="29"/>
        <v>519.46516186038707</v>
      </c>
      <c r="I26" s="26">
        <f t="shared" ref="I26:J26" si="30">AVERAGE(I25,I27)</f>
        <v>557.03736112270042</v>
      </c>
      <c r="J26" s="429">
        <f t="shared" si="30"/>
        <v>559.6975766182826</v>
      </c>
      <c r="K26" s="26">
        <f t="shared" ref="K26:P26" si="31">AVERAGE(K25,K27)</f>
        <v>709.5544481029325</v>
      </c>
      <c r="L26" s="26" t="e">
        <f t="shared" si="31"/>
        <v>#DIV/0!</v>
      </c>
      <c r="M26" s="26" t="e">
        <f t="shared" si="31"/>
        <v>#DIV/0!</v>
      </c>
      <c r="N26" s="26" t="e">
        <f t="shared" si="31"/>
        <v>#DIV/0!</v>
      </c>
      <c r="O26" s="26" t="e">
        <f t="shared" si="31"/>
        <v>#DIV/0!</v>
      </c>
      <c r="P26" s="26" t="e">
        <f t="shared" si="31"/>
        <v>#DIV/0!</v>
      </c>
    </row>
    <row r="27" spans="2:16" ht="25.5">
      <c r="B27" s="25" t="s">
        <v>290</v>
      </c>
      <c r="C27" s="26">
        <f>+C18*C24</f>
        <v>494.08521373479732</v>
      </c>
      <c r="D27" s="26">
        <f t="shared" ref="D27:H27" si="32">+D18*D24</f>
        <v>550.9035926153897</v>
      </c>
      <c r="E27" s="26">
        <f t="shared" si="32"/>
        <v>557.71518337857196</v>
      </c>
      <c r="F27" s="26">
        <f t="shared" si="32"/>
        <v>539.58153642038644</v>
      </c>
      <c r="G27" s="26">
        <f t="shared" si="32"/>
        <v>630.771716121542</v>
      </c>
      <c r="H27" s="26">
        <f t="shared" si="32"/>
        <v>577.18351317820793</v>
      </c>
      <c r="I27" s="26">
        <f t="shared" ref="I27:J27" si="33">+I18*I24</f>
        <v>618.93040124744493</v>
      </c>
      <c r="J27" s="429">
        <f t="shared" si="33"/>
        <v>621.88619624253624</v>
      </c>
      <c r="K27" s="26">
        <f t="shared" ref="K27:P27" si="34">+K18*K24</f>
        <v>788.39383122548054</v>
      </c>
      <c r="L27" s="26" t="e">
        <f t="shared" si="34"/>
        <v>#DIV/0!</v>
      </c>
      <c r="M27" s="26" t="e">
        <f t="shared" si="34"/>
        <v>#DIV/0!</v>
      </c>
      <c r="N27" s="26" t="e">
        <f t="shared" si="34"/>
        <v>#DIV/0!</v>
      </c>
      <c r="O27" s="26" t="e">
        <f t="shared" si="34"/>
        <v>#DIV/0!</v>
      </c>
      <c r="P27" s="26" t="e">
        <f t="shared" si="34"/>
        <v>#DIV/0!</v>
      </c>
    </row>
    <row r="29" spans="2:16" ht="25.5">
      <c r="B29" s="27" t="s">
        <v>291</v>
      </c>
      <c r="C29" s="28">
        <f t="shared" ref="C29:I29" si="35">C7-C12</f>
        <v>-5056696000</v>
      </c>
      <c r="D29" s="28">
        <f t="shared" si="35"/>
        <v>164219000</v>
      </c>
      <c r="E29" s="28">
        <f t="shared" si="35"/>
        <v>1419435000</v>
      </c>
      <c r="F29" s="28">
        <f t="shared" si="35"/>
        <v>10042306000</v>
      </c>
      <c r="G29" s="28">
        <f t="shared" si="35"/>
        <v>18644526000</v>
      </c>
      <c r="H29" s="28">
        <f t="shared" si="35"/>
        <v>17300309000</v>
      </c>
      <c r="I29" s="28">
        <f t="shared" si="35"/>
        <v>21773429000</v>
      </c>
      <c r="J29" s="461">
        <f t="shared" ref="J29:P29" si="36">J7-J12</f>
        <v>17702685000</v>
      </c>
      <c r="K29" s="453">
        <f t="shared" si="36"/>
        <v>28235966000</v>
      </c>
      <c r="L29" s="28">
        <f t="shared" si="36"/>
        <v>0</v>
      </c>
      <c r="M29" s="28">
        <f t="shared" si="36"/>
        <v>0</v>
      </c>
      <c r="N29" s="28">
        <f t="shared" si="36"/>
        <v>0</v>
      </c>
      <c r="O29" s="28">
        <f t="shared" si="36"/>
        <v>0</v>
      </c>
      <c r="P29" s="28">
        <f t="shared" si="36"/>
        <v>0</v>
      </c>
    </row>
    <row r="30" spans="2:16" ht="25.5">
      <c r="B30" s="30" t="s">
        <v>149</v>
      </c>
      <c r="C30" s="204">
        <f t="shared" ref="C30:I30" si="37">C7/C12</f>
        <v>0.74862645952811713</v>
      </c>
      <c r="D30" s="204">
        <f t="shared" si="37"/>
        <v>1.0079642617702245</v>
      </c>
      <c r="E30" s="204">
        <f t="shared" si="37"/>
        <v>1.0672222731062697</v>
      </c>
      <c r="F30" s="204">
        <f t="shared" si="37"/>
        <v>1.5501194673853245</v>
      </c>
      <c r="G30" s="204">
        <f t="shared" si="37"/>
        <v>1.8146083414694292</v>
      </c>
      <c r="H30" s="204">
        <f t="shared" si="37"/>
        <v>1.5370144738646552</v>
      </c>
      <c r="I30" s="204">
        <f t="shared" si="37"/>
        <v>1.6234261362814808</v>
      </c>
      <c r="J30" s="487">
        <f t="shared" ref="J30:P30" si="38">J7/J12</f>
        <v>1.4921875273685656</v>
      </c>
      <c r="K30" s="485">
        <f t="shared" si="38"/>
        <v>1.950257257322578</v>
      </c>
      <c r="L30" s="204" t="e">
        <f t="shared" si="38"/>
        <v>#DIV/0!</v>
      </c>
      <c r="M30" s="204" t="e">
        <f t="shared" si="38"/>
        <v>#DIV/0!</v>
      </c>
      <c r="N30" s="204" t="e">
        <f t="shared" si="38"/>
        <v>#DIV/0!</v>
      </c>
      <c r="O30" s="204" t="e">
        <f t="shared" si="38"/>
        <v>#DIV/0!</v>
      </c>
      <c r="P30" s="204" t="e">
        <f t="shared" si="38"/>
        <v>#DIV/0!</v>
      </c>
    </row>
    <row r="31" spans="2:16" ht="25.5">
      <c r="B31" s="30" t="s">
        <v>292</v>
      </c>
      <c r="C31" s="31">
        <f>+(C7-C8)/C12</f>
        <v>0.66212604508730299</v>
      </c>
      <c r="D31" s="31">
        <f t="shared" ref="D31:I31" si="39">+(D7-D8)/D12</f>
        <v>0.99615058337045037</v>
      </c>
      <c r="E31" s="31">
        <f t="shared" si="39"/>
        <v>1.0545636849740945</v>
      </c>
      <c r="F31" s="31">
        <f t="shared" si="39"/>
        <v>1.5358495008401365</v>
      </c>
      <c r="G31" s="31">
        <f t="shared" si="39"/>
        <v>1.801861767083988</v>
      </c>
      <c r="H31" s="31">
        <f t="shared" si="39"/>
        <v>1.5268632191449876</v>
      </c>
      <c r="I31" s="31">
        <f t="shared" si="39"/>
        <v>1.612107708894678</v>
      </c>
      <c r="J31" s="431">
        <f t="shared" ref="J31:P31" si="40">+(J7-J8)/J12</f>
        <v>1.4802675803988716</v>
      </c>
      <c r="K31" s="396">
        <f t="shared" si="40"/>
        <v>1.9342479475094974</v>
      </c>
      <c r="L31" s="31" t="e">
        <f t="shared" si="40"/>
        <v>#DIV/0!</v>
      </c>
      <c r="M31" s="31" t="e">
        <f t="shared" si="40"/>
        <v>#DIV/0!</v>
      </c>
      <c r="N31" s="31" t="e">
        <f t="shared" si="40"/>
        <v>#DIV/0!</v>
      </c>
      <c r="O31" s="31" t="e">
        <f t="shared" si="40"/>
        <v>#DIV/0!</v>
      </c>
      <c r="P31" s="31" t="e">
        <f t="shared" si="40"/>
        <v>#DIV/0!</v>
      </c>
    </row>
    <row r="32" spans="2:16" ht="25.5">
      <c r="B32" s="32" t="s">
        <v>153</v>
      </c>
      <c r="C32" s="33">
        <f t="shared" ref="C32:I32" si="41">C14/C11</f>
        <v>0.6004470040080867</v>
      </c>
      <c r="D32" s="33">
        <f t="shared" si="41"/>
        <v>0.57566014892722162</v>
      </c>
      <c r="E32" s="33">
        <f t="shared" si="41"/>
        <v>0.57261530945658912</v>
      </c>
      <c r="F32" s="33">
        <f t="shared" si="41"/>
        <v>0.59618746345896512</v>
      </c>
      <c r="G32" s="33">
        <f t="shared" si="41"/>
        <v>0.56021862559406088</v>
      </c>
      <c r="H32" s="33">
        <f t="shared" si="41"/>
        <v>0.61255357143617983</v>
      </c>
      <c r="I32" s="33">
        <f t="shared" si="41"/>
        <v>0.60343159284089787</v>
      </c>
      <c r="J32" s="432">
        <f t="shared" ref="J32:P32" si="42">J14/J11</f>
        <v>0.59595697394166636</v>
      </c>
      <c r="K32" s="397">
        <f t="shared" si="42"/>
        <v>0.50117799947397135</v>
      </c>
      <c r="L32" s="33" t="e">
        <f t="shared" si="42"/>
        <v>#DIV/0!</v>
      </c>
      <c r="M32" s="33" t="e">
        <f t="shared" si="42"/>
        <v>#DIV/0!</v>
      </c>
      <c r="N32" s="33" t="e">
        <f t="shared" si="42"/>
        <v>#DIV/0!</v>
      </c>
      <c r="O32" s="33" t="e">
        <f t="shared" si="42"/>
        <v>#DIV/0!</v>
      </c>
      <c r="P32" s="33" t="e">
        <f t="shared" si="42"/>
        <v>#DIV/0!</v>
      </c>
    </row>
    <row r="34" spans="2:16" ht="18">
      <c r="I34" s="34"/>
      <c r="J34" s="433"/>
      <c r="K34" s="34"/>
      <c r="L34" s="34"/>
      <c r="M34" s="34"/>
      <c r="N34" s="34"/>
      <c r="O34" s="34"/>
      <c r="P34" s="34"/>
    </row>
    <row r="35" spans="2:16" ht="25.5">
      <c r="B35" s="35" t="s">
        <v>293</v>
      </c>
      <c r="C35" s="36">
        <f>+C104</f>
        <v>36782972000</v>
      </c>
      <c r="D35" s="36">
        <f t="shared" ref="D35:I35" si="43">+D104</f>
        <v>39471289000</v>
      </c>
      <c r="E35" s="36">
        <f t="shared" si="43"/>
        <v>38514852000</v>
      </c>
      <c r="F35" s="36">
        <f t="shared" si="43"/>
        <v>28763892000</v>
      </c>
      <c r="G35" s="36">
        <f t="shared" si="43"/>
        <v>38907730000</v>
      </c>
      <c r="H35" s="36">
        <f t="shared" si="43"/>
        <v>43026895000</v>
      </c>
      <c r="I35" s="36">
        <f t="shared" si="43"/>
        <v>48224809000</v>
      </c>
      <c r="J35" s="434">
        <f t="shared" ref="J35:P35" si="44">+J104</f>
        <v>50465567000</v>
      </c>
      <c r="K35" s="398">
        <f t="shared" si="44"/>
        <v>43053097000</v>
      </c>
      <c r="L35" s="36">
        <f t="shared" si="44"/>
        <v>0</v>
      </c>
      <c r="M35" s="36">
        <f t="shared" si="44"/>
        <v>0</v>
      </c>
      <c r="N35" s="36">
        <f t="shared" si="44"/>
        <v>0</v>
      </c>
      <c r="O35" s="36">
        <f t="shared" si="44"/>
        <v>0</v>
      </c>
      <c r="P35" s="36">
        <f t="shared" si="44"/>
        <v>0</v>
      </c>
    </row>
    <row r="36" spans="2:16" ht="25.5">
      <c r="B36" s="39" t="s">
        <v>181</v>
      </c>
      <c r="C36" s="40">
        <f>+C104+C105+C107</f>
        <v>11453788000</v>
      </c>
      <c r="D36" s="40">
        <f t="shared" ref="D36:I36" si="45">+D104+D105+D107</f>
        <v>15031132000</v>
      </c>
      <c r="E36" s="40">
        <f t="shared" si="45"/>
        <v>11149833000</v>
      </c>
      <c r="F36" s="40">
        <f t="shared" si="45"/>
        <v>8031258000</v>
      </c>
      <c r="G36" s="40">
        <f t="shared" si="45"/>
        <v>15907935000</v>
      </c>
      <c r="H36" s="40">
        <f t="shared" si="45"/>
        <v>13902776000</v>
      </c>
      <c r="I36" s="40">
        <f t="shared" si="45"/>
        <v>13773449000</v>
      </c>
      <c r="J36" s="435">
        <f t="shared" ref="J36:P36" si="46">+J104+J105+J107</f>
        <v>14059416000</v>
      </c>
      <c r="K36" s="399">
        <f t="shared" si="46"/>
        <v>12239987000</v>
      </c>
      <c r="L36" s="40">
        <f t="shared" si="46"/>
        <v>0</v>
      </c>
      <c r="M36" s="40">
        <f t="shared" si="46"/>
        <v>0</v>
      </c>
      <c r="N36" s="40">
        <f t="shared" si="46"/>
        <v>0</v>
      </c>
      <c r="O36" s="40">
        <f t="shared" si="46"/>
        <v>0</v>
      </c>
      <c r="P36" s="40">
        <f t="shared" si="46"/>
        <v>0</v>
      </c>
    </row>
    <row r="37" spans="2:16" ht="25.5">
      <c r="B37" s="35" t="s">
        <v>294</v>
      </c>
      <c r="C37" s="41">
        <f>C36/C35</f>
        <v>0.31138832392336324</v>
      </c>
      <c r="D37" s="41">
        <f t="shared" ref="D37:I37" si="47">D36/D35</f>
        <v>0.38081178448466679</v>
      </c>
      <c r="E37" s="41">
        <f t="shared" si="47"/>
        <v>0.28949437479339141</v>
      </c>
      <c r="F37" s="41">
        <f t="shared" si="47"/>
        <v>0.27921318853512589</v>
      </c>
      <c r="G37" s="41">
        <f t="shared" si="47"/>
        <v>0.40886309738450433</v>
      </c>
      <c r="H37" s="41">
        <f t="shared" si="47"/>
        <v>0.32311827288490141</v>
      </c>
      <c r="I37" s="41">
        <f t="shared" si="47"/>
        <v>0.28560919753979741</v>
      </c>
      <c r="J37" s="436">
        <f t="shared" ref="J37:P37" si="48">J36/J35</f>
        <v>0.27859423436181746</v>
      </c>
      <c r="K37" s="400">
        <f t="shared" si="48"/>
        <v>0.28429980310127284</v>
      </c>
      <c r="L37" s="41" t="e">
        <f t="shared" si="48"/>
        <v>#DIV/0!</v>
      </c>
      <c r="M37" s="41" t="e">
        <f t="shared" si="48"/>
        <v>#DIV/0!</v>
      </c>
      <c r="N37" s="41" t="e">
        <f t="shared" si="48"/>
        <v>#DIV/0!</v>
      </c>
      <c r="O37" s="41" t="e">
        <f t="shared" si="48"/>
        <v>#DIV/0!</v>
      </c>
      <c r="P37" s="41" t="e">
        <f t="shared" si="48"/>
        <v>#DIV/0!</v>
      </c>
    </row>
    <row r="38" spans="2:16" ht="25.5">
      <c r="B38" s="43" t="s">
        <v>295</v>
      </c>
      <c r="C38" s="44">
        <f>+C119</f>
        <v>11897343000</v>
      </c>
      <c r="D38" s="44">
        <f t="shared" ref="D38:I38" si="49">+D119</f>
        <v>15562618000</v>
      </c>
      <c r="E38" s="44">
        <f t="shared" si="49"/>
        <v>11974685000</v>
      </c>
      <c r="F38" s="44">
        <f t="shared" si="49"/>
        <v>6305398000</v>
      </c>
      <c r="G38" s="44">
        <f t="shared" si="49"/>
        <v>16050131000</v>
      </c>
      <c r="H38" s="44">
        <f t="shared" si="49"/>
        <v>16572997000</v>
      </c>
      <c r="I38" s="44">
        <f t="shared" si="49"/>
        <v>17734528000</v>
      </c>
      <c r="J38" s="437">
        <f t="shared" ref="J38:P38" si="50">+J119</f>
        <v>18505355000</v>
      </c>
      <c r="K38" s="401">
        <f t="shared" si="50"/>
        <v>14497118000</v>
      </c>
      <c r="L38" s="44">
        <f t="shared" si="50"/>
        <v>0</v>
      </c>
      <c r="M38" s="44">
        <f t="shared" si="50"/>
        <v>0</v>
      </c>
      <c r="N38" s="44">
        <f t="shared" si="50"/>
        <v>0</v>
      </c>
      <c r="O38" s="44">
        <f t="shared" si="50"/>
        <v>0</v>
      </c>
      <c r="P38" s="44">
        <f t="shared" si="50"/>
        <v>0</v>
      </c>
    </row>
    <row r="39" spans="2:16" ht="25.5">
      <c r="B39" s="30" t="s">
        <v>296</v>
      </c>
      <c r="C39" s="45">
        <f>C38/C35</f>
        <v>0.32344702869577802</v>
      </c>
      <c r="D39" s="45">
        <f t="shared" ref="D39:I39" si="51">D38/D35</f>
        <v>0.39427691353074384</v>
      </c>
      <c r="E39" s="45">
        <f t="shared" si="51"/>
        <v>0.3109108403168731</v>
      </c>
      <c r="F39" s="45">
        <f t="shared" si="51"/>
        <v>0.21921226793648091</v>
      </c>
      <c r="G39" s="45">
        <f t="shared" si="51"/>
        <v>0.41251779530699939</v>
      </c>
      <c r="H39" s="45">
        <f t="shared" si="51"/>
        <v>0.38517761971901526</v>
      </c>
      <c r="I39" s="45">
        <f t="shared" si="51"/>
        <v>0.36774698267856282</v>
      </c>
      <c r="J39" s="438">
        <f t="shared" ref="J39:P39" si="52">J38/J35</f>
        <v>0.3666926995985203</v>
      </c>
      <c r="K39" s="402">
        <f t="shared" si="52"/>
        <v>0.33672648450818765</v>
      </c>
      <c r="L39" s="45" t="e">
        <f t="shared" si="52"/>
        <v>#DIV/0!</v>
      </c>
      <c r="M39" s="45" t="e">
        <f t="shared" si="52"/>
        <v>#DIV/0!</v>
      </c>
      <c r="N39" s="45" t="e">
        <f t="shared" si="52"/>
        <v>#DIV/0!</v>
      </c>
      <c r="O39" s="45" t="e">
        <f t="shared" si="52"/>
        <v>#DIV/0!</v>
      </c>
      <c r="P39" s="45" t="e">
        <f t="shared" si="52"/>
        <v>#DIV/0!</v>
      </c>
    </row>
    <row r="40" spans="2:16" ht="25.5">
      <c r="B40" s="46" t="s">
        <v>159</v>
      </c>
      <c r="C40" s="121">
        <f>+C120</f>
        <v>54.42</v>
      </c>
      <c r="D40" s="121">
        <f t="shared" ref="D40:I40" si="53">+D120</f>
        <v>70.56</v>
      </c>
      <c r="E40" s="121">
        <f t="shared" si="53"/>
        <v>54.29</v>
      </c>
      <c r="F40" s="121">
        <f t="shared" si="53"/>
        <v>28.59</v>
      </c>
      <c r="G40" s="121">
        <f t="shared" si="53"/>
        <v>72.77</v>
      </c>
      <c r="H40" s="121">
        <f t="shared" si="53"/>
        <v>75.14</v>
      </c>
      <c r="I40" s="121">
        <f t="shared" si="53"/>
        <v>80.400000000000006</v>
      </c>
      <c r="J40" s="481">
        <f t="shared" ref="J40:P40" si="54">+J120</f>
        <v>83.9</v>
      </c>
      <c r="K40" s="480">
        <f t="shared" si="54"/>
        <v>65.73</v>
      </c>
      <c r="L40" s="121">
        <f t="shared" si="54"/>
        <v>0</v>
      </c>
      <c r="M40" s="121">
        <f t="shared" si="54"/>
        <v>0</v>
      </c>
      <c r="N40" s="121">
        <f t="shared" si="54"/>
        <v>0</v>
      </c>
      <c r="O40" s="121">
        <f t="shared" si="54"/>
        <v>0</v>
      </c>
      <c r="P40" s="121">
        <f t="shared" si="54"/>
        <v>0</v>
      </c>
    </row>
    <row r="41" spans="2:16" ht="25.5">
      <c r="B41" s="48" t="s">
        <v>160</v>
      </c>
      <c r="C41" s="49">
        <f t="shared" ref="C41:I41" si="55">C38/C15</f>
        <v>0.27292489863335712</v>
      </c>
      <c r="D41" s="49">
        <f t="shared" si="55"/>
        <v>0.32018581314276623</v>
      </c>
      <c r="E41" s="49">
        <f t="shared" si="55"/>
        <v>0.24335857981667208</v>
      </c>
      <c r="F41" s="49">
        <f t="shared" si="55"/>
        <v>0.1324495406979774</v>
      </c>
      <c r="G41" s="49">
        <f t="shared" si="55"/>
        <v>0.28840408169125387</v>
      </c>
      <c r="H41" s="49">
        <f t="shared" si="55"/>
        <v>0.32544841951885745</v>
      </c>
      <c r="I41" s="49">
        <f t="shared" si="55"/>
        <v>0.32476771622995648</v>
      </c>
      <c r="J41" s="440">
        <f t="shared" ref="J41:P41" si="56">J38/J15</f>
        <v>0.33727296934310402</v>
      </c>
      <c r="K41" s="404">
        <f t="shared" si="56"/>
        <v>0.20841716723566758</v>
      </c>
      <c r="L41" s="49" t="e">
        <f t="shared" si="56"/>
        <v>#DIV/0!</v>
      </c>
      <c r="M41" s="49" t="e">
        <f t="shared" si="56"/>
        <v>#DIV/0!</v>
      </c>
      <c r="N41" s="49" t="e">
        <f t="shared" si="56"/>
        <v>#DIV/0!</v>
      </c>
      <c r="O41" s="49" t="e">
        <f t="shared" si="56"/>
        <v>#DIV/0!</v>
      </c>
      <c r="P41" s="49" t="e">
        <f t="shared" si="56"/>
        <v>#DIV/0!</v>
      </c>
    </row>
    <row r="42" spans="2:16" ht="25.5">
      <c r="B42" s="48" t="s">
        <v>382</v>
      </c>
      <c r="C42" s="49">
        <f>AVERAGE(G41:I41)</f>
        <v>0.31287340581335593</v>
      </c>
      <c r="D42" s="49"/>
      <c r="E42" s="49"/>
      <c r="F42" s="49"/>
      <c r="G42" s="49"/>
      <c r="H42" s="49"/>
      <c r="I42" s="49"/>
      <c r="J42" s="440"/>
      <c r="K42" s="404"/>
      <c r="L42" s="49"/>
      <c r="M42" s="49"/>
      <c r="N42" s="49"/>
      <c r="O42" s="49"/>
      <c r="P42" s="49"/>
    </row>
    <row r="43" spans="2:16" ht="25.5">
      <c r="B43" s="48" t="s">
        <v>298</v>
      </c>
      <c r="C43" s="50">
        <f>+C132</f>
        <v>19478454000</v>
      </c>
      <c r="D43" s="50">
        <f t="shared" ref="D43:I43" si="57">+D132</f>
        <v>19372681000</v>
      </c>
      <c r="E43" s="50">
        <f t="shared" si="57"/>
        <v>15110960000</v>
      </c>
      <c r="F43" s="50">
        <f t="shared" si="57"/>
        <v>11493875000</v>
      </c>
      <c r="G43" s="50">
        <f t="shared" si="57"/>
        <v>22439387000</v>
      </c>
      <c r="H43" s="50">
        <f t="shared" si="57"/>
        <v>16171779000</v>
      </c>
      <c r="I43" s="50">
        <f t="shared" si="57"/>
        <v>16371315000</v>
      </c>
      <c r="J43" s="441">
        <f t="shared" ref="J43:P43" si="58">+J132</f>
        <v>6510960000</v>
      </c>
      <c r="K43" s="405">
        <f t="shared" si="58"/>
        <v>9641400000</v>
      </c>
      <c r="L43" s="50">
        <f t="shared" si="58"/>
        <v>0</v>
      </c>
      <c r="M43" s="50">
        <f t="shared" si="58"/>
        <v>0</v>
      </c>
      <c r="N43" s="50">
        <f t="shared" si="58"/>
        <v>0</v>
      </c>
      <c r="O43" s="50">
        <f t="shared" si="58"/>
        <v>0</v>
      </c>
      <c r="P43" s="50">
        <f t="shared" si="58"/>
        <v>0</v>
      </c>
    </row>
    <row r="44" spans="2:16" ht="25.5">
      <c r="B44" s="51" t="s">
        <v>111</v>
      </c>
      <c r="C44" s="51">
        <f>SUM(C46:C49)</f>
        <v>37.526000000000003</v>
      </c>
      <c r="D44" s="51">
        <f t="shared" ref="D44:F44" si="59">SUM(D46:D49)</f>
        <v>43.536000000000001</v>
      </c>
      <c r="E44" s="51">
        <f t="shared" si="59"/>
        <v>56.445999999999998</v>
      </c>
      <c r="F44" s="51">
        <f t="shared" si="59"/>
        <v>43.432000000000002</v>
      </c>
      <c r="G44" s="51">
        <f t="shared" ref="G44:P44" si="60">SUM(G46:G49)</f>
        <v>22.87</v>
      </c>
      <c r="H44" s="51">
        <f t="shared" si="60"/>
        <v>58.213000000000001</v>
      </c>
      <c r="I44" s="51">
        <f t="shared" si="60"/>
        <v>60.11</v>
      </c>
      <c r="J44" s="442">
        <f t="shared" si="60"/>
        <v>80.400000000000006</v>
      </c>
      <c r="K44" s="406">
        <f t="shared" si="60"/>
        <v>67.12</v>
      </c>
      <c r="L44" s="51">
        <f t="shared" si="60"/>
        <v>0</v>
      </c>
      <c r="M44" s="51">
        <f t="shared" si="60"/>
        <v>0</v>
      </c>
      <c r="N44" s="51">
        <f t="shared" si="60"/>
        <v>0</v>
      </c>
      <c r="O44" s="51">
        <f t="shared" si="60"/>
        <v>0</v>
      </c>
      <c r="P44" s="51">
        <f t="shared" si="60"/>
        <v>0</v>
      </c>
    </row>
    <row r="45" spans="2:16" ht="25.5">
      <c r="B45" s="51" t="s">
        <v>112</v>
      </c>
      <c r="C45" s="51">
        <f>+C46+C47</f>
        <v>37.526000000000003</v>
      </c>
      <c r="D45" s="51">
        <f t="shared" ref="D45:I45" si="61">+D46+D47</f>
        <v>43.536000000000001</v>
      </c>
      <c r="E45" s="51">
        <f t="shared" si="61"/>
        <v>56.445999999999998</v>
      </c>
      <c r="F45" s="51">
        <f t="shared" si="61"/>
        <v>43.432000000000002</v>
      </c>
      <c r="G45" s="51">
        <f t="shared" si="61"/>
        <v>22.87</v>
      </c>
      <c r="H45" s="51">
        <f t="shared" si="61"/>
        <v>58.213000000000001</v>
      </c>
      <c r="I45" s="51">
        <f t="shared" si="61"/>
        <v>60.11</v>
      </c>
      <c r="J45" s="442">
        <f t="shared" ref="J45:P45" si="62">+J46+J47</f>
        <v>80.400000000000006</v>
      </c>
      <c r="K45" s="406">
        <f t="shared" si="62"/>
        <v>67.12</v>
      </c>
      <c r="L45" s="51">
        <f t="shared" si="62"/>
        <v>0</v>
      </c>
      <c r="M45" s="51">
        <f t="shared" si="62"/>
        <v>0</v>
      </c>
      <c r="N45" s="51">
        <f t="shared" si="62"/>
        <v>0</v>
      </c>
      <c r="O45" s="51">
        <f t="shared" si="62"/>
        <v>0</v>
      </c>
      <c r="P45" s="51">
        <f t="shared" si="62"/>
        <v>0</v>
      </c>
    </row>
    <row r="46" spans="2:16" ht="18">
      <c r="B46" s="135" t="s">
        <v>114</v>
      </c>
      <c r="C46" s="94">
        <f>18.763+18.763</f>
        <v>37.526000000000003</v>
      </c>
      <c r="D46" s="94">
        <f>21.768+21.768</f>
        <v>43.536000000000001</v>
      </c>
      <c r="E46" s="94">
        <f>28.223+28.223</f>
        <v>56.445999999999998</v>
      </c>
      <c r="F46" s="94">
        <f>27.145+16.287</f>
        <v>43.432000000000002</v>
      </c>
      <c r="G46" s="94">
        <f>14.294+8.576</f>
        <v>22.87</v>
      </c>
      <c r="H46" s="94">
        <f>36.383+21.83</f>
        <v>58.213000000000001</v>
      </c>
      <c r="I46" s="94">
        <f>30.055+30.055</f>
        <v>60.11</v>
      </c>
      <c r="J46" s="443">
        <f>40.2+40.2</f>
        <v>80.400000000000006</v>
      </c>
      <c r="K46" s="407">
        <f>33.56*2</f>
        <v>67.12</v>
      </c>
      <c r="L46" s="94"/>
      <c r="M46" s="94"/>
      <c r="N46" s="94"/>
      <c r="O46" s="94"/>
      <c r="P46" s="94"/>
    </row>
    <row r="47" spans="2:16" ht="18">
      <c r="B47" s="135" t="s">
        <v>115</v>
      </c>
      <c r="C47" s="94"/>
      <c r="D47" s="94"/>
      <c r="E47" s="94"/>
      <c r="F47" s="94"/>
      <c r="G47" s="94"/>
      <c r="H47" s="94"/>
      <c r="I47" s="94"/>
      <c r="J47" s="443"/>
      <c r="K47" s="407"/>
      <c r="L47" s="94"/>
      <c r="M47" s="94"/>
      <c r="N47" s="94"/>
      <c r="O47" s="94"/>
      <c r="P47" s="94"/>
    </row>
    <row r="48" spans="2:16" ht="18">
      <c r="B48" s="135" t="s">
        <v>116</v>
      </c>
      <c r="C48" s="94"/>
      <c r="D48" s="94"/>
      <c r="E48" s="94"/>
      <c r="F48" s="94"/>
      <c r="G48" s="94"/>
      <c r="H48" s="94"/>
      <c r="I48" s="94"/>
      <c r="J48" s="443"/>
      <c r="K48" s="407"/>
      <c r="L48" s="94"/>
      <c r="M48" s="94"/>
      <c r="N48" s="94"/>
      <c r="O48" s="94"/>
      <c r="P48" s="94"/>
    </row>
    <row r="49" spans="2:16" ht="18">
      <c r="B49" s="135" t="s">
        <v>117</v>
      </c>
      <c r="C49" s="94"/>
      <c r="D49" s="94"/>
      <c r="E49" s="94"/>
      <c r="F49" s="94"/>
      <c r="G49" s="94"/>
      <c r="H49" s="94"/>
      <c r="I49" s="94"/>
      <c r="J49" s="443"/>
      <c r="K49" s="407"/>
      <c r="L49" s="94"/>
      <c r="M49" s="94"/>
      <c r="N49" s="94"/>
      <c r="O49" s="94"/>
      <c r="P49" s="94"/>
    </row>
    <row r="50" spans="2:16" ht="25.5">
      <c r="B50" s="51" t="s">
        <v>119</v>
      </c>
      <c r="C50" s="94"/>
      <c r="D50" s="94"/>
      <c r="E50" s="94"/>
      <c r="F50" s="94"/>
      <c r="G50" s="94"/>
      <c r="H50" s="94"/>
      <c r="I50" s="94"/>
      <c r="J50" s="729"/>
      <c r="K50" s="407"/>
      <c r="L50" s="94"/>
      <c r="M50" s="94"/>
      <c r="N50" s="94"/>
      <c r="O50" s="94"/>
      <c r="P50" s="94"/>
    </row>
    <row r="51" spans="2:16" ht="25.5">
      <c r="B51" s="51" t="s">
        <v>120</v>
      </c>
      <c r="C51" s="94"/>
      <c r="D51" s="94"/>
      <c r="E51" s="94"/>
      <c r="F51" s="94"/>
      <c r="G51" s="94"/>
      <c r="H51" s="94"/>
      <c r="I51" s="94"/>
      <c r="J51" s="729"/>
      <c r="K51" s="407"/>
      <c r="L51" s="94"/>
      <c r="M51" s="94"/>
      <c r="N51" s="94"/>
      <c r="O51" s="94"/>
      <c r="P51" s="94"/>
    </row>
    <row r="52" spans="2:16" ht="18">
      <c r="B52" s="135" t="s">
        <v>121</v>
      </c>
      <c r="C52" s="94"/>
      <c r="D52" s="94"/>
      <c r="E52" s="94"/>
      <c r="F52" s="94"/>
      <c r="G52" s="94"/>
      <c r="H52" s="94"/>
      <c r="I52" s="94"/>
      <c r="J52" s="729"/>
      <c r="K52" s="407"/>
      <c r="L52" s="94"/>
      <c r="M52" s="94"/>
      <c r="N52" s="94"/>
      <c r="O52" s="94"/>
      <c r="P52" s="94"/>
    </row>
    <row r="53" spans="2:16" ht="18">
      <c r="B53" s="135" t="s">
        <v>122</v>
      </c>
      <c r="C53" s="94"/>
      <c r="D53" s="94"/>
      <c r="E53" s="94"/>
      <c r="F53" s="94"/>
      <c r="G53" s="94"/>
      <c r="H53" s="94"/>
      <c r="I53" s="94"/>
      <c r="J53" s="729"/>
      <c r="K53" s="407"/>
      <c r="L53" s="94"/>
      <c r="M53" s="94"/>
      <c r="N53" s="94"/>
      <c r="O53" s="94"/>
      <c r="P53" s="94"/>
    </row>
    <row r="54" spans="2:16" ht="18">
      <c r="B54" s="135" t="s">
        <v>123</v>
      </c>
      <c r="C54" s="94"/>
      <c r="D54" s="94"/>
      <c r="E54" s="94"/>
      <c r="F54" s="94"/>
      <c r="G54" s="94"/>
      <c r="H54" s="94"/>
      <c r="I54" s="94"/>
      <c r="J54" s="729"/>
      <c r="K54" s="407"/>
      <c r="L54" s="94"/>
      <c r="M54" s="94"/>
      <c r="N54" s="94"/>
      <c r="O54" s="94"/>
      <c r="P54" s="94"/>
    </row>
    <row r="55" spans="2:16" ht="18">
      <c r="B55" s="135" t="s">
        <v>124</v>
      </c>
      <c r="C55" s="94"/>
      <c r="D55" s="94"/>
      <c r="E55" s="94"/>
      <c r="F55" s="94"/>
      <c r="G55" s="94"/>
      <c r="H55" s="94"/>
      <c r="I55" s="94"/>
      <c r="J55" s="729"/>
      <c r="K55" s="407"/>
      <c r="L55" s="94"/>
      <c r="M55" s="94"/>
      <c r="N55" s="94"/>
      <c r="O55" s="94"/>
      <c r="P55" s="94"/>
    </row>
    <row r="56" spans="2:16" ht="25.5">
      <c r="B56" s="541" t="s">
        <v>167</v>
      </c>
      <c r="C56" s="99">
        <f>(C47+C48+D46)/C40</f>
        <v>0.8</v>
      </c>
      <c r="D56" s="99">
        <f t="shared" ref="D56:P56" si="63">(D47+D48+E46)/D40</f>
        <v>0.7999716553287981</v>
      </c>
      <c r="E56" s="99">
        <f t="shared" si="63"/>
        <v>0.8</v>
      </c>
      <c r="F56" s="99">
        <f t="shared" si="63"/>
        <v>0.79993004547044422</v>
      </c>
      <c r="G56" s="99">
        <f t="shared" si="63"/>
        <v>0.79995877422014572</v>
      </c>
      <c r="H56" s="99">
        <f t="shared" si="63"/>
        <v>0.79997338301836574</v>
      </c>
      <c r="I56" s="99">
        <f t="shared" si="63"/>
        <v>1</v>
      </c>
      <c r="J56" s="99">
        <f>(J47+J48+K46)/J40</f>
        <v>0.8</v>
      </c>
      <c r="K56" s="99">
        <f>(K47+K48+L46)/K40</f>
        <v>0</v>
      </c>
      <c r="L56" s="99" t="e">
        <f t="shared" si="63"/>
        <v>#DIV/0!</v>
      </c>
      <c r="M56" s="99" t="e">
        <f t="shared" si="63"/>
        <v>#DIV/0!</v>
      </c>
      <c r="N56" s="99" t="e">
        <f t="shared" si="63"/>
        <v>#DIV/0!</v>
      </c>
      <c r="O56" s="99" t="e">
        <f t="shared" si="63"/>
        <v>#DIV/0!</v>
      </c>
      <c r="P56" s="99" t="e">
        <f t="shared" si="63"/>
        <v>#DIV/0!</v>
      </c>
    </row>
    <row r="57" spans="2:16" ht="28.5">
      <c r="B57" s="540" t="s">
        <v>303</v>
      </c>
      <c r="C57" s="54">
        <f>AVERAGE(G56:I56)</f>
        <v>0.86664405241283715</v>
      </c>
      <c r="D57" s="54"/>
      <c r="E57" s="54"/>
      <c r="F57" s="54"/>
      <c r="G57" s="54"/>
      <c r="H57" s="54"/>
      <c r="I57" s="54"/>
      <c r="J57" s="54"/>
      <c r="K57" s="54"/>
      <c r="L57" s="54"/>
      <c r="M57" s="54"/>
      <c r="N57" s="54"/>
      <c r="O57" s="54"/>
      <c r="P57" s="54"/>
    </row>
    <row r="58" spans="2:16" ht="25.5">
      <c r="B58" s="541" t="s">
        <v>299</v>
      </c>
      <c r="C58" s="99">
        <f>+C44/C19</f>
        <v>5.5185294117647062E-2</v>
      </c>
      <c r="D58" s="99">
        <f>+D44/D19</f>
        <v>5.9313351498637604E-2</v>
      </c>
      <c r="E58" s="99">
        <f t="shared" ref="E58:H58" si="64">+E44/E19</f>
        <v>9.1189014539579963E-2</v>
      </c>
      <c r="F58" s="99">
        <f t="shared" si="64"/>
        <v>0.11193814432989692</v>
      </c>
      <c r="G58" s="99">
        <f t="shared" si="64"/>
        <v>5.510843373493976E-2</v>
      </c>
      <c r="H58" s="99">
        <f t="shared" si="64"/>
        <v>0.14045166115762298</v>
      </c>
      <c r="I58" s="99">
        <f>+I44/I19</f>
        <v>9.6951612903225806E-2</v>
      </c>
      <c r="J58" s="99">
        <f>+J44/J19</f>
        <v>9.5942720763723163E-2</v>
      </c>
      <c r="K58" s="99">
        <f t="shared" ref="K58:P58" si="65">+K44/K19</f>
        <v>6.1018181818181826E-2</v>
      </c>
      <c r="L58" s="99" t="e">
        <f t="shared" si="65"/>
        <v>#DIV/0!</v>
      </c>
      <c r="M58" s="99" t="e">
        <f t="shared" si="65"/>
        <v>#DIV/0!</v>
      </c>
      <c r="N58" s="99" t="e">
        <f t="shared" si="65"/>
        <v>#DIV/0!</v>
      </c>
      <c r="O58" s="99" t="e">
        <f t="shared" si="65"/>
        <v>#DIV/0!</v>
      </c>
      <c r="P58" s="99" t="e">
        <f t="shared" si="65"/>
        <v>#DIV/0!</v>
      </c>
    </row>
    <row r="59" spans="2:16" ht="25.5">
      <c r="B59" s="542" t="s">
        <v>305</v>
      </c>
      <c r="C59" s="534">
        <f>AVERAGE(G58:I58)</f>
        <v>9.750390259859619E-2</v>
      </c>
      <c r="D59" s="534"/>
      <c r="E59" s="534"/>
      <c r="F59" s="534"/>
      <c r="G59" s="534"/>
      <c r="H59" s="534"/>
      <c r="I59" s="534"/>
      <c r="J59" s="534"/>
      <c r="K59" s="534"/>
      <c r="L59" s="534"/>
      <c r="M59" s="534"/>
      <c r="N59" s="534"/>
      <c r="O59" s="534"/>
      <c r="P59" s="534"/>
    </row>
    <row r="60" spans="2:16" ht="25.5">
      <c r="B60" s="543" t="s">
        <v>176</v>
      </c>
      <c r="C60" s="355">
        <f t="shared" ref="C60:I60" si="66">+C41*(100%-C56)</f>
        <v>5.4584979726671409E-2</v>
      </c>
      <c r="D60" s="355">
        <f t="shared" si="66"/>
        <v>6.404623819015029E-2</v>
      </c>
      <c r="E60" s="355">
        <f t="shared" si="66"/>
        <v>4.8671715963334403E-2</v>
      </c>
      <c r="F60" s="355">
        <f t="shared" si="66"/>
        <v>2.6499173584904886E-2</v>
      </c>
      <c r="G60" s="355">
        <f t="shared" si="66"/>
        <v>5.7692706021431651E-2</v>
      </c>
      <c r="H60" s="355">
        <f t="shared" si="66"/>
        <v>6.5098346358376719E-2</v>
      </c>
      <c r="I60" s="355">
        <f t="shared" si="66"/>
        <v>0</v>
      </c>
      <c r="J60" s="355">
        <f t="shared" ref="J60" si="67">+J41*(100%-J56)</f>
        <v>6.7454593868620794E-2</v>
      </c>
      <c r="K60" s="355">
        <f t="shared" ref="K60:P60" si="68">+K41*(100%-K56)</f>
        <v>0.20841716723566758</v>
      </c>
      <c r="L60" s="355" t="e">
        <f t="shared" si="68"/>
        <v>#DIV/0!</v>
      </c>
      <c r="M60" s="355" t="e">
        <f t="shared" si="68"/>
        <v>#DIV/0!</v>
      </c>
      <c r="N60" s="355" t="e">
        <f t="shared" si="68"/>
        <v>#DIV/0!</v>
      </c>
      <c r="O60" s="355" t="e">
        <f t="shared" si="68"/>
        <v>#DIV/0!</v>
      </c>
      <c r="P60" s="355" t="e">
        <f t="shared" si="68"/>
        <v>#DIV/0!</v>
      </c>
    </row>
    <row r="61" spans="2:16" ht="25.5">
      <c r="B61" s="542" t="s">
        <v>306</v>
      </c>
      <c r="C61" s="534">
        <f>AVERAGE(G60:I60)</f>
        <v>4.0930350793269454E-2</v>
      </c>
      <c r="D61" s="534"/>
      <c r="E61" s="534"/>
      <c r="F61" s="534"/>
      <c r="G61" s="534"/>
      <c r="H61" s="534"/>
      <c r="I61" s="534"/>
      <c r="J61" s="535"/>
      <c r="K61" s="534"/>
      <c r="L61" s="534"/>
      <c r="M61" s="534"/>
      <c r="N61" s="534"/>
    </row>
    <row r="62" spans="2:16" ht="25.5">
      <c r="B62" s="543" t="s">
        <v>300</v>
      </c>
      <c r="C62" s="785">
        <f ca="1">B3</f>
        <v>1004.3</v>
      </c>
    </row>
    <row r="63" spans="2:16" ht="25.5">
      <c r="B63" s="543"/>
      <c r="C63" s="785"/>
    </row>
    <row r="64" spans="2:16">
      <c r="B64" s="75" t="s">
        <v>307</v>
      </c>
    </row>
    <row r="65" spans="2:16" ht="14.65" thickBot="1"/>
    <row r="66" spans="2:16" ht="14.65" thickBot="1">
      <c r="B66" s="82" t="s">
        <v>385</v>
      </c>
      <c r="C66" s="88">
        <v>2017</v>
      </c>
      <c r="D66" s="88">
        <v>2018</v>
      </c>
      <c r="E66" s="88">
        <v>2019</v>
      </c>
      <c r="F66" s="88">
        <v>2020</v>
      </c>
      <c r="G66" s="88">
        <v>2021</v>
      </c>
      <c r="H66" s="88">
        <v>2022</v>
      </c>
      <c r="I66" s="88">
        <v>2023</v>
      </c>
      <c r="J66" s="89">
        <v>2024</v>
      </c>
      <c r="K66" s="103">
        <v>2025</v>
      </c>
      <c r="L66" s="88">
        <v>2026</v>
      </c>
      <c r="M66" s="88">
        <v>2027</v>
      </c>
      <c r="N66" s="88">
        <v>2028</v>
      </c>
      <c r="O66" s="88">
        <v>2029</v>
      </c>
      <c r="P66" s="88">
        <v>2030</v>
      </c>
    </row>
    <row r="67" spans="2:16" ht="15">
      <c r="B67" s="57" t="s">
        <v>309</v>
      </c>
      <c r="C67" s="62"/>
      <c r="D67" s="62"/>
      <c r="E67" s="62"/>
      <c r="F67" s="62"/>
      <c r="G67" s="62"/>
      <c r="H67" s="62"/>
      <c r="I67" s="62"/>
      <c r="J67" s="63"/>
      <c r="K67" s="104"/>
      <c r="L67" s="62"/>
      <c r="M67" s="62"/>
      <c r="N67" s="62"/>
      <c r="O67" s="62"/>
      <c r="P67" s="62"/>
    </row>
    <row r="68" spans="2:16" ht="15">
      <c r="B68" s="58" t="s">
        <v>310</v>
      </c>
      <c r="C68" s="64">
        <v>15059566000</v>
      </c>
      <c r="D68" s="64">
        <v>20783707000</v>
      </c>
      <c r="E68" s="64">
        <v>22534981000</v>
      </c>
      <c r="F68" s="69">
        <v>28297079000</v>
      </c>
      <c r="G68" s="65">
        <v>41532244000</v>
      </c>
      <c r="H68" s="65">
        <v>49516031000</v>
      </c>
      <c r="I68" s="65">
        <v>56698864000</v>
      </c>
      <c r="J68" s="65">
        <v>53670043000</v>
      </c>
      <c r="K68" s="65">
        <v>57949989000</v>
      </c>
      <c r="L68" s="65"/>
      <c r="M68" s="65"/>
      <c r="N68" s="65"/>
      <c r="O68" s="65"/>
      <c r="P68" s="65"/>
    </row>
    <row r="69" spans="2:16" ht="15">
      <c r="B69" s="59" t="s">
        <v>311</v>
      </c>
      <c r="C69" s="66">
        <v>7555373000</v>
      </c>
      <c r="D69" s="66">
        <v>12008462000</v>
      </c>
      <c r="E69" s="66">
        <v>14270878000</v>
      </c>
      <c r="F69" s="66">
        <v>17261566000</v>
      </c>
      <c r="G69" s="66">
        <v>34839025000</v>
      </c>
      <c r="H69" s="66">
        <v>42229198000</v>
      </c>
      <c r="I69" s="66">
        <v>47476853000</v>
      </c>
      <c r="J69" s="67">
        <v>44007120000</v>
      </c>
      <c r="K69" s="67">
        <v>47772178000</v>
      </c>
      <c r="L69" s="66"/>
      <c r="M69" s="66"/>
      <c r="N69" s="66"/>
      <c r="O69" s="66"/>
      <c r="P69" s="66"/>
    </row>
    <row r="70" spans="2:16" ht="15">
      <c r="B70" s="59" t="s">
        <v>313</v>
      </c>
      <c r="C70" s="68">
        <v>4576128000</v>
      </c>
      <c r="D70" s="66">
        <v>6194136000</v>
      </c>
      <c r="E70" s="66">
        <v>5687343000</v>
      </c>
      <c r="F70" s="66">
        <v>9275387000</v>
      </c>
      <c r="G70" s="67">
        <v>4902522000</v>
      </c>
      <c r="H70" s="67">
        <v>5048380000</v>
      </c>
      <c r="I70" s="67">
        <v>6473341000</v>
      </c>
      <c r="J70" s="67">
        <v>7000366000</v>
      </c>
      <c r="K70" s="67">
        <v>7392257000</v>
      </c>
      <c r="L70" s="67"/>
      <c r="M70" s="67"/>
      <c r="N70" s="67"/>
      <c r="O70" s="67"/>
      <c r="P70" s="67"/>
    </row>
    <row r="71" spans="2:16" ht="15">
      <c r="B71" s="59" t="s">
        <v>698</v>
      </c>
      <c r="C71" s="66">
        <v>1740065000</v>
      </c>
      <c r="D71" s="66">
        <v>243592000</v>
      </c>
      <c r="E71" s="66">
        <v>267293000</v>
      </c>
      <c r="F71" s="66">
        <v>260495000</v>
      </c>
      <c r="G71" s="67">
        <v>291740000</v>
      </c>
      <c r="H71" s="67">
        <v>327030000</v>
      </c>
      <c r="I71" s="67">
        <v>395301000</v>
      </c>
      <c r="J71" s="67">
        <v>428729000</v>
      </c>
      <c r="K71" s="67">
        <v>475701000</v>
      </c>
      <c r="L71" s="67"/>
      <c r="M71" s="67"/>
      <c r="N71" s="67"/>
      <c r="O71" s="67"/>
      <c r="P71" s="67"/>
    </row>
    <row r="72" spans="2:16" ht="15">
      <c r="B72" s="59" t="s">
        <v>318</v>
      </c>
      <c r="C72" s="66">
        <f t="shared" ref="C72:I72" si="69">+C68-C69-C70-C71</f>
        <v>1188000000</v>
      </c>
      <c r="D72" s="66">
        <f t="shared" si="69"/>
        <v>2337517000</v>
      </c>
      <c r="E72" s="66">
        <f t="shared" si="69"/>
        <v>2309467000</v>
      </c>
      <c r="F72" s="66">
        <f t="shared" si="69"/>
        <v>1499631000</v>
      </c>
      <c r="G72" s="66">
        <f t="shared" si="69"/>
        <v>1498957000</v>
      </c>
      <c r="H72" s="66">
        <f t="shared" si="69"/>
        <v>1911423000</v>
      </c>
      <c r="I72" s="66">
        <f t="shared" si="69"/>
        <v>2353369000</v>
      </c>
      <c r="J72" s="67">
        <v>2233828000</v>
      </c>
      <c r="K72" s="67">
        <f t="shared" ref="K72:P72" si="70">+K68-K69-K70-K71</f>
        <v>2309853000</v>
      </c>
      <c r="L72" s="66">
        <f t="shared" si="70"/>
        <v>0</v>
      </c>
      <c r="M72" s="66">
        <f t="shared" si="70"/>
        <v>0</v>
      </c>
      <c r="N72" s="66">
        <f t="shared" si="70"/>
        <v>0</v>
      </c>
      <c r="O72" s="66">
        <f t="shared" si="70"/>
        <v>0</v>
      </c>
      <c r="P72" s="66">
        <f t="shared" si="70"/>
        <v>0</v>
      </c>
    </row>
    <row r="73" spans="2:16" ht="15">
      <c r="B73" s="58" t="s">
        <v>319</v>
      </c>
      <c r="C73" s="64">
        <v>94042364000</v>
      </c>
      <c r="D73" s="64">
        <v>93758818000</v>
      </c>
      <c r="E73" s="64">
        <v>92597662000</v>
      </c>
      <c r="F73" s="69">
        <v>89594355000</v>
      </c>
      <c r="G73" s="65">
        <v>85011403000</v>
      </c>
      <c r="H73" s="65">
        <v>81917817000</v>
      </c>
      <c r="I73" s="65">
        <v>80999465000</v>
      </c>
      <c r="J73" s="65">
        <v>82126361000</v>
      </c>
      <c r="K73" s="65">
        <v>81494895000</v>
      </c>
      <c r="L73" s="65"/>
      <c r="M73" s="65"/>
      <c r="N73" s="65"/>
      <c r="O73" s="65"/>
      <c r="P73" s="65"/>
    </row>
    <row r="74" spans="2:16" ht="15">
      <c r="B74" s="59" t="s">
        <v>393</v>
      </c>
      <c r="C74" s="66">
        <v>2979069000</v>
      </c>
      <c r="D74" s="66">
        <v>2807563000</v>
      </c>
      <c r="E74" s="66">
        <v>2668286000</v>
      </c>
      <c r="F74" s="66">
        <v>3001351000</v>
      </c>
      <c r="G74" s="67">
        <v>2415516000</v>
      </c>
      <c r="H74" s="67">
        <v>2451432000</v>
      </c>
      <c r="I74" s="67">
        <v>2378230000</v>
      </c>
      <c r="J74" s="67">
        <v>3041137000</v>
      </c>
      <c r="K74" s="67">
        <v>3105603000</v>
      </c>
      <c r="L74" s="67"/>
      <c r="M74" s="67"/>
      <c r="N74" s="67"/>
      <c r="O74" s="67"/>
      <c r="P74" s="67"/>
    </row>
    <row r="75" spans="2:16" ht="15">
      <c r="B75" s="59" t="s">
        <v>394</v>
      </c>
      <c r="C75" s="66">
        <v>5223049000</v>
      </c>
      <c r="D75" s="66">
        <v>5024301000</v>
      </c>
      <c r="E75" s="66">
        <v>4707938000</v>
      </c>
      <c r="F75" s="66">
        <v>4727562000</v>
      </c>
      <c r="G75" s="67">
        <v>4747306000</v>
      </c>
      <c r="H75" s="67">
        <v>4886740000</v>
      </c>
      <c r="I75" s="67">
        <v>4797610000</v>
      </c>
      <c r="J75" s="67">
        <v>5075965000</v>
      </c>
      <c r="K75" s="67">
        <v>5117006000</v>
      </c>
      <c r="L75" s="67"/>
      <c r="M75" s="67"/>
      <c r="N75" s="67"/>
      <c r="O75" s="67"/>
      <c r="P75" s="67"/>
    </row>
    <row r="76" spans="2:16" ht="15">
      <c r="B76" s="59" t="s">
        <v>664</v>
      </c>
      <c r="C76" s="66">
        <v>2717635000</v>
      </c>
      <c r="D76" s="66">
        <v>2679640000</v>
      </c>
      <c r="E76" s="66">
        <v>2541323000</v>
      </c>
      <c r="F76" s="66">
        <v>2269931000</v>
      </c>
      <c r="G76" s="67">
        <v>1769276000</v>
      </c>
      <c r="H76" s="67">
        <v>1264757000</v>
      </c>
      <c r="I76" s="67">
        <v>762866000</v>
      </c>
      <c r="J76" s="67">
        <v>460874000</v>
      </c>
      <c r="K76" s="67">
        <v>340257000</v>
      </c>
      <c r="L76" s="67"/>
      <c r="M76" s="67"/>
      <c r="N76" s="67"/>
      <c r="O76" s="67"/>
      <c r="P76" s="67"/>
    </row>
    <row r="77" spans="2:16" ht="15">
      <c r="B77" s="59" t="s">
        <v>398</v>
      </c>
      <c r="C77" s="66">
        <v>9900891000</v>
      </c>
      <c r="D77" s="66">
        <v>8877219000</v>
      </c>
      <c r="E77" s="66">
        <v>8137155000</v>
      </c>
      <c r="F77" s="68">
        <v>8842115000</v>
      </c>
      <c r="G77" s="67">
        <v>7776996000</v>
      </c>
      <c r="H77" s="67">
        <v>6765517000</v>
      </c>
      <c r="I77" s="67">
        <v>6178678000</v>
      </c>
      <c r="J77" s="67">
        <v>5683136000</v>
      </c>
      <c r="K77" s="67">
        <v>5196616000</v>
      </c>
      <c r="L77" s="67"/>
      <c r="M77" s="67"/>
      <c r="N77" s="67"/>
      <c r="O77" s="67"/>
      <c r="P77" s="67"/>
    </row>
    <row r="78" spans="2:16" ht="15">
      <c r="B78" s="59" t="s">
        <v>399</v>
      </c>
      <c r="C78" s="66">
        <v>73221720000</v>
      </c>
      <c r="D78" s="66">
        <v>74370095000</v>
      </c>
      <c r="E78" s="66">
        <v>74542960000</v>
      </c>
      <c r="F78" s="66">
        <v>70753396000</v>
      </c>
      <c r="G78" s="132">
        <v>68302309000</v>
      </c>
      <c r="H78" s="132">
        <v>66549371000</v>
      </c>
      <c r="I78" s="132">
        <v>66882081000</v>
      </c>
      <c r="J78" s="67">
        <v>67865249000</v>
      </c>
      <c r="K78" s="67">
        <v>67735413000</v>
      </c>
      <c r="L78" s="132"/>
      <c r="M78" s="132"/>
      <c r="N78" s="132"/>
      <c r="O78" s="132"/>
      <c r="P78" s="132"/>
    </row>
    <row r="79" spans="2:16" ht="15">
      <c r="B79" s="59" t="s">
        <v>328</v>
      </c>
      <c r="C79" s="66">
        <f t="shared" ref="C79:G79" si="71">+C73-C76-C77-C75-C74-C78</f>
        <v>0</v>
      </c>
      <c r="D79" s="66">
        <f t="shared" si="71"/>
        <v>0</v>
      </c>
      <c r="E79" s="66">
        <f t="shared" si="71"/>
        <v>0</v>
      </c>
      <c r="F79" s="66">
        <f t="shared" si="71"/>
        <v>0</v>
      </c>
      <c r="G79" s="66">
        <f t="shared" si="71"/>
        <v>0</v>
      </c>
      <c r="H79" s="66">
        <f>+H73-H76-H77-H75-H74-H78</f>
        <v>0</v>
      </c>
      <c r="I79" s="66">
        <f t="shared" ref="I79:J79" si="72">+I73-I76-I77-I75-I74-I78</f>
        <v>0</v>
      </c>
      <c r="J79" s="67">
        <f t="shared" si="72"/>
        <v>0</v>
      </c>
      <c r="K79" s="67">
        <f t="shared" ref="K79:P79" si="73">+K73-K76-K77-K75-K74-K78</f>
        <v>0</v>
      </c>
      <c r="L79" s="66">
        <f t="shared" si="73"/>
        <v>0</v>
      </c>
      <c r="M79" s="66">
        <f t="shared" si="73"/>
        <v>0</v>
      </c>
      <c r="N79" s="66">
        <f t="shared" si="73"/>
        <v>0</v>
      </c>
      <c r="O79" s="66">
        <f t="shared" si="73"/>
        <v>0</v>
      </c>
      <c r="P79" s="66">
        <f t="shared" si="73"/>
        <v>0</v>
      </c>
    </row>
    <row r="80" spans="2:16" ht="15">
      <c r="B80" s="60" t="s">
        <v>329</v>
      </c>
      <c r="C80" s="70">
        <f t="shared" ref="C80:I80" si="74">+C73+C68</f>
        <v>109101930000</v>
      </c>
      <c r="D80" s="70">
        <f t="shared" si="74"/>
        <v>114542525000</v>
      </c>
      <c r="E80" s="70">
        <f t="shared" si="74"/>
        <v>115132643000</v>
      </c>
      <c r="F80" s="70">
        <f t="shared" si="74"/>
        <v>117891434000</v>
      </c>
      <c r="G80" s="70">
        <f t="shared" si="74"/>
        <v>126543647000</v>
      </c>
      <c r="H80" s="70">
        <f t="shared" si="74"/>
        <v>131433848000</v>
      </c>
      <c r="I80" s="70">
        <f t="shared" si="74"/>
        <v>137698329000</v>
      </c>
      <c r="J80" s="71">
        <f t="shared" ref="J80:P80" si="75">+J73+J68</f>
        <v>135796404000</v>
      </c>
      <c r="K80" s="71">
        <f t="shared" si="75"/>
        <v>139444884000</v>
      </c>
      <c r="L80" s="70">
        <f t="shared" si="75"/>
        <v>0</v>
      </c>
      <c r="M80" s="70">
        <f t="shared" si="75"/>
        <v>0</v>
      </c>
      <c r="N80" s="70">
        <f t="shared" si="75"/>
        <v>0</v>
      </c>
      <c r="O80" s="70">
        <f t="shared" si="75"/>
        <v>0</v>
      </c>
      <c r="P80" s="70">
        <f t="shared" si="75"/>
        <v>0</v>
      </c>
    </row>
    <row r="81" spans="2:16" ht="15">
      <c r="B81" s="61"/>
      <c r="C81" s="72"/>
      <c r="D81" s="72"/>
      <c r="E81" s="72"/>
      <c r="F81" s="72"/>
      <c r="G81" s="72"/>
      <c r="H81" s="72"/>
      <c r="I81" s="72"/>
      <c r="J81" s="73"/>
      <c r="K81" s="73"/>
      <c r="L81" s="72"/>
      <c r="M81" s="72"/>
      <c r="N81" s="72"/>
      <c r="O81" s="72"/>
      <c r="P81" s="72"/>
    </row>
    <row r="82" spans="2:16" ht="15">
      <c r="B82" s="57" t="s">
        <v>330</v>
      </c>
      <c r="C82" s="62"/>
      <c r="D82" s="62"/>
      <c r="E82" s="62"/>
      <c r="F82" s="62"/>
      <c r="G82" s="62"/>
      <c r="H82" s="62"/>
      <c r="I82" s="62"/>
      <c r="J82" s="63"/>
      <c r="K82" s="63"/>
      <c r="L82" s="62"/>
      <c r="M82" s="62"/>
      <c r="N82" s="62"/>
      <c r="O82" s="62"/>
      <c r="P82" s="62"/>
    </row>
    <row r="83" spans="2:16" ht="15">
      <c r="B83" s="58" t="s">
        <v>310</v>
      </c>
      <c r="C83" s="64">
        <v>20116262000</v>
      </c>
      <c r="D83" s="64">
        <v>20619488000</v>
      </c>
      <c r="E83" s="64">
        <v>21115546000</v>
      </c>
      <c r="F83" s="64">
        <v>18254773000</v>
      </c>
      <c r="G83" s="64">
        <v>22887718000</v>
      </c>
      <c r="H83" s="64">
        <v>32215722000</v>
      </c>
      <c r="I83" s="64">
        <v>34925435000</v>
      </c>
      <c r="J83" s="65">
        <v>35967358000</v>
      </c>
      <c r="K83" s="65">
        <v>29714023000</v>
      </c>
      <c r="L83" s="64"/>
      <c r="M83" s="64"/>
      <c r="N83" s="64"/>
      <c r="O83" s="64"/>
      <c r="P83" s="64"/>
    </row>
    <row r="84" spans="2:16" ht="15">
      <c r="B84" s="59" t="s">
        <v>700</v>
      </c>
      <c r="C84" s="66">
        <v>9566975000</v>
      </c>
      <c r="D84" s="66">
        <v>8870474000</v>
      </c>
      <c r="E84" s="66">
        <v>10372461000</v>
      </c>
      <c r="F84" s="66">
        <v>8415367000</v>
      </c>
      <c r="G84" s="66">
        <v>9733331000</v>
      </c>
      <c r="H84" s="66">
        <v>10778934000</v>
      </c>
      <c r="I84" s="66">
        <v>11302852000</v>
      </c>
      <c r="J84" s="67">
        <v>11181610000</v>
      </c>
      <c r="K84" s="67">
        <v>21231234000</v>
      </c>
      <c r="L84" s="66"/>
      <c r="M84" s="66"/>
      <c r="N84" s="66"/>
      <c r="O84" s="66"/>
      <c r="P84" s="66"/>
    </row>
    <row r="85" spans="2:16" ht="15">
      <c r="B85" s="59" t="s">
        <v>495</v>
      </c>
      <c r="C85" s="66">
        <v>592697000</v>
      </c>
      <c r="D85" s="66">
        <v>566759000</v>
      </c>
      <c r="E85" s="66">
        <v>387063000</v>
      </c>
      <c r="F85" s="66">
        <v>341349000</v>
      </c>
      <c r="G85" s="66">
        <v>646354000</v>
      </c>
      <c r="H85" s="66">
        <v>899904000</v>
      </c>
      <c r="I85" s="66">
        <v>844703000</v>
      </c>
      <c r="J85" s="67">
        <v>866087000</v>
      </c>
      <c r="K85" s="67">
        <v>387935000</v>
      </c>
      <c r="L85" s="66"/>
      <c r="M85" s="66"/>
      <c r="N85" s="66"/>
      <c r="O85" s="66"/>
      <c r="P85" s="66"/>
    </row>
    <row r="86" spans="2:16" ht="15">
      <c r="B86" s="59" t="s">
        <v>703</v>
      </c>
      <c r="C86" s="66">
        <v>9956590000</v>
      </c>
      <c r="D86" s="66">
        <v>11182255000</v>
      </c>
      <c r="E86" s="66">
        <v>10356022000</v>
      </c>
      <c r="F86" s="66">
        <v>9498057000</v>
      </c>
      <c r="G86" s="66">
        <v>12508033000</v>
      </c>
      <c r="H86" s="66">
        <v>20536884000</v>
      </c>
      <c r="I86" s="66">
        <v>22777880000</v>
      </c>
      <c r="J86" s="67">
        <v>23919661000</v>
      </c>
      <c r="K86" s="67">
        <v>8094854000</v>
      </c>
      <c r="L86" s="66"/>
      <c r="M86" s="66"/>
      <c r="N86" s="66"/>
      <c r="O86" s="66"/>
      <c r="P86" s="66"/>
    </row>
    <row r="87" spans="2:16" ht="15">
      <c r="B87" s="59" t="s">
        <v>410</v>
      </c>
      <c r="C87" s="66">
        <f t="shared" ref="C87:F87" si="76">+C83-C84-C85-C86</f>
        <v>0</v>
      </c>
      <c r="D87" s="66">
        <f t="shared" si="76"/>
        <v>0</v>
      </c>
      <c r="E87" s="66">
        <f t="shared" si="76"/>
        <v>0</v>
      </c>
      <c r="F87" s="66">
        <f t="shared" si="76"/>
        <v>0</v>
      </c>
      <c r="G87" s="66">
        <f>+G83-G84-G85-G86</f>
        <v>0</v>
      </c>
      <c r="H87" s="66">
        <f>+H83-H84-H85-H86</f>
        <v>0</v>
      </c>
      <c r="I87" s="66">
        <f t="shared" ref="I87:P87" si="77">+I83-I84-I85-I86</f>
        <v>0</v>
      </c>
      <c r="J87" s="67">
        <f>+J83-J84-J85-J86</f>
        <v>0</v>
      </c>
      <c r="K87" s="67">
        <f t="shared" si="77"/>
        <v>0</v>
      </c>
      <c r="L87" s="66">
        <f t="shared" si="77"/>
        <v>0</v>
      </c>
      <c r="M87" s="66">
        <f t="shared" si="77"/>
        <v>0</v>
      </c>
      <c r="N87" s="66">
        <f t="shared" si="77"/>
        <v>0</v>
      </c>
      <c r="O87" s="66">
        <f t="shared" si="77"/>
        <v>0</v>
      </c>
      <c r="P87" s="66">
        <f t="shared" si="77"/>
        <v>0</v>
      </c>
    </row>
    <row r="88" spans="2:16" ht="15">
      <c r="B88" s="58" t="s">
        <v>319</v>
      </c>
      <c r="C88" s="64">
        <v>45393665000</v>
      </c>
      <c r="D88" s="64">
        <v>45318079000</v>
      </c>
      <c r="E88" s="64">
        <v>44811168000</v>
      </c>
      <c r="F88" s="64">
        <v>52030622000</v>
      </c>
      <c r="G88" s="64">
        <v>48004390000</v>
      </c>
      <c r="H88" s="64">
        <v>48294551000</v>
      </c>
      <c r="I88" s="64">
        <v>48166087000</v>
      </c>
      <c r="J88" s="65">
        <v>44961456000</v>
      </c>
      <c r="K88" s="65">
        <v>40172685000</v>
      </c>
      <c r="L88" s="64"/>
      <c r="M88" s="64"/>
      <c r="N88" s="64"/>
      <c r="O88" s="64"/>
      <c r="P88" s="64"/>
    </row>
    <row r="89" spans="2:16" ht="15">
      <c r="B89" s="59" t="s">
        <v>863</v>
      </c>
      <c r="C89" s="66">
        <v>4349875000</v>
      </c>
      <c r="D89" s="66">
        <v>4873415000</v>
      </c>
      <c r="E89" s="66">
        <v>5481409000</v>
      </c>
      <c r="F89" s="66">
        <v>8033805000</v>
      </c>
      <c r="G89" s="66">
        <v>8833726000</v>
      </c>
      <c r="H89" s="66">
        <v>11212673000</v>
      </c>
      <c r="I89" s="66">
        <v>11634310000</v>
      </c>
      <c r="J89" s="67">
        <v>12151575000</v>
      </c>
      <c r="K89" s="67">
        <v>12424136000</v>
      </c>
      <c r="L89" s="66"/>
      <c r="M89" s="66"/>
      <c r="N89" s="66"/>
      <c r="O89" s="66"/>
      <c r="P89" s="66"/>
    </row>
    <row r="90" spans="2:16" ht="15">
      <c r="B90" s="59" t="s">
        <v>529</v>
      </c>
      <c r="C90" s="66">
        <v>793398000</v>
      </c>
      <c r="D90" s="66">
        <v>631160000</v>
      </c>
      <c r="E90" s="66">
        <v>626329000</v>
      </c>
      <c r="F90" s="66">
        <v>700474000</v>
      </c>
      <c r="G90" s="66">
        <v>937300000</v>
      </c>
      <c r="H90" s="66">
        <v>1228491000</v>
      </c>
      <c r="I90" s="66">
        <v>1366413000</v>
      </c>
      <c r="J90" s="67">
        <v>973733000</v>
      </c>
      <c r="K90" s="67">
        <v>850366000</v>
      </c>
      <c r="L90" s="66"/>
      <c r="M90" s="66"/>
      <c r="N90" s="66"/>
      <c r="O90" s="66"/>
      <c r="P90" s="66"/>
    </row>
    <row r="91" spans="2:16" ht="15">
      <c r="B91" s="59" t="s">
        <v>864</v>
      </c>
      <c r="C91" s="66">
        <v>40250392000</v>
      </c>
      <c r="D91" s="66">
        <v>39813504000</v>
      </c>
      <c r="E91" s="66">
        <v>38703430000</v>
      </c>
      <c r="F91" s="66">
        <v>43296343000</v>
      </c>
      <c r="G91" s="66">
        <v>38233364000</v>
      </c>
      <c r="H91" s="66">
        <v>35853387000</v>
      </c>
      <c r="I91" s="66">
        <v>35165364000</v>
      </c>
      <c r="J91" s="67">
        <v>31836148000</v>
      </c>
      <c r="K91" s="67">
        <v>26898183000</v>
      </c>
      <c r="L91" s="66"/>
      <c r="M91" s="66"/>
      <c r="N91" s="66"/>
      <c r="O91" s="66"/>
      <c r="P91" s="66"/>
    </row>
    <row r="92" spans="2:16" ht="15">
      <c r="B92" s="59" t="s">
        <v>341</v>
      </c>
      <c r="C92" s="66">
        <f t="shared" ref="C92:I92" si="78">+C88-C89-C90-C91</f>
        <v>0</v>
      </c>
      <c r="D92" s="66">
        <f t="shared" si="78"/>
        <v>0</v>
      </c>
      <c r="E92" s="66">
        <f t="shared" si="78"/>
        <v>0</v>
      </c>
      <c r="F92" s="66">
        <f t="shared" si="78"/>
        <v>0</v>
      </c>
      <c r="G92" s="66">
        <f t="shared" si="78"/>
        <v>0</v>
      </c>
      <c r="H92" s="66">
        <f t="shared" si="78"/>
        <v>0</v>
      </c>
      <c r="I92" s="66">
        <f t="shared" si="78"/>
        <v>0</v>
      </c>
      <c r="J92" s="67">
        <f t="shared" ref="J92:P92" si="79">+J88-J89-J90-J91</f>
        <v>0</v>
      </c>
      <c r="K92" s="67">
        <f t="shared" si="79"/>
        <v>0</v>
      </c>
      <c r="L92" s="66">
        <f t="shared" si="79"/>
        <v>0</v>
      </c>
      <c r="M92" s="66">
        <f t="shared" si="79"/>
        <v>0</v>
      </c>
      <c r="N92" s="66">
        <f t="shared" si="79"/>
        <v>0</v>
      </c>
      <c r="O92" s="66">
        <f t="shared" si="79"/>
        <v>0</v>
      </c>
      <c r="P92" s="66">
        <f t="shared" si="79"/>
        <v>0</v>
      </c>
    </row>
    <row r="93" spans="2:16" ht="15">
      <c r="B93" s="60" t="s">
        <v>342</v>
      </c>
      <c r="C93" s="70">
        <f t="shared" ref="C93:K93" si="80">+C88+C83</f>
        <v>65509927000</v>
      </c>
      <c r="D93" s="70">
        <f t="shared" si="80"/>
        <v>65937567000</v>
      </c>
      <c r="E93" s="70">
        <f t="shared" si="80"/>
        <v>65926714000</v>
      </c>
      <c r="F93" s="70">
        <f t="shared" si="80"/>
        <v>70285395000</v>
      </c>
      <c r="G93" s="70">
        <f t="shared" si="80"/>
        <v>70892108000</v>
      </c>
      <c r="H93" s="70">
        <f t="shared" si="80"/>
        <v>80510273000</v>
      </c>
      <c r="I93" s="70">
        <f t="shared" si="80"/>
        <v>83091522000</v>
      </c>
      <c r="J93" s="70">
        <f>+J88+J83</f>
        <v>80928814000</v>
      </c>
      <c r="K93" s="70">
        <f>+K88+K83</f>
        <v>69886708000</v>
      </c>
      <c r="L93" s="70"/>
      <c r="M93" s="70"/>
      <c r="N93" s="70"/>
      <c r="O93" s="70"/>
      <c r="P93" s="70"/>
    </row>
    <row r="94" spans="2:16" ht="15">
      <c r="K94" s="414"/>
    </row>
    <row r="95" spans="2:16" ht="15">
      <c r="B95" s="57" t="s">
        <v>343</v>
      </c>
      <c r="C95" s="62"/>
      <c r="D95" s="62"/>
      <c r="E95" s="62"/>
      <c r="F95" s="62"/>
      <c r="G95" s="62"/>
      <c r="H95" s="62"/>
      <c r="I95" s="62"/>
      <c r="J95" s="63"/>
      <c r="K95" s="63"/>
      <c r="L95" s="62"/>
      <c r="M95" s="62"/>
      <c r="N95" s="62"/>
      <c r="O95" s="62"/>
      <c r="P95" s="62"/>
    </row>
    <row r="96" spans="2:16" ht="15">
      <c r="B96" s="59" t="s">
        <v>344</v>
      </c>
      <c r="C96" s="66">
        <v>9901735000</v>
      </c>
      <c r="D96" s="66">
        <v>9901735000</v>
      </c>
      <c r="E96" s="66">
        <v>9901735000</v>
      </c>
      <c r="F96" s="66">
        <v>9901735000</v>
      </c>
      <c r="G96" s="66">
        <v>9901735000</v>
      </c>
      <c r="H96" s="66">
        <v>9901735000</v>
      </c>
      <c r="I96" s="66">
        <v>9901735000</v>
      </c>
      <c r="J96" s="67">
        <v>9901735000</v>
      </c>
      <c r="K96" s="67">
        <v>9901735000</v>
      </c>
      <c r="L96" s="66"/>
      <c r="M96" s="66"/>
      <c r="N96" s="66"/>
      <c r="O96" s="66"/>
      <c r="P96" s="66"/>
    </row>
    <row r="97" spans="2:16" ht="15">
      <c r="B97" s="59" t="s">
        <v>345</v>
      </c>
      <c r="C97" s="66">
        <v>233102000</v>
      </c>
      <c r="D97" s="66">
        <v>233102000</v>
      </c>
      <c r="E97" s="66">
        <v>233102000</v>
      </c>
      <c r="F97" s="66">
        <v>206714000</v>
      </c>
      <c r="G97" s="66">
        <v>169801000</v>
      </c>
      <c r="H97" s="66">
        <v>152303000</v>
      </c>
      <c r="I97" s="66">
        <v>288629000</v>
      </c>
      <c r="J97" s="67">
        <v>395246000</v>
      </c>
      <c r="K97" s="67">
        <v>588714000</v>
      </c>
      <c r="L97" s="66"/>
      <c r="M97" s="66"/>
      <c r="N97" s="66"/>
      <c r="O97" s="66"/>
      <c r="P97" s="66"/>
    </row>
    <row r="98" spans="2:16" ht="15">
      <c r="B98" s="59" t="s">
        <v>346</v>
      </c>
      <c r="C98" s="66">
        <v>33457166000</v>
      </c>
      <c r="D98" s="66">
        <v>38470121000</v>
      </c>
      <c r="E98" s="68">
        <v>39071092000</v>
      </c>
      <c r="F98" s="66">
        <v>37497590000</v>
      </c>
      <c r="G98" s="66">
        <v>45580003000</v>
      </c>
      <c r="H98" s="66">
        <v>40869537000</v>
      </c>
      <c r="I98" s="66">
        <v>44416443000</v>
      </c>
      <c r="J98" s="67">
        <v>44570609000</v>
      </c>
      <c r="K98" s="67">
        <v>59067727000</v>
      </c>
      <c r="L98" s="66"/>
      <c r="M98" s="66"/>
      <c r="N98" s="66"/>
      <c r="O98" s="66"/>
      <c r="P98" s="66"/>
    </row>
    <row r="99" spans="2:16" ht="15">
      <c r="B99" s="129" t="s">
        <v>505</v>
      </c>
      <c r="C99" s="133"/>
      <c r="D99" s="133"/>
      <c r="E99" s="133"/>
      <c r="F99" s="133"/>
      <c r="G99" s="133"/>
      <c r="H99" s="133"/>
      <c r="I99" s="133"/>
      <c r="J99" s="171"/>
      <c r="K99" s="171"/>
      <c r="L99" s="133"/>
      <c r="M99" s="133"/>
      <c r="N99" s="133"/>
      <c r="O99" s="133"/>
      <c r="P99" s="133"/>
    </row>
    <row r="100" spans="2:16" ht="15">
      <c r="B100" s="60" t="s">
        <v>347</v>
      </c>
      <c r="C100" s="70">
        <f t="shared" ref="C100:I100" si="81">+C96+C98+C97+C99</f>
        <v>43592003000</v>
      </c>
      <c r="D100" s="70">
        <f t="shared" si="81"/>
        <v>48604958000</v>
      </c>
      <c r="E100" s="70">
        <f t="shared" si="81"/>
        <v>49205929000</v>
      </c>
      <c r="F100" s="70">
        <f t="shared" si="81"/>
        <v>47606039000</v>
      </c>
      <c r="G100" s="70">
        <f t="shared" si="81"/>
        <v>55651539000</v>
      </c>
      <c r="H100" s="70">
        <f t="shared" si="81"/>
        <v>50923575000</v>
      </c>
      <c r="I100" s="70">
        <f t="shared" si="81"/>
        <v>54606807000</v>
      </c>
      <c r="J100" s="71">
        <f t="shared" ref="J100:P100" si="82">+J96+J98+J97+J99</f>
        <v>54867590000</v>
      </c>
      <c r="K100" s="71">
        <f t="shared" si="82"/>
        <v>69558176000</v>
      </c>
      <c r="L100" s="70">
        <f t="shared" si="82"/>
        <v>0</v>
      </c>
      <c r="M100" s="70">
        <f t="shared" si="82"/>
        <v>0</v>
      </c>
      <c r="N100" s="70">
        <f t="shared" si="82"/>
        <v>0</v>
      </c>
      <c r="O100" s="70">
        <f t="shared" si="82"/>
        <v>0</v>
      </c>
      <c r="P100" s="70">
        <f t="shared" si="82"/>
        <v>0</v>
      </c>
    </row>
    <row r="101" spans="2:16">
      <c r="K101" s="414"/>
    </row>
    <row r="102" spans="2:16" ht="15">
      <c r="B102" s="75" t="s">
        <v>348</v>
      </c>
      <c r="K102" s="414"/>
    </row>
    <row r="103" spans="2:16" ht="15">
      <c r="B103" s="82" t="s">
        <v>308</v>
      </c>
      <c r="C103" s="88">
        <v>2017</v>
      </c>
      <c r="D103" s="88">
        <v>2018</v>
      </c>
      <c r="E103" s="88">
        <v>2019</v>
      </c>
      <c r="F103" s="88">
        <v>2020</v>
      </c>
      <c r="G103" s="88">
        <v>2021</v>
      </c>
      <c r="H103" s="88">
        <v>2022</v>
      </c>
      <c r="I103" s="88">
        <v>2023</v>
      </c>
      <c r="J103" s="89">
        <v>2024</v>
      </c>
      <c r="K103" s="89">
        <v>2025</v>
      </c>
      <c r="L103" s="88">
        <v>2026</v>
      </c>
      <c r="M103" s="88">
        <v>2027</v>
      </c>
      <c r="N103" s="88">
        <v>2028</v>
      </c>
      <c r="O103" s="88">
        <v>2029</v>
      </c>
      <c r="P103" s="88">
        <v>2030</v>
      </c>
    </row>
    <row r="104" spans="2:16" ht="15">
      <c r="B104" s="83" t="s">
        <v>349</v>
      </c>
      <c r="C104" s="90">
        <v>36782972000</v>
      </c>
      <c r="D104" s="90">
        <v>39471289000</v>
      </c>
      <c r="E104" s="90">
        <v>38514852000</v>
      </c>
      <c r="F104" s="90">
        <v>28763892000</v>
      </c>
      <c r="G104" s="90">
        <v>38907730000</v>
      </c>
      <c r="H104" s="90">
        <v>43026895000</v>
      </c>
      <c r="I104" s="90">
        <v>48224809000</v>
      </c>
      <c r="J104" s="109">
        <v>50465567000</v>
      </c>
      <c r="K104" s="109">
        <v>43053097000</v>
      </c>
      <c r="L104" s="90"/>
      <c r="M104" s="90"/>
      <c r="N104" s="90"/>
      <c r="O104" s="90"/>
      <c r="P104" s="90"/>
    </row>
    <row r="105" spans="2:16" ht="15">
      <c r="B105" s="85" t="s">
        <v>692</v>
      </c>
      <c r="C105" s="66">
        <v>-17663071000</v>
      </c>
      <c r="D105" s="66">
        <v>-17230156000</v>
      </c>
      <c r="E105" s="66">
        <v>-19401851000</v>
      </c>
      <c r="F105" s="66">
        <v>-14518432000</v>
      </c>
      <c r="G105" s="66">
        <v>-15301701000</v>
      </c>
      <c r="H105" s="66">
        <v>-19563925000</v>
      </c>
      <c r="I105" s="66">
        <v>-24487206000</v>
      </c>
      <c r="J105" s="67">
        <v>-25664366000</v>
      </c>
      <c r="K105" s="67">
        <v>-21085257000</v>
      </c>
      <c r="L105" s="66"/>
      <c r="M105" s="66"/>
      <c r="N105" s="66"/>
      <c r="O105" s="66"/>
      <c r="P105" s="66"/>
    </row>
    <row r="106" spans="2:16" ht="15">
      <c r="B106" s="86" t="s">
        <v>622</v>
      </c>
      <c r="C106" s="64">
        <f t="shared" ref="C106:F106" si="83">+C104+C105</f>
        <v>19119901000</v>
      </c>
      <c r="D106" s="64">
        <f>+D104+D105</f>
        <v>22241133000</v>
      </c>
      <c r="E106" s="64">
        <f t="shared" si="83"/>
        <v>19113001000</v>
      </c>
      <c r="F106" s="64">
        <f t="shared" si="83"/>
        <v>14245460000</v>
      </c>
      <c r="G106" s="64">
        <f>+G104+G105</f>
        <v>23606029000</v>
      </c>
      <c r="H106" s="64">
        <f t="shared" ref="H106:I106" si="84">+H104+H105</f>
        <v>23462970000</v>
      </c>
      <c r="I106" s="64">
        <f t="shared" si="84"/>
        <v>23737603000</v>
      </c>
      <c r="J106" s="65">
        <f t="shared" ref="J106:P106" si="85">+J104+J105</f>
        <v>24801201000</v>
      </c>
      <c r="K106" s="65">
        <f t="shared" si="85"/>
        <v>21967840000</v>
      </c>
      <c r="L106" s="64">
        <f t="shared" si="85"/>
        <v>0</v>
      </c>
      <c r="M106" s="64">
        <f t="shared" si="85"/>
        <v>0</v>
      </c>
      <c r="N106" s="64">
        <f t="shared" si="85"/>
        <v>0</v>
      </c>
      <c r="O106" s="64">
        <f t="shared" si="85"/>
        <v>0</v>
      </c>
      <c r="P106" s="64">
        <f t="shared" si="85"/>
        <v>0</v>
      </c>
    </row>
    <row r="107" spans="2:16" ht="15">
      <c r="B107" s="85" t="s">
        <v>537</v>
      </c>
      <c r="C107" s="64">
        <v>-7666113000</v>
      </c>
      <c r="D107" s="64">
        <v>-7210001000</v>
      </c>
      <c r="E107" s="64">
        <v>-7963168000</v>
      </c>
      <c r="F107" s="117">
        <v>-6214202000</v>
      </c>
      <c r="G107" s="117">
        <v>-7698094000</v>
      </c>
      <c r="H107" s="117">
        <v>-9560194000</v>
      </c>
      <c r="I107" s="117">
        <v>-9964154000</v>
      </c>
      <c r="J107" s="450">
        <v>-10741785000</v>
      </c>
      <c r="K107" s="450">
        <v>-9727853000</v>
      </c>
      <c r="L107" s="117"/>
      <c r="M107" s="117"/>
      <c r="N107" s="117"/>
      <c r="O107" s="117"/>
      <c r="P107" s="117"/>
    </row>
    <row r="108" spans="2:16" ht="15">
      <c r="B108" s="85" t="s">
        <v>865</v>
      </c>
      <c r="C108" s="66"/>
      <c r="D108" s="66"/>
      <c r="E108" s="66"/>
      <c r="F108" s="117">
        <v>-199795000</v>
      </c>
      <c r="G108" s="117">
        <v>-39622000</v>
      </c>
      <c r="H108" s="117">
        <v>-71827000</v>
      </c>
      <c r="I108" s="117">
        <v>-14342000</v>
      </c>
      <c r="J108" s="450">
        <v>-41729000</v>
      </c>
      <c r="K108" s="450">
        <v>-399994000</v>
      </c>
      <c r="L108" s="117"/>
      <c r="M108" s="117"/>
      <c r="N108" s="117"/>
      <c r="O108" s="117"/>
      <c r="P108" s="117"/>
    </row>
    <row r="109" spans="2:16" ht="15">
      <c r="B109" s="86" t="s">
        <v>542</v>
      </c>
      <c r="C109" s="64">
        <f t="shared" ref="C109:F109" si="86">+C106+C108+C107</f>
        <v>11453788000</v>
      </c>
      <c r="D109" s="64">
        <f t="shared" si="86"/>
        <v>15031132000</v>
      </c>
      <c r="E109" s="64">
        <f t="shared" si="86"/>
        <v>11149833000</v>
      </c>
      <c r="F109" s="64">
        <f t="shared" si="86"/>
        <v>7831463000</v>
      </c>
      <c r="G109" s="64">
        <f>+G106+G108+G107</f>
        <v>15868313000</v>
      </c>
      <c r="H109" s="64">
        <f t="shared" ref="H109:I109" si="87">+H106+H108+H107</f>
        <v>13830949000</v>
      </c>
      <c r="I109" s="64">
        <f t="shared" si="87"/>
        <v>13759107000</v>
      </c>
      <c r="J109" s="65">
        <f>+J106+J108+J107</f>
        <v>14017687000</v>
      </c>
      <c r="K109" s="65">
        <f t="shared" ref="K109:P109" si="88">+K106+K108+K107</f>
        <v>11839993000</v>
      </c>
      <c r="L109" s="64">
        <f t="shared" si="88"/>
        <v>0</v>
      </c>
      <c r="M109" s="64">
        <f t="shared" si="88"/>
        <v>0</v>
      </c>
      <c r="N109" s="64">
        <f t="shared" si="88"/>
        <v>0</v>
      </c>
      <c r="O109" s="64">
        <f t="shared" si="88"/>
        <v>0</v>
      </c>
      <c r="P109" s="64">
        <f t="shared" si="88"/>
        <v>0</v>
      </c>
    </row>
    <row r="110" spans="2:16" ht="15">
      <c r="B110" s="85" t="s">
        <v>866</v>
      </c>
      <c r="C110" s="66">
        <v>-57781000</v>
      </c>
      <c r="D110" s="66">
        <v>-2091000</v>
      </c>
      <c r="E110" s="66">
        <v>-3914000</v>
      </c>
      <c r="F110" s="66">
        <v>-247872000</v>
      </c>
      <c r="G110" s="66">
        <v>-181937000</v>
      </c>
      <c r="H110" s="66">
        <v>65686000</v>
      </c>
      <c r="I110" s="66">
        <v>-49476000</v>
      </c>
      <c r="J110" s="67">
        <v>-20030000</v>
      </c>
      <c r="K110" s="67">
        <v>-1880000</v>
      </c>
      <c r="L110" s="66"/>
      <c r="M110" s="66"/>
      <c r="N110" s="66"/>
      <c r="O110" s="66"/>
      <c r="P110" s="66"/>
    </row>
    <row r="111" spans="2:16" ht="15">
      <c r="B111" s="85" t="s">
        <v>429</v>
      </c>
      <c r="C111" s="66">
        <v>568247000</v>
      </c>
      <c r="D111" s="66">
        <v>384868000</v>
      </c>
      <c r="E111" s="66">
        <v>641871000</v>
      </c>
      <c r="F111" s="66">
        <v>916699000</v>
      </c>
      <c r="G111" s="68">
        <v>139948000</v>
      </c>
      <c r="H111" s="68">
        <v>3446493000</v>
      </c>
      <c r="I111" s="68">
        <v>3225406000</v>
      </c>
      <c r="J111" s="497">
        <v>3817638000</v>
      </c>
      <c r="K111" s="497">
        <v>2520181000</v>
      </c>
      <c r="L111" s="68"/>
      <c r="M111" s="68"/>
      <c r="N111" s="68"/>
      <c r="O111" s="68"/>
      <c r="P111" s="68"/>
    </row>
    <row r="112" spans="2:16" ht="15">
      <c r="B112" s="85" t="s">
        <v>867</v>
      </c>
      <c r="C112" s="66">
        <v>-762543000</v>
      </c>
      <c r="D112" s="66">
        <v>-143634000</v>
      </c>
      <c r="E112" s="66">
        <v>-96269000</v>
      </c>
      <c r="F112" s="66">
        <v>-2391330000</v>
      </c>
      <c r="G112" s="66">
        <v>-184440000</v>
      </c>
      <c r="H112" s="66">
        <v>-254895000</v>
      </c>
      <c r="I112" s="66">
        <v>-186218000</v>
      </c>
      <c r="J112" s="67">
        <v>-250942000</v>
      </c>
      <c r="K112" s="67">
        <v>-106086000</v>
      </c>
      <c r="L112" s="66"/>
      <c r="M112" s="66"/>
      <c r="N112" s="66"/>
      <c r="O112" s="66"/>
      <c r="P112" s="66"/>
    </row>
    <row r="113" spans="2:16" ht="15">
      <c r="B113" s="85" t="s">
        <v>735</v>
      </c>
      <c r="C113" s="66">
        <v>986688000</v>
      </c>
      <c r="D113" s="66">
        <v>411024000</v>
      </c>
      <c r="E113" s="66">
        <v>432417000</v>
      </c>
      <c r="F113" s="66">
        <v>325525000</v>
      </c>
      <c r="G113" s="66">
        <v>848318000</v>
      </c>
      <c r="H113" s="66">
        <v>558488000</v>
      </c>
      <c r="I113" s="66">
        <v>1377687000</v>
      </c>
      <c r="J113" s="67">
        <v>1285137000</v>
      </c>
      <c r="K113" s="67">
        <v>497817000</v>
      </c>
      <c r="L113" s="66"/>
      <c r="M113" s="66"/>
      <c r="N113" s="66"/>
      <c r="O113" s="66"/>
      <c r="P113" s="66"/>
    </row>
    <row r="114" spans="2:16" ht="15">
      <c r="B114" s="85" t="s">
        <v>868</v>
      </c>
      <c r="C114" s="66">
        <v>313000</v>
      </c>
      <c r="D114" s="66">
        <v>2690000</v>
      </c>
      <c r="E114" s="66">
        <v>2892000</v>
      </c>
      <c r="F114" s="66">
        <v>-391000</v>
      </c>
      <c r="G114" s="66">
        <v>7277000</v>
      </c>
      <c r="H114" s="66">
        <v>-15328000</v>
      </c>
      <c r="I114" s="66">
        <v>-1290000</v>
      </c>
      <c r="J114" s="67">
        <v>8879000</v>
      </c>
      <c r="K114" s="67">
        <v>2112000</v>
      </c>
      <c r="L114" s="66"/>
      <c r="M114" s="66"/>
      <c r="N114" s="66"/>
      <c r="O114" s="66"/>
      <c r="P114" s="66"/>
    </row>
    <row r="115" spans="2:16" ht="15">
      <c r="B115" s="87" t="s">
        <v>869</v>
      </c>
      <c r="C115" s="66">
        <v>-185111000</v>
      </c>
      <c r="D115" s="66">
        <v>-121371000</v>
      </c>
      <c r="E115" s="66">
        <v>-152145000</v>
      </c>
      <c r="F115" s="66">
        <v>-128696000</v>
      </c>
      <c r="G115" s="66">
        <v>-447348000</v>
      </c>
      <c r="H115" s="66">
        <v>-1058396000</v>
      </c>
      <c r="I115" s="66">
        <v>-390688000</v>
      </c>
      <c r="J115" s="67">
        <v>-353014000</v>
      </c>
      <c r="K115" s="67">
        <v>-255019000</v>
      </c>
      <c r="L115" s="66"/>
      <c r="M115" s="66"/>
      <c r="N115" s="66"/>
      <c r="O115" s="66"/>
      <c r="P115" s="66"/>
    </row>
    <row r="116" spans="2:16" ht="15">
      <c r="B116" s="86" t="s">
        <v>362</v>
      </c>
      <c r="C116" s="64">
        <v>12003601000</v>
      </c>
      <c r="D116" s="64">
        <v>15562618000</v>
      </c>
      <c r="E116" s="64">
        <v>11974685000</v>
      </c>
      <c r="F116" s="64">
        <v>6305398000</v>
      </c>
      <c r="G116" s="64">
        <v>16050131000</v>
      </c>
      <c r="H116" s="64">
        <v>16572997000</v>
      </c>
      <c r="I116" s="64">
        <v>17734528000</v>
      </c>
      <c r="J116" s="65">
        <v>18505355000</v>
      </c>
      <c r="K116" s="65">
        <v>14497118000</v>
      </c>
      <c r="L116" s="64"/>
      <c r="M116" s="64"/>
      <c r="N116" s="64"/>
      <c r="O116" s="64"/>
      <c r="P116" s="64"/>
    </row>
    <row r="117" spans="2:16" ht="15">
      <c r="B117" s="85" t="s">
        <v>363</v>
      </c>
      <c r="C117" s="66"/>
      <c r="D117" s="66"/>
      <c r="E117" s="66"/>
      <c r="F117" s="66">
        <v>0</v>
      </c>
      <c r="G117" s="91">
        <v>0</v>
      </c>
      <c r="H117" s="91"/>
      <c r="I117" s="91"/>
      <c r="J117" s="447"/>
      <c r="K117" s="411"/>
      <c r="L117" s="91"/>
      <c r="M117" s="91"/>
      <c r="N117" s="91"/>
      <c r="O117" s="91"/>
      <c r="P117" s="91"/>
    </row>
    <row r="118" spans="2:16" ht="30.75">
      <c r="B118" s="87" t="s">
        <v>435</v>
      </c>
      <c r="C118" s="66"/>
      <c r="D118" s="66"/>
      <c r="E118" s="66"/>
      <c r="F118" s="66"/>
      <c r="G118" s="91"/>
      <c r="H118" s="91"/>
      <c r="I118" s="91"/>
      <c r="J118" s="447"/>
      <c r="K118" s="411"/>
      <c r="L118" s="91"/>
      <c r="M118" s="91"/>
      <c r="N118" s="91"/>
      <c r="O118" s="91"/>
      <c r="P118" s="91"/>
    </row>
    <row r="119" spans="2:16" ht="15">
      <c r="B119" s="84" t="s">
        <v>365</v>
      </c>
      <c r="C119" s="64">
        <v>11897343000</v>
      </c>
      <c r="D119" s="64">
        <v>15562618000</v>
      </c>
      <c r="E119" s="64">
        <v>11974685000</v>
      </c>
      <c r="F119" s="64">
        <v>6305398000</v>
      </c>
      <c r="G119" s="64">
        <v>16050131000</v>
      </c>
      <c r="H119" s="64">
        <v>16572997000</v>
      </c>
      <c r="I119" s="64">
        <v>17734528000</v>
      </c>
      <c r="J119" s="65">
        <v>18505355000</v>
      </c>
      <c r="K119" s="65">
        <v>14497118000</v>
      </c>
      <c r="L119" s="64"/>
      <c r="M119" s="64"/>
      <c r="N119" s="64"/>
      <c r="O119" s="64"/>
      <c r="P119" s="64"/>
    </row>
    <row r="120" spans="2:16" ht="15">
      <c r="B120" s="84" t="s">
        <v>366</v>
      </c>
      <c r="C120" s="111">
        <v>54.42</v>
      </c>
      <c r="D120" s="111">
        <v>70.56</v>
      </c>
      <c r="E120" s="111">
        <v>54.29</v>
      </c>
      <c r="F120" s="134">
        <v>28.59</v>
      </c>
      <c r="G120" s="134">
        <v>72.77</v>
      </c>
      <c r="H120" s="134">
        <v>75.14</v>
      </c>
      <c r="I120" s="134">
        <v>80.400000000000006</v>
      </c>
      <c r="J120" s="134">
        <v>83.9</v>
      </c>
      <c r="K120" s="134">
        <v>65.73</v>
      </c>
      <c r="L120" s="134"/>
      <c r="M120" s="134"/>
      <c r="N120" s="134"/>
      <c r="O120" s="134"/>
      <c r="P120" s="134"/>
    </row>
    <row r="122" spans="2:16" ht="15">
      <c r="B122" s="75" t="s">
        <v>367</v>
      </c>
    </row>
    <row r="123" spans="2:16" ht="15">
      <c r="B123" s="82" t="s">
        <v>308</v>
      </c>
      <c r="C123" s="88">
        <v>2017</v>
      </c>
      <c r="D123" s="88">
        <v>2018</v>
      </c>
      <c r="E123" s="88">
        <v>2019</v>
      </c>
      <c r="F123" s="88">
        <v>2020</v>
      </c>
      <c r="G123" s="88">
        <v>2021</v>
      </c>
      <c r="H123" s="88">
        <v>2022</v>
      </c>
      <c r="I123" s="88">
        <v>2023</v>
      </c>
      <c r="J123" s="89">
        <v>2024</v>
      </c>
      <c r="K123" s="103">
        <v>2025</v>
      </c>
      <c r="L123" s="88">
        <v>2026</v>
      </c>
      <c r="M123" s="88">
        <v>2027</v>
      </c>
      <c r="N123" s="88">
        <v>2028</v>
      </c>
      <c r="O123" s="88">
        <v>2029</v>
      </c>
      <c r="P123" s="88">
        <v>2030</v>
      </c>
    </row>
    <row r="124" spans="2:16" ht="15">
      <c r="B124" s="83" t="s">
        <v>368</v>
      </c>
      <c r="C124" s="90">
        <v>21679194000</v>
      </c>
      <c r="D124" s="90">
        <v>21590610000</v>
      </c>
      <c r="E124" s="90">
        <v>18143402000</v>
      </c>
      <c r="F124" s="90">
        <v>12009256000</v>
      </c>
      <c r="G124" s="90">
        <v>22757916000</v>
      </c>
      <c r="H124" s="90">
        <v>17125916000</v>
      </c>
      <c r="I124" s="90">
        <v>18904328000</v>
      </c>
      <c r="J124" s="109">
        <v>9843662000</v>
      </c>
      <c r="K124" s="109">
        <v>11989567000</v>
      </c>
      <c r="L124" s="90"/>
      <c r="M124" s="90"/>
      <c r="N124" s="90"/>
      <c r="O124" s="90"/>
      <c r="P124" s="90"/>
    </row>
    <row r="125" spans="2:16" ht="15">
      <c r="B125" s="86" t="s">
        <v>369</v>
      </c>
      <c r="C125" s="91">
        <v>4197707000</v>
      </c>
      <c r="D125" s="93">
        <v>-7534641000</v>
      </c>
      <c r="E125" s="93">
        <v>-3430910000</v>
      </c>
      <c r="F125" s="66">
        <v>561118000</v>
      </c>
      <c r="G125" s="66">
        <v>-136151000</v>
      </c>
      <c r="H125" s="66">
        <v>3104362000</v>
      </c>
      <c r="I125" s="66">
        <v>-398275000</v>
      </c>
      <c r="J125" s="67">
        <v>4435330000</v>
      </c>
      <c r="K125" s="67">
        <v>-817503000</v>
      </c>
      <c r="L125" s="66"/>
      <c r="M125" s="66"/>
      <c r="N125" s="66"/>
      <c r="O125" s="66"/>
      <c r="P125" s="66"/>
    </row>
    <row r="126" spans="2:16" ht="15">
      <c r="B126" s="85" t="s">
        <v>370</v>
      </c>
      <c r="C126" s="93">
        <v>-2200740000</v>
      </c>
      <c r="D126" s="93">
        <v>-2217929000</v>
      </c>
      <c r="E126" s="93">
        <v>-3032442000</v>
      </c>
      <c r="F126" s="93">
        <v>-515381000</v>
      </c>
      <c r="G126" s="93">
        <v>-318529000</v>
      </c>
      <c r="H126" s="93">
        <v>-954137000</v>
      </c>
      <c r="I126" s="93">
        <v>-2533013000</v>
      </c>
      <c r="J126" s="449">
        <v>-3332702000</v>
      </c>
      <c r="K126" s="449">
        <v>-2348167000</v>
      </c>
      <c r="L126" s="93"/>
      <c r="M126" s="93"/>
      <c r="N126" s="93"/>
      <c r="O126" s="93"/>
      <c r="P126" s="93"/>
    </row>
    <row r="127" spans="2:16" ht="15">
      <c r="B127" s="86" t="s">
        <v>372</v>
      </c>
      <c r="C127" s="120">
        <v>-21445379000</v>
      </c>
      <c r="D127" s="120">
        <v>-9602880000</v>
      </c>
      <c r="E127" s="64">
        <v>-12450076000</v>
      </c>
      <c r="F127" s="120">
        <v>-9579686000</v>
      </c>
      <c r="G127" s="120">
        <v>-5044306000</v>
      </c>
      <c r="H127" s="120">
        <v>-12840105000</v>
      </c>
      <c r="I127" s="120">
        <v>-13258398000</v>
      </c>
      <c r="J127" s="479">
        <v>-17748725000</v>
      </c>
      <c r="K127" s="479">
        <v>-7407006000</v>
      </c>
      <c r="L127" s="120"/>
      <c r="M127" s="120"/>
      <c r="N127" s="120"/>
      <c r="O127" s="120"/>
      <c r="P127" s="120"/>
    </row>
    <row r="128" spans="2:16" ht="15">
      <c r="B128" s="85" t="s">
        <v>373</v>
      </c>
      <c r="C128" s="93">
        <v>-8277258000</v>
      </c>
      <c r="D128" s="93">
        <v>-9602880000</v>
      </c>
      <c r="E128" s="66">
        <v>-12450076000</v>
      </c>
      <c r="F128" s="93">
        <v>-9579686000</v>
      </c>
      <c r="G128" s="93">
        <v>-5044306000</v>
      </c>
      <c r="H128" s="93">
        <v>-12840105000</v>
      </c>
      <c r="I128" s="93">
        <v>-13258398000</v>
      </c>
      <c r="J128" s="449">
        <v>-17748725000</v>
      </c>
      <c r="K128" s="449">
        <v>-7407006000</v>
      </c>
      <c r="L128" s="93"/>
      <c r="M128" s="93"/>
      <c r="N128" s="93"/>
      <c r="O128" s="93"/>
      <c r="P128" s="93"/>
    </row>
    <row r="129" spans="2:16">
      <c r="B129" s="85" t="s">
        <v>374</v>
      </c>
      <c r="C129" s="93">
        <v>0</v>
      </c>
      <c r="D129" s="93">
        <v>0</v>
      </c>
      <c r="E129" s="93">
        <v>0</v>
      </c>
      <c r="F129" s="93">
        <v>0</v>
      </c>
      <c r="G129" s="93">
        <v>0</v>
      </c>
      <c r="H129" s="93">
        <v>0</v>
      </c>
      <c r="I129" s="93">
        <v>0</v>
      </c>
      <c r="J129" s="449"/>
      <c r="K129" s="449"/>
      <c r="L129" s="93"/>
      <c r="M129" s="93"/>
      <c r="N129" s="93"/>
      <c r="O129" s="93"/>
      <c r="P129" s="93"/>
    </row>
    <row r="130" spans="2:16" ht="15">
      <c r="B130" s="86" t="s">
        <v>375</v>
      </c>
      <c r="C130" s="64">
        <v>7555373000</v>
      </c>
      <c r="D130" s="64">
        <v>12008462000</v>
      </c>
      <c r="E130" s="64">
        <v>14270878000</v>
      </c>
      <c r="F130" s="64">
        <v>2990688000</v>
      </c>
      <c r="G130" s="64">
        <v>17577459000</v>
      </c>
      <c r="H130" s="64">
        <v>34839025000</v>
      </c>
      <c r="I130" s="64">
        <v>42229198000</v>
      </c>
      <c r="J130" s="65">
        <v>47476853000</v>
      </c>
      <c r="K130" s="65">
        <v>47772178000</v>
      </c>
      <c r="L130" s="64"/>
      <c r="M130" s="64"/>
      <c r="N130" s="64"/>
      <c r="O130" s="64"/>
      <c r="P130" s="64"/>
    </row>
    <row r="131" spans="2:16">
      <c r="B131" s="85"/>
      <c r="C131" s="66"/>
      <c r="D131" s="66"/>
      <c r="E131" s="66"/>
      <c r="F131" s="66"/>
      <c r="G131" s="66"/>
      <c r="H131" s="66"/>
      <c r="I131" s="66"/>
      <c r="J131" s="67"/>
      <c r="K131" s="67"/>
      <c r="L131" s="66"/>
      <c r="M131" s="66"/>
      <c r="N131" s="66"/>
      <c r="O131" s="66"/>
      <c r="P131" s="66"/>
    </row>
    <row r="132" spans="2:16">
      <c r="B132" s="84" t="s">
        <v>376</v>
      </c>
      <c r="C132" s="66">
        <f t="shared" ref="C132:H132" si="89">+C124+C126+C129</f>
        <v>19478454000</v>
      </c>
      <c r="D132" s="66">
        <f t="shared" si="89"/>
        <v>19372681000</v>
      </c>
      <c r="E132" s="66">
        <f t="shared" si="89"/>
        <v>15110960000</v>
      </c>
      <c r="F132" s="66">
        <f t="shared" si="89"/>
        <v>11493875000</v>
      </c>
      <c r="G132" s="66">
        <f t="shared" si="89"/>
        <v>22439387000</v>
      </c>
      <c r="H132" s="66">
        <f t="shared" si="89"/>
        <v>16171779000</v>
      </c>
      <c r="I132" s="66">
        <f>+I124+I126+I129</f>
        <v>16371315000</v>
      </c>
      <c r="J132" s="66">
        <f>+J124+J126+J129</f>
        <v>6510960000</v>
      </c>
      <c r="K132" s="66">
        <f>+K124+K126+K129</f>
        <v>9641400000</v>
      </c>
      <c r="L132" s="66"/>
      <c r="M132" s="66"/>
      <c r="N132" s="66"/>
      <c r="O132" s="66"/>
      <c r="P132" s="66"/>
    </row>
  </sheetData>
  <conditionalFormatting sqref="C111:F111">
    <cfRule type="cellIs" dxfId="9" priority="23" operator="lessThan">
      <formula>0</formula>
    </cfRule>
  </conditionalFormatting>
  <conditionalFormatting sqref="C67:I69 D70:I70 C71:I86 C95:I97 C98:D98 F98:I98 C99:I100">
    <cfRule type="cellIs" dxfId="8" priority="24" operator="lessThan">
      <formula>0</formula>
    </cfRule>
  </conditionalFormatting>
  <conditionalFormatting sqref="C119:J120 L119:P120 C104:P110 C112:P118">
    <cfRule type="cellIs" dxfId="7" priority="3" operator="lessThan">
      <formula>0</formula>
    </cfRule>
  </conditionalFormatting>
  <conditionalFormatting sqref="C124:P132">
    <cfRule type="cellIs" dxfId="6" priority="2" operator="lessThan">
      <formula>0</formula>
    </cfRule>
  </conditionalFormatting>
  <conditionalFormatting sqref="J67:P67 J68:J86 C87:J93 K68:P93 J95:P100">
    <cfRule type="cellIs" dxfId="5" priority="4" operator="lessThan">
      <formula>0</formula>
    </cfRule>
  </conditionalFormatting>
  <conditionalFormatting sqref="K119:K120">
    <cfRule type="cellIs" dxfId="4" priority="1" operator="lessThan">
      <formula>0</formula>
    </cfRule>
  </conditionalFormatting>
  <pageMargins left="0.7" right="0.7" top="0.75" bottom="0.75" header="0.3" footer="0.3"/>
  <pageSetup paperSize="9" orientation="portrait" r:id="rId1"/>
  <legacy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BF9B-51EB-4786-8A89-924CC6A67622}">
  <sheetPr codeName="Hoja21"/>
  <dimension ref="B2:N139"/>
  <sheetViews>
    <sheetView zoomScale="90" zoomScaleNormal="90" workbookViewId="0">
      <pane xSplit="2" ySplit="6" topLeftCell="C7" activePane="bottomRight" state="frozen"/>
      <selection pane="bottomRight"/>
      <selection pane="bottomLeft" activeCell="A7" sqref="A7"/>
      <selection pane="topRight" activeCell="C1" sqref="C1"/>
    </sheetView>
  </sheetViews>
  <sheetFormatPr defaultColWidth="10.7109375" defaultRowHeight="14.25"/>
  <cols>
    <col min="1" max="1" width="4.42578125" customWidth="1"/>
    <col min="2" max="2" width="42.28515625" bestFit="1" customWidth="1"/>
    <col min="3" max="6" width="33.28515625" customWidth="1"/>
    <col min="7" max="7" width="36.28515625" customWidth="1"/>
    <col min="8" max="8" width="35.7109375" customWidth="1"/>
    <col min="9" max="14" width="25.42578125" bestFit="1" customWidth="1"/>
  </cols>
  <sheetData>
    <row r="2" spans="2:14" ht="21">
      <c r="B2" s="313">
        <f ca="1">TODAY()-1</f>
        <v>46105</v>
      </c>
      <c r="C2" s="314"/>
      <c r="D2" s="344" t="s">
        <v>518</v>
      </c>
      <c r="E2" s="345" t="s">
        <v>266</v>
      </c>
    </row>
    <row r="3" spans="2:14" ht="25.5">
      <c r="B3" s="376" t="e" cm="1" vm="4">
        <f t="array" ref="B3">_FV(B6,"Precio")</f>
        <v>#VALUE!</v>
      </c>
      <c r="C3" s="316"/>
      <c r="D3" s="365">
        <f>AVERAGE(C45:J45)</f>
        <v>0</v>
      </c>
      <c r="E3" s="365">
        <f>AVERAGE(C44:J44)</f>
        <v>0</v>
      </c>
    </row>
    <row r="4" spans="2:14" ht="28.5">
      <c r="B4" s="319"/>
      <c r="C4" s="320"/>
      <c r="D4" s="328"/>
      <c r="E4" s="328"/>
    </row>
    <row r="6" spans="2:14" ht="33.4">
      <c r="B6" s="3" t="s">
        <v>2</v>
      </c>
      <c r="C6" s="3">
        <v>2017</v>
      </c>
      <c r="D6" s="3">
        <v>2018</v>
      </c>
      <c r="E6" s="3">
        <v>2019</v>
      </c>
      <c r="F6" s="3">
        <v>2020</v>
      </c>
      <c r="G6" s="3">
        <v>2021</v>
      </c>
      <c r="H6" s="3">
        <v>2022</v>
      </c>
      <c r="I6" s="3">
        <v>2023</v>
      </c>
      <c r="J6" s="3">
        <v>2024</v>
      </c>
      <c r="K6" s="3">
        <v>2025</v>
      </c>
      <c r="L6" s="3">
        <v>2026</v>
      </c>
      <c r="M6" s="3">
        <v>2027</v>
      </c>
      <c r="N6" s="3">
        <v>2028</v>
      </c>
    </row>
    <row r="7" spans="2:14" ht="25.5">
      <c r="B7" s="4" t="s">
        <v>267</v>
      </c>
      <c r="C7" s="5">
        <f>+C58</f>
        <v>0</v>
      </c>
      <c r="D7" s="5">
        <f t="shared" ref="D7:I7" si="0">+D58</f>
        <v>0</v>
      </c>
      <c r="E7" s="5">
        <f t="shared" si="0"/>
        <v>0</v>
      </c>
      <c r="F7" s="5">
        <f t="shared" si="0"/>
        <v>0</v>
      </c>
      <c r="G7" s="5">
        <f t="shared" si="0"/>
        <v>0</v>
      </c>
      <c r="H7" s="5">
        <f t="shared" si="0"/>
        <v>0</v>
      </c>
      <c r="I7" s="5">
        <f t="shared" si="0"/>
        <v>0</v>
      </c>
      <c r="J7" s="5">
        <f t="shared" ref="J7:N7" si="1">+J58</f>
        <v>0</v>
      </c>
      <c r="K7" s="5">
        <f t="shared" si="1"/>
        <v>0</v>
      </c>
      <c r="L7" s="5">
        <f t="shared" si="1"/>
        <v>0</v>
      </c>
      <c r="M7" s="5">
        <f t="shared" si="1"/>
        <v>0</v>
      </c>
      <c r="N7" s="5">
        <f t="shared" si="1"/>
        <v>0</v>
      </c>
    </row>
    <row r="8" spans="2:14" ht="25.5">
      <c r="B8" s="146" t="s">
        <v>377</v>
      </c>
      <c r="C8" s="147">
        <f>+C62</f>
        <v>0</v>
      </c>
      <c r="D8" s="147">
        <f t="shared" ref="D8:I8" si="2">+D62</f>
        <v>0</v>
      </c>
      <c r="E8" s="147">
        <f t="shared" si="2"/>
        <v>0</v>
      </c>
      <c r="F8" s="147">
        <f t="shared" si="2"/>
        <v>0</v>
      </c>
      <c r="G8" s="147">
        <f t="shared" si="2"/>
        <v>0</v>
      </c>
      <c r="H8" s="147">
        <f t="shared" si="2"/>
        <v>0</v>
      </c>
      <c r="I8" s="147">
        <f t="shared" si="2"/>
        <v>0</v>
      </c>
      <c r="J8" s="147">
        <f t="shared" ref="J8:N8" si="3">+J62</f>
        <v>0</v>
      </c>
      <c r="K8" s="147">
        <f t="shared" si="3"/>
        <v>0</v>
      </c>
      <c r="L8" s="147">
        <f t="shared" si="3"/>
        <v>0</v>
      </c>
      <c r="M8" s="147">
        <f t="shared" si="3"/>
        <v>0</v>
      </c>
      <c r="N8" s="147">
        <f t="shared" si="3"/>
        <v>0</v>
      </c>
    </row>
    <row r="9" spans="2:14" ht="25.5">
      <c r="B9" s="146" t="s">
        <v>378</v>
      </c>
      <c r="C9" s="147">
        <f>+C64</f>
        <v>0</v>
      </c>
      <c r="D9" s="147">
        <f t="shared" ref="D9:I9" si="4">+D64</f>
        <v>0</v>
      </c>
      <c r="E9" s="147">
        <f t="shared" si="4"/>
        <v>0</v>
      </c>
      <c r="F9" s="147">
        <f t="shared" si="4"/>
        <v>0</v>
      </c>
      <c r="G9" s="147">
        <f t="shared" si="4"/>
        <v>0</v>
      </c>
      <c r="H9" s="147">
        <f t="shared" si="4"/>
        <v>0</v>
      </c>
      <c r="I9" s="147">
        <f t="shared" si="4"/>
        <v>0</v>
      </c>
      <c r="J9" s="147">
        <f t="shared" ref="J9:N9" si="5">+J64</f>
        <v>0</v>
      </c>
      <c r="K9" s="147">
        <f t="shared" si="5"/>
        <v>0</v>
      </c>
      <c r="L9" s="147">
        <f t="shared" si="5"/>
        <v>0</v>
      </c>
      <c r="M9" s="147">
        <f t="shared" si="5"/>
        <v>0</v>
      </c>
      <c r="N9" s="147">
        <f t="shared" si="5"/>
        <v>0</v>
      </c>
    </row>
    <row r="10" spans="2:14" ht="25.5">
      <c r="B10" s="4" t="s">
        <v>379</v>
      </c>
      <c r="C10" s="5">
        <f>+C67</f>
        <v>0</v>
      </c>
      <c r="D10" s="5">
        <f t="shared" ref="D10:I10" si="6">+D67</f>
        <v>0</v>
      </c>
      <c r="E10" s="5">
        <f t="shared" si="6"/>
        <v>0</v>
      </c>
      <c r="F10" s="5">
        <f t="shared" si="6"/>
        <v>0</v>
      </c>
      <c r="G10" s="5">
        <f t="shared" si="6"/>
        <v>0</v>
      </c>
      <c r="H10" s="5">
        <f t="shared" si="6"/>
        <v>0</v>
      </c>
      <c r="I10" s="5">
        <f t="shared" si="6"/>
        <v>0</v>
      </c>
      <c r="J10" s="5">
        <f t="shared" ref="J10:N10" si="7">+J67</f>
        <v>0</v>
      </c>
      <c r="K10" s="5">
        <f t="shared" si="7"/>
        <v>0</v>
      </c>
      <c r="L10" s="5">
        <f t="shared" si="7"/>
        <v>0</v>
      </c>
      <c r="M10" s="5">
        <f t="shared" si="7"/>
        <v>0</v>
      </c>
      <c r="N10" s="5">
        <f t="shared" si="7"/>
        <v>0</v>
      </c>
    </row>
    <row r="11" spans="2:14" ht="25.5">
      <c r="B11" s="8" t="s">
        <v>272</v>
      </c>
      <c r="C11" s="9">
        <f>+C10+C7</f>
        <v>0</v>
      </c>
      <c r="D11" s="9">
        <f t="shared" ref="D11:I11" si="8">+D10+D7</f>
        <v>0</v>
      </c>
      <c r="E11" s="9">
        <f t="shared" si="8"/>
        <v>0</v>
      </c>
      <c r="F11" s="9">
        <f t="shared" si="8"/>
        <v>0</v>
      </c>
      <c r="G11" s="9">
        <f t="shared" si="8"/>
        <v>0</v>
      </c>
      <c r="H11" s="9">
        <f t="shared" si="8"/>
        <v>0</v>
      </c>
      <c r="I11" s="9">
        <f t="shared" si="8"/>
        <v>0</v>
      </c>
      <c r="J11" s="9">
        <f t="shared" ref="J11:N11" si="9">+J10+J7</f>
        <v>0</v>
      </c>
      <c r="K11" s="9">
        <f t="shared" si="9"/>
        <v>0</v>
      </c>
      <c r="L11" s="9">
        <f t="shared" si="9"/>
        <v>0</v>
      </c>
      <c r="M11" s="9">
        <f t="shared" si="9"/>
        <v>0</v>
      </c>
      <c r="N11" s="9">
        <f t="shared" si="9"/>
        <v>0</v>
      </c>
    </row>
    <row r="12" spans="2:14" ht="25.5">
      <c r="B12" s="10" t="s">
        <v>273</v>
      </c>
      <c r="C12" s="11">
        <f>+C81</f>
        <v>0</v>
      </c>
      <c r="D12" s="11">
        <f t="shared" ref="D12:I12" si="10">+D81</f>
        <v>0</v>
      </c>
      <c r="E12" s="11">
        <f t="shared" si="10"/>
        <v>0</v>
      </c>
      <c r="F12" s="11">
        <f t="shared" si="10"/>
        <v>0</v>
      </c>
      <c r="G12" s="11">
        <f t="shared" si="10"/>
        <v>0</v>
      </c>
      <c r="H12" s="11">
        <f t="shared" si="10"/>
        <v>0</v>
      </c>
      <c r="I12" s="11">
        <f t="shared" si="10"/>
        <v>0</v>
      </c>
      <c r="J12" s="11">
        <f t="shared" ref="J12:N12" si="11">+J81</f>
        <v>0</v>
      </c>
      <c r="K12" s="11">
        <f t="shared" si="11"/>
        <v>0</v>
      </c>
      <c r="L12" s="11">
        <f t="shared" si="11"/>
        <v>0</v>
      </c>
      <c r="M12" s="11">
        <f t="shared" si="11"/>
        <v>0</v>
      </c>
      <c r="N12" s="11">
        <f t="shared" si="11"/>
        <v>0</v>
      </c>
    </row>
    <row r="13" spans="2:14" ht="25.5">
      <c r="B13" s="10" t="s">
        <v>274</v>
      </c>
      <c r="C13" s="11">
        <f>+C91</f>
        <v>0</v>
      </c>
      <c r="D13" s="11">
        <f t="shared" ref="D13:I13" si="12">+D91</f>
        <v>0</v>
      </c>
      <c r="E13" s="11">
        <f t="shared" si="12"/>
        <v>0</v>
      </c>
      <c r="F13" s="11">
        <f t="shared" si="12"/>
        <v>0</v>
      </c>
      <c r="G13" s="11">
        <f t="shared" si="12"/>
        <v>0</v>
      </c>
      <c r="H13" s="11">
        <f t="shared" si="12"/>
        <v>0</v>
      </c>
      <c r="I13" s="11">
        <f t="shared" si="12"/>
        <v>0</v>
      </c>
      <c r="J13" s="11">
        <f t="shared" ref="J13:N13" si="13">+J91</f>
        <v>0</v>
      </c>
      <c r="K13" s="11">
        <f t="shared" si="13"/>
        <v>0</v>
      </c>
      <c r="L13" s="11">
        <f t="shared" si="13"/>
        <v>0</v>
      </c>
      <c r="M13" s="11">
        <f t="shared" si="13"/>
        <v>0</v>
      </c>
      <c r="N13" s="11">
        <f t="shared" si="13"/>
        <v>0</v>
      </c>
    </row>
    <row r="14" spans="2:14" ht="25.5">
      <c r="B14" s="12" t="s">
        <v>275</v>
      </c>
      <c r="C14" s="13">
        <f>+C12+C13</f>
        <v>0</v>
      </c>
      <c r="D14" s="13">
        <f t="shared" ref="D14:I14" si="14">+D12+D13</f>
        <v>0</v>
      </c>
      <c r="E14" s="13">
        <f t="shared" si="14"/>
        <v>0</v>
      </c>
      <c r="F14" s="13">
        <f t="shared" si="14"/>
        <v>0</v>
      </c>
      <c r="G14" s="13">
        <f t="shared" si="14"/>
        <v>0</v>
      </c>
      <c r="H14" s="13">
        <f t="shared" si="14"/>
        <v>0</v>
      </c>
      <c r="I14" s="13">
        <f t="shared" si="14"/>
        <v>0</v>
      </c>
      <c r="J14" s="13">
        <f t="shared" ref="J14:N14" si="15">+J12+J13</f>
        <v>0</v>
      </c>
      <c r="K14" s="13">
        <f t="shared" si="15"/>
        <v>0</v>
      </c>
      <c r="L14" s="13">
        <f t="shared" si="15"/>
        <v>0</v>
      </c>
      <c r="M14" s="13">
        <f t="shared" si="15"/>
        <v>0</v>
      </c>
      <c r="N14" s="13">
        <f t="shared" si="15"/>
        <v>0</v>
      </c>
    </row>
    <row r="15" spans="2:14" ht="25.5">
      <c r="B15" s="14" t="s">
        <v>276</v>
      </c>
      <c r="C15" s="15">
        <f>+C104</f>
        <v>0</v>
      </c>
      <c r="D15" s="15">
        <f t="shared" ref="D15:I15" si="16">+D104</f>
        <v>0</v>
      </c>
      <c r="E15" s="15">
        <f t="shared" si="16"/>
        <v>0</v>
      </c>
      <c r="F15" s="15">
        <f t="shared" si="16"/>
        <v>0</v>
      </c>
      <c r="G15" s="15">
        <f t="shared" si="16"/>
        <v>0</v>
      </c>
      <c r="H15" s="15">
        <f t="shared" si="16"/>
        <v>0</v>
      </c>
      <c r="I15" s="15">
        <f t="shared" si="16"/>
        <v>0</v>
      </c>
      <c r="J15" s="15">
        <f t="shared" ref="J15:N15" si="17">+J104</f>
        <v>0</v>
      </c>
      <c r="K15" s="15">
        <f t="shared" si="17"/>
        <v>0</v>
      </c>
      <c r="L15" s="15">
        <f t="shared" si="17"/>
        <v>0</v>
      </c>
      <c r="M15" s="15">
        <f t="shared" si="17"/>
        <v>0</v>
      </c>
      <c r="N15" s="15">
        <f t="shared" si="17"/>
        <v>0</v>
      </c>
    </row>
    <row r="16" spans="2:14" ht="25.5">
      <c r="B16" s="79" t="s">
        <v>278</v>
      </c>
      <c r="C16" s="80"/>
      <c r="D16" s="80"/>
      <c r="E16" s="80"/>
      <c r="F16" s="80"/>
      <c r="G16" s="80"/>
      <c r="H16" s="80"/>
      <c r="I16" s="80"/>
      <c r="J16" s="80"/>
      <c r="K16" s="80"/>
      <c r="L16" s="80"/>
      <c r="M16" s="80"/>
      <c r="N16" s="80"/>
    </row>
    <row r="18" spans="2:14" ht="25.5">
      <c r="B18" s="18" t="s">
        <v>279</v>
      </c>
      <c r="C18" s="19" t="e">
        <f t="shared" ref="C18:I18" si="18">(C15/C16)</f>
        <v>#DIV/0!</v>
      </c>
      <c r="D18" s="19" t="e">
        <f t="shared" si="18"/>
        <v>#DIV/0!</v>
      </c>
      <c r="E18" s="19" t="e">
        <f t="shared" si="18"/>
        <v>#DIV/0!</v>
      </c>
      <c r="F18" s="19" t="e">
        <f t="shared" si="18"/>
        <v>#DIV/0!</v>
      </c>
      <c r="G18" s="19" t="e">
        <f t="shared" si="18"/>
        <v>#DIV/0!</v>
      </c>
      <c r="H18" s="19" t="e">
        <f t="shared" si="18"/>
        <v>#DIV/0!</v>
      </c>
      <c r="I18" s="19" t="e">
        <f t="shared" si="18"/>
        <v>#DIV/0!</v>
      </c>
      <c r="J18" s="19" t="e">
        <f t="shared" ref="J18:N18" si="19">(J15/J16)</f>
        <v>#DIV/0!</v>
      </c>
      <c r="K18" s="19" t="e">
        <f t="shared" si="19"/>
        <v>#DIV/0!</v>
      </c>
      <c r="L18" s="19" t="e">
        <f t="shared" si="19"/>
        <v>#DIV/0!</v>
      </c>
      <c r="M18" s="19" t="e">
        <f t="shared" si="19"/>
        <v>#DIV/0!</v>
      </c>
      <c r="N18" s="19" t="e">
        <f t="shared" si="19"/>
        <v>#DIV/0!</v>
      </c>
    </row>
    <row r="19" spans="2:14" ht="25.5">
      <c r="B19" s="76" t="s">
        <v>282</v>
      </c>
      <c r="C19" s="77"/>
      <c r="D19" s="77"/>
      <c r="E19" s="77"/>
      <c r="F19" s="77"/>
      <c r="G19" s="77"/>
      <c r="H19" s="101"/>
      <c r="I19" s="78"/>
      <c r="J19" s="78"/>
      <c r="K19" s="78"/>
      <c r="L19" s="78"/>
      <c r="M19" s="78"/>
      <c r="N19" s="78"/>
    </row>
    <row r="20" spans="2:14" ht="25.5">
      <c r="B20" s="18" t="s">
        <v>283</v>
      </c>
      <c r="C20" s="22" t="e">
        <f>+C19/C40</f>
        <v>#DIV/0!</v>
      </c>
      <c r="D20" s="22" t="e">
        <f t="shared" ref="D20:I20" si="20">+D19/D40</f>
        <v>#DIV/0!</v>
      </c>
      <c r="E20" s="22" t="e">
        <f t="shared" si="20"/>
        <v>#DIV/0!</v>
      </c>
      <c r="F20" s="22" t="e">
        <f t="shared" si="20"/>
        <v>#DIV/0!</v>
      </c>
      <c r="G20" s="22" t="e">
        <f t="shared" si="20"/>
        <v>#DIV/0!</v>
      </c>
      <c r="H20" s="22" t="e">
        <f t="shared" si="20"/>
        <v>#DIV/0!</v>
      </c>
      <c r="I20" s="22" t="e">
        <f t="shared" si="20"/>
        <v>#DIV/0!</v>
      </c>
      <c r="J20" s="22" t="e">
        <f t="shared" ref="J20:N20" si="21">+J19/J40</f>
        <v>#DIV/0!</v>
      </c>
      <c r="K20" s="22" t="e">
        <f t="shared" si="21"/>
        <v>#DIV/0!</v>
      </c>
      <c r="L20" s="22" t="e">
        <f t="shared" si="21"/>
        <v>#DIV/0!</v>
      </c>
      <c r="M20" s="22" t="e">
        <f t="shared" si="21"/>
        <v>#DIV/0!</v>
      </c>
      <c r="N20" s="22" t="e">
        <f t="shared" si="21"/>
        <v>#DIV/0!</v>
      </c>
    </row>
    <row r="21" spans="2:14" ht="25.5">
      <c r="B21" s="18" t="s">
        <v>380</v>
      </c>
      <c r="C21" s="22" t="e">
        <f t="shared" ref="C21:I21" si="22">+C19/C18</f>
        <v>#DIV/0!</v>
      </c>
      <c r="D21" s="22" t="e">
        <f t="shared" si="22"/>
        <v>#DIV/0!</v>
      </c>
      <c r="E21" s="22" t="e">
        <f t="shared" si="22"/>
        <v>#DIV/0!</v>
      </c>
      <c r="F21" s="22" t="e">
        <f t="shared" si="22"/>
        <v>#DIV/0!</v>
      </c>
      <c r="G21" s="22" t="e">
        <f t="shared" si="22"/>
        <v>#DIV/0!</v>
      </c>
      <c r="H21" s="22" t="e">
        <f t="shared" si="22"/>
        <v>#DIV/0!</v>
      </c>
      <c r="I21" s="22" t="e">
        <f t="shared" si="22"/>
        <v>#DIV/0!</v>
      </c>
      <c r="J21" s="22" t="e">
        <f t="shared" ref="J21:N21" si="23">+J19/J18</f>
        <v>#DIV/0!</v>
      </c>
      <c r="K21" s="22" t="e">
        <f t="shared" si="23"/>
        <v>#DIV/0!</v>
      </c>
      <c r="L21" s="22" t="e">
        <f t="shared" si="23"/>
        <v>#DIV/0!</v>
      </c>
      <c r="M21" s="22" t="e">
        <f t="shared" si="23"/>
        <v>#DIV/0!</v>
      </c>
      <c r="N21" s="22" t="e">
        <f t="shared" si="23"/>
        <v>#DIV/0!</v>
      </c>
    </row>
    <row r="22" spans="2:14" ht="25.5">
      <c r="B22" s="18" t="s">
        <v>285</v>
      </c>
      <c r="C22" s="22" t="e">
        <f>+C20*C21</f>
        <v>#DIV/0!</v>
      </c>
      <c r="D22" s="22" t="e">
        <f t="shared" ref="D22:I22" si="24">+D20*D21</f>
        <v>#DIV/0!</v>
      </c>
      <c r="E22" s="22" t="e">
        <f t="shared" si="24"/>
        <v>#DIV/0!</v>
      </c>
      <c r="F22" s="22" t="e">
        <f t="shared" si="24"/>
        <v>#DIV/0!</v>
      </c>
      <c r="G22" s="22" t="e">
        <f t="shared" si="24"/>
        <v>#DIV/0!</v>
      </c>
      <c r="H22" s="22" t="e">
        <f t="shared" si="24"/>
        <v>#DIV/0!</v>
      </c>
      <c r="I22" s="22" t="e">
        <f t="shared" si="24"/>
        <v>#DIV/0!</v>
      </c>
      <c r="J22" s="22" t="e">
        <f t="shared" ref="J22:N22" si="25">+J20*J21</f>
        <v>#DIV/0!</v>
      </c>
      <c r="K22" s="22" t="e">
        <f t="shared" si="25"/>
        <v>#DIV/0!</v>
      </c>
      <c r="L22" s="22" t="e">
        <f t="shared" si="25"/>
        <v>#DIV/0!</v>
      </c>
      <c r="M22" s="22" t="e">
        <f t="shared" si="25"/>
        <v>#DIV/0!</v>
      </c>
      <c r="N22" s="22" t="e">
        <f t="shared" si="25"/>
        <v>#DIV/0!</v>
      </c>
    </row>
    <row r="23" spans="2:14" ht="25.5">
      <c r="B23" s="23" t="s">
        <v>286</v>
      </c>
      <c r="C23" s="24" t="e">
        <f>IF(C41&lt;10%,0,IF(15%&lt;C41,2,1))</f>
        <v>#DIV/0!</v>
      </c>
      <c r="D23" s="24" t="e">
        <f>IF(D41&lt;10%,0,IF(15%&lt;D41,2,1))</f>
        <v>#DIV/0!</v>
      </c>
      <c r="E23" s="24" t="e">
        <f t="shared" ref="E23:I23" si="26">IF(E41&lt;10%,0,IF(15%&lt;E41,2,1))</f>
        <v>#DIV/0!</v>
      </c>
      <c r="F23" s="24" t="e">
        <f t="shared" si="26"/>
        <v>#DIV/0!</v>
      </c>
      <c r="G23" s="24" t="e">
        <f t="shared" si="26"/>
        <v>#DIV/0!</v>
      </c>
      <c r="H23" s="24" t="e">
        <f t="shared" si="26"/>
        <v>#DIV/0!</v>
      </c>
      <c r="I23" s="24" t="e">
        <f t="shared" si="26"/>
        <v>#DIV/0!</v>
      </c>
      <c r="J23" s="24" t="e">
        <f t="shared" ref="J23:N23" si="27">IF(J41&lt;10%,0,IF(15%&lt;J41,2,1))</f>
        <v>#DIV/0!</v>
      </c>
      <c r="K23" s="24" t="e">
        <f t="shared" si="27"/>
        <v>#DIV/0!</v>
      </c>
      <c r="L23" s="24" t="e">
        <f t="shared" si="27"/>
        <v>#DIV/0!</v>
      </c>
      <c r="M23" s="24" t="e">
        <f t="shared" si="27"/>
        <v>#DIV/0!</v>
      </c>
      <c r="N23" s="24" t="e">
        <f t="shared" si="27"/>
        <v>#DIV/0!</v>
      </c>
    </row>
    <row r="24" spans="2:14" ht="25.5">
      <c r="B24" s="23" t="s">
        <v>287</v>
      </c>
      <c r="C24" s="24" t="e">
        <f>IF(C41&lt;10%,1,IF(15%&lt;C41,2.5,2))</f>
        <v>#DIV/0!</v>
      </c>
      <c r="D24" s="24" t="e">
        <f t="shared" ref="D24:I24" si="28">IF(D41&lt;10%,1,IF(15%&lt;D41,2.5,2))</f>
        <v>#DIV/0!</v>
      </c>
      <c r="E24" s="24" t="e">
        <f t="shared" si="28"/>
        <v>#DIV/0!</v>
      </c>
      <c r="F24" s="24" t="e">
        <f t="shared" si="28"/>
        <v>#DIV/0!</v>
      </c>
      <c r="G24" s="24" t="e">
        <f t="shared" si="28"/>
        <v>#DIV/0!</v>
      </c>
      <c r="H24" s="24" t="e">
        <f t="shared" si="28"/>
        <v>#DIV/0!</v>
      </c>
      <c r="I24" s="24" t="e">
        <f t="shared" si="28"/>
        <v>#DIV/0!</v>
      </c>
      <c r="J24" s="24" t="e">
        <f t="shared" ref="J24:N24" si="29">IF(J41&lt;10%,1,IF(15%&lt;J41,2.5,2))</f>
        <v>#DIV/0!</v>
      </c>
      <c r="K24" s="24" t="e">
        <f t="shared" si="29"/>
        <v>#DIV/0!</v>
      </c>
      <c r="L24" s="24" t="e">
        <f t="shared" si="29"/>
        <v>#DIV/0!</v>
      </c>
      <c r="M24" s="24" t="e">
        <f t="shared" si="29"/>
        <v>#DIV/0!</v>
      </c>
      <c r="N24" s="24" t="e">
        <f t="shared" si="29"/>
        <v>#DIV/0!</v>
      </c>
    </row>
    <row r="25" spans="2:14" ht="25.5">
      <c r="B25" s="25" t="s">
        <v>288</v>
      </c>
      <c r="C25" s="26" t="e">
        <f t="shared" ref="C25:I25" si="30">+C23*C18</f>
        <v>#DIV/0!</v>
      </c>
      <c r="D25" s="26" t="e">
        <f t="shared" si="30"/>
        <v>#DIV/0!</v>
      </c>
      <c r="E25" s="26" t="e">
        <f t="shared" si="30"/>
        <v>#DIV/0!</v>
      </c>
      <c r="F25" s="26" t="e">
        <f t="shared" si="30"/>
        <v>#DIV/0!</v>
      </c>
      <c r="G25" s="26" t="e">
        <f t="shared" si="30"/>
        <v>#DIV/0!</v>
      </c>
      <c r="H25" s="26" t="e">
        <f t="shared" si="30"/>
        <v>#DIV/0!</v>
      </c>
      <c r="I25" s="26" t="e">
        <f t="shared" si="30"/>
        <v>#DIV/0!</v>
      </c>
      <c r="J25" s="26" t="e">
        <f t="shared" ref="J25:N25" si="31">+J23*J18</f>
        <v>#DIV/0!</v>
      </c>
      <c r="K25" s="26" t="e">
        <f t="shared" si="31"/>
        <v>#DIV/0!</v>
      </c>
      <c r="L25" s="26" t="e">
        <f t="shared" si="31"/>
        <v>#DIV/0!</v>
      </c>
      <c r="M25" s="26" t="e">
        <f t="shared" si="31"/>
        <v>#DIV/0!</v>
      </c>
      <c r="N25" s="26" t="e">
        <f t="shared" si="31"/>
        <v>#DIV/0!</v>
      </c>
    </row>
    <row r="26" spans="2:14" ht="25.5">
      <c r="B26" s="25" t="s">
        <v>289</v>
      </c>
      <c r="C26" s="26" t="e">
        <f>AVERAGE(C25,C27)</f>
        <v>#DIV/0!</v>
      </c>
      <c r="D26" s="26" t="e">
        <f t="shared" ref="D26:I26" si="32">AVERAGE(D25,D27)</f>
        <v>#DIV/0!</v>
      </c>
      <c r="E26" s="26" t="e">
        <f t="shared" si="32"/>
        <v>#DIV/0!</v>
      </c>
      <c r="F26" s="26" t="e">
        <f t="shared" si="32"/>
        <v>#DIV/0!</v>
      </c>
      <c r="G26" s="26" t="e">
        <f t="shared" si="32"/>
        <v>#DIV/0!</v>
      </c>
      <c r="H26" s="26" t="e">
        <f t="shared" si="32"/>
        <v>#DIV/0!</v>
      </c>
      <c r="I26" s="26" t="e">
        <f t="shared" si="32"/>
        <v>#DIV/0!</v>
      </c>
      <c r="J26" s="26" t="e">
        <f t="shared" ref="J26:N26" si="33">AVERAGE(J25,J27)</f>
        <v>#DIV/0!</v>
      </c>
      <c r="K26" s="26" t="e">
        <f t="shared" si="33"/>
        <v>#DIV/0!</v>
      </c>
      <c r="L26" s="26" t="e">
        <f t="shared" si="33"/>
        <v>#DIV/0!</v>
      </c>
      <c r="M26" s="26" t="e">
        <f t="shared" si="33"/>
        <v>#DIV/0!</v>
      </c>
      <c r="N26" s="26" t="e">
        <f t="shared" si="33"/>
        <v>#DIV/0!</v>
      </c>
    </row>
    <row r="27" spans="2:14" ht="25.5">
      <c r="B27" s="25" t="s">
        <v>290</v>
      </c>
      <c r="C27" s="26" t="e">
        <f t="shared" ref="C27:I27" si="34">+C18*C24</f>
        <v>#DIV/0!</v>
      </c>
      <c r="D27" s="26" t="e">
        <f t="shared" si="34"/>
        <v>#DIV/0!</v>
      </c>
      <c r="E27" s="26" t="e">
        <f t="shared" si="34"/>
        <v>#DIV/0!</v>
      </c>
      <c r="F27" s="26" t="e">
        <f t="shared" si="34"/>
        <v>#DIV/0!</v>
      </c>
      <c r="G27" s="26" t="e">
        <f t="shared" si="34"/>
        <v>#DIV/0!</v>
      </c>
      <c r="H27" s="26" t="e">
        <f t="shared" si="34"/>
        <v>#DIV/0!</v>
      </c>
      <c r="I27" s="26" t="e">
        <f t="shared" si="34"/>
        <v>#DIV/0!</v>
      </c>
      <c r="J27" s="26" t="e">
        <f t="shared" ref="J27:N27" si="35">+J18*J24</f>
        <v>#DIV/0!</v>
      </c>
      <c r="K27" s="26" t="e">
        <f t="shared" si="35"/>
        <v>#DIV/0!</v>
      </c>
      <c r="L27" s="26" t="e">
        <f t="shared" si="35"/>
        <v>#DIV/0!</v>
      </c>
      <c r="M27" s="26" t="e">
        <f t="shared" si="35"/>
        <v>#DIV/0!</v>
      </c>
      <c r="N27" s="26" t="e">
        <f t="shared" si="35"/>
        <v>#DIV/0!</v>
      </c>
    </row>
    <row r="29" spans="2:14" ht="25.5">
      <c r="B29" s="243" t="s">
        <v>291</v>
      </c>
      <c r="C29" s="81">
        <f t="shared" ref="C29:I29" si="36">C7-C12</f>
        <v>0</v>
      </c>
      <c r="D29" s="81">
        <f t="shared" si="36"/>
        <v>0</v>
      </c>
      <c r="E29" s="81">
        <f t="shared" si="36"/>
        <v>0</v>
      </c>
      <c r="F29" s="81">
        <f t="shared" si="36"/>
        <v>0</v>
      </c>
      <c r="G29" s="81">
        <f t="shared" si="36"/>
        <v>0</v>
      </c>
      <c r="H29" s="81">
        <f t="shared" si="36"/>
        <v>0</v>
      </c>
      <c r="I29" s="81">
        <f t="shared" si="36"/>
        <v>0</v>
      </c>
      <c r="J29" s="81">
        <f t="shared" ref="J29:N29" si="37">J7-J12</f>
        <v>0</v>
      </c>
      <c r="K29" s="81">
        <f t="shared" si="37"/>
        <v>0</v>
      </c>
      <c r="L29" s="81">
        <f t="shared" si="37"/>
        <v>0</v>
      </c>
      <c r="M29" s="81">
        <f t="shared" si="37"/>
        <v>0</v>
      </c>
      <c r="N29" s="81">
        <f t="shared" si="37"/>
        <v>0</v>
      </c>
    </row>
    <row r="30" spans="2:14" ht="25.5">
      <c r="B30" s="30" t="s">
        <v>149</v>
      </c>
      <c r="C30" s="241" t="e">
        <f t="shared" ref="C30:I30" si="38">C7/C12</f>
        <v>#DIV/0!</v>
      </c>
      <c r="D30" s="241" t="e">
        <f t="shared" si="38"/>
        <v>#DIV/0!</v>
      </c>
      <c r="E30" s="241" t="e">
        <f t="shared" si="38"/>
        <v>#DIV/0!</v>
      </c>
      <c r="F30" s="241" t="e">
        <f t="shared" si="38"/>
        <v>#DIV/0!</v>
      </c>
      <c r="G30" s="241" t="e">
        <f t="shared" si="38"/>
        <v>#DIV/0!</v>
      </c>
      <c r="H30" s="242" t="e">
        <f t="shared" si="38"/>
        <v>#DIV/0!</v>
      </c>
      <c r="I30" s="242" t="e">
        <f t="shared" si="38"/>
        <v>#DIV/0!</v>
      </c>
      <c r="J30" s="242" t="e">
        <f t="shared" ref="J30:N30" si="39">J7/J12</f>
        <v>#DIV/0!</v>
      </c>
      <c r="K30" s="242" t="e">
        <f t="shared" si="39"/>
        <v>#DIV/0!</v>
      </c>
      <c r="L30" s="242" t="e">
        <f t="shared" si="39"/>
        <v>#DIV/0!</v>
      </c>
      <c r="M30" s="242" t="e">
        <f t="shared" si="39"/>
        <v>#DIV/0!</v>
      </c>
      <c r="N30" s="242" t="e">
        <f t="shared" si="39"/>
        <v>#DIV/0!</v>
      </c>
    </row>
    <row r="31" spans="2:14" ht="25.5">
      <c r="B31" s="30" t="s">
        <v>292</v>
      </c>
      <c r="C31" s="241" t="e">
        <f t="shared" ref="C31:I31" si="40">+(C7-C9)/C12</f>
        <v>#DIV/0!</v>
      </c>
      <c r="D31" s="241" t="e">
        <f t="shared" si="40"/>
        <v>#DIV/0!</v>
      </c>
      <c r="E31" s="241" t="e">
        <f t="shared" si="40"/>
        <v>#DIV/0!</v>
      </c>
      <c r="F31" s="241" t="e">
        <f t="shared" si="40"/>
        <v>#DIV/0!</v>
      </c>
      <c r="G31" s="241" t="e">
        <f t="shared" si="40"/>
        <v>#DIV/0!</v>
      </c>
      <c r="H31" s="241" t="e">
        <f t="shared" si="40"/>
        <v>#DIV/0!</v>
      </c>
      <c r="I31" s="241" t="e">
        <f t="shared" si="40"/>
        <v>#DIV/0!</v>
      </c>
      <c r="J31" s="241" t="e">
        <f t="shared" ref="J31:N31" si="41">+(J7-J9)/J12</f>
        <v>#DIV/0!</v>
      </c>
      <c r="K31" s="241" t="e">
        <f t="shared" si="41"/>
        <v>#DIV/0!</v>
      </c>
      <c r="L31" s="241" t="e">
        <f t="shared" si="41"/>
        <v>#DIV/0!</v>
      </c>
      <c r="M31" s="241" t="e">
        <f t="shared" si="41"/>
        <v>#DIV/0!</v>
      </c>
      <c r="N31" s="241" t="e">
        <f t="shared" si="41"/>
        <v>#DIV/0!</v>
      </c>
    </row>
    <row r="32" spans="2:14" ht="25.5">
      <c r="B32" s="32" t="s">
        <v>153</v>
      </c>
      <c r="C32" s="33" t="e">
        <f t="shared" ref="C32:I32" si="42">C14/C11</f>
        <v>#DIV/0!</v>
      </c>
      <c r="D32" s="33" t="e">
        <f t="shared" si="42"/>
        <v>#DIV/0!</v>
      </c>
      <c r="E32" s="33" t="e">
        <f t="shared" si="42"/>
        <v>#DIV/0!</v>
      </c>
      <c r="F32" s="33" t="e">
        <f t="shared" si="42"/>
        <v>#DIV/0!</v>
      </c>
      <c r="G32" s="33" t="e">
        <f t="shared" si="42"/>
        <v>#DIV/0!</v>
      </c>
      <c r="H32" s="33" t="e">
        <f t="shared" si="42"/>
        <v>#DIV/0!</v>
      </c>
      <c r="I32" s="33" t="e">
        <f t="shared" si="42"/>
        <v>#DIV/0!</v>
      </c>
      <c r="J32" s="33" t="e">
        <f t="shared" ref="J32:N32" si="43">J14/J11</f>
        <v>#DIV/0!</v>
      </c>
      <c r="K32" s="33" t="e">
        <f t="shared" si="43"/>
        <v>#DIV/0!</v>
      </c>
      <c r="L32" s="33" t="e">
        <f t="shared" si="43"/>
        <v>#DIV/0!</v>
      </c>
      <c r="M32" s="33" t="e">
        <f t="shared" si="43"/>
        <v>#DIV/0!</v>
      </c>
      <c r="N32" s="33" t="e">
        <f t="shared" si="43"/>
        <v>#DIV/0!</v>
      </c>
    </row>
    <row r="35" spans="2:14" ht="25.5">
      <c r="B35" s="35" t="s">
        <v>293</v>
      </c>
      <c r="C35" s="36">
        <f>+C109</f>
        <v>0</v>
      </c>
      <c r="D35" s="36">
        <f t="shared" ref="D35:I35" si="44">+D109</f>
        <v>0</v>
      </c>
      <c r="E35" s="36">
        <f t="shared" si="44"/>
        <v>0</v>
      </c>
      <c r="F35" s="36">
        <f t="shared" si="44"/>
        <v>0</v>
      </c>
      <c r="G35" s="36">
        <f t="shared" si="44"/>
        <v>0</v>
      </c>
      <c r="H35" s="36">
        <f t="shared" si="44"/>
        <v>0</v>
      </c>
      <c r="I35" s="36">
        <f t="shared" si="44"/>
        <v>0</v>
      </c>
      <c r="J35" s="36">
        <f t="shared" ref="J35:N35" si="45">+J109</f>
        <v>0</v>
      </c>
      <c r="K35" s="36">
        <f t="shared" si="45"/>
        <v>0</v>
      </c>
      <c r="L35" s="36">
        <f t="shared" si="45"/>
        <v>0</v>
      </c>
      <c r="M35" s="36">
        <f t="shared" si="45"/>
        <v>0</v>
      </c>
      <c r="N35" s="36">
        <f t="shared" si="45"/>
        <v>0</v>
      </c>
    </row>
    <row r="36" spans="2:14" ht="25.5">
      <c r="B36" s="39" t="s">
        <v>156</v>
      </c>
      <c r="C36" s="40">
        <f>+C116</f>
        <v>0</v>
      </c>
      <c r="D36" s="40">
        <f t="shared" ref="D36:I36" si="46">+D116</f>
        <v>0</v>
      </c>
      <c r="E36" s="40">
        <f t="shared" si="46"/>
        <v>0</v>
      </c>
      <c r="F36" s="40">
        <f t="shared" si="46"/>
        <v>0</v>
      </c>
      <c r="G36" s="40">
        <f t="shared" si="46"/>
        <v>0</v>
      </c>
      <c r="H36" s="40">
        <f t="shared" si="46"/>
        <v>0</v>
      </c>
      <c r="I36" s="40">
        <f t="shared" si="46"/>
        <v>0</v>
      </c>
      <c r="J36" s="40">
        <f t="shared" ref="J36:N36" si="47">+J116</f>
        <v>0</v>
      </c>
      <c r="K36" s="40">
        <f t="shared" si="47"/>
        <v>0</v>
      </c>
      <c r="L36" s="40">
        <f t="shared" si="47"/>
        <v>0</v>
      </c>
      <c r="M36" s="40">
        <f t="shared" si="47"/>
        <v>0</v>
      </c>
      <c r="N36" s="40">
        <f t="shared" si="47"/>
        <v>0</v>
      </c>
    </row>
    <row r="37" spans="2:14" ht="25.5">
      <c r="B37" s="35" t="s">
        <v>381</v>
      </c>
      <c r="C37" s="41" t="e">
        <f>C36/C35</f>
        <v>#DIV/0!</v>
      </c>
      <c r="D37" s="41" t="e">
        <f t="shared" ref="D37:I37" si="48">D36/D35</f>
        <v>#DIV/0!</v>
      </c>
      <c r="E37" s="41" t="e">
        <f t="shared" si="48"/>
        <v>#DIV/0!</v>
      </c>
      <c r="F37" s="41" t="e">
        <f t="shared" si="48"/>
        <v>#DIV/0!</v>
      </c>
      <c r="G37" s="41" t="e">
        <f t="shared" si="48"/>
        <v>#DIV/0!</v>
      </c>
      <c r="H37" s="41" t="e">
        <f t="shared" si="48"/>
        <v>#DIV/0!</v>
      </c>
      <c r="I37" s="41" t="e">
        <f t="shared" si="48"/>
        <v>#DIV/0!</v>
      </c>
      <c r="J37" s="41" t="e">
        <f t="shared" ref="J37:N37" si="49">J36/J35</f>
        <v>#DIV/0!</v>
      </c>
      <c r="K37" s="41" t="e">
        <f t="shared" si="49"/>
        <v>#DIV/0!</v>
      </c>
      <c r="L37" s="41" t="e">
        <f t="shared" si="49"/>
        <v>#DIV/0!</v>
      </c>
      <c r="M37" s="41" t="e">
        <f t="shared" si="49"/>
        <v>#DIV/0!</v>
      </c>
      <c r="N37" s="41" t="e">
        <f t="shared" si="49"/>
        <v>#DIV/0!</v>
      </c>
    </row>
    <row r="38" spans="2:14" ht="25.5">
      <c r="B38" s="43" t="s">
        <v>295</v>
      </c>
      <c r="C38" s="44">
        <f>+C126</f>
        <v>0</v>
      </c>
      <c r="D38" s="44">
        <f t="shared" ref="D38:I38" si="50">+D126</f>
        <v>0</v>
      </c>
      <c r="E38" s="44">
        <f t="shared" si="50"/>
        <v>0</v>
      </c>
      <c r="F38" s="44">
        <f t="shared" si="50"/>
        <v>0</v>
      </c>
      <c r="G38" s="44">
        <f t="shared" si="50"/>
        <v>0</v>
      </c>
      <c r="H38" s="44">
        <f t="shared" si="50"/>
        <v>0</v>
      </c>
      <c r="I38" s="44">
        <f t="shared" si="50"/>
        <v>0</v>
      </c>
      <c r="J38" s="44">
        <f t="shared" ref="J38:N38" si="51">+J126</f>
        <v>0</v>
      </c>
      <c r="K38" s="44">
        <f t="shared" si="51"/>
        <v>0</v>
      </c>
      <c r="L38" s="44">
        <f t="shared" si="51"/>
        <v>0</v>
      </c>
      <c r="M38" s="44">
        <f t="shared" si="51"/>
        <v>0</v>
      </c>
      <c r="N38" s="44">
        <f t="shared" si="51"/>
        <v>0</v>
      </c>
    </row>
    <row r="39" spans="2:14" ht="25.5">
      <c r="B39" s="30" t="s">
        <v>296</v>
      </c>
      <c r="C39" s="45" t="e">
        <f>C38/C35</f>
        <v>#DIV/0!</v>
      </c>
      <c r="D39" s="45" t="e">
        <f t="shared" ref="D39:I39" si="52">D38/D35</f>
        <v>#DIV/0!</v>
      </c>
      <c r="E39" s="45" t="e">
        <f t="shared" si="52"/>
        <v>#DIV/0!</v>
      </c>
      <c r="F39" s="45" t="e">
        <f t="shared" si="52"/>
        <v>#DIV/0!</v>
      </c>
      <c r="G39" s="45" t="e">
        <f t="shared" si="52"/>
        <v>#DIV/0!</v>
      </c>
      <c r="H39" s="45" t="e">
        <f t="shared" si="52"/>
        <v>#DIV/0!</v>
      </c>
      <c r="I39" s="45" t="e">
        <f t="shared" si="52"/>
        <v>#DIV/0!</v>
      </c>
      <c r="J39" s="45" t="e">
        <f t="shared" ref="J39:N39" si="53">J38/J35</f>
        <v>#DIV/0!</v>
      </c>
      <c r="K39" s="45" t="e">
        <f t="shared" si="53"/>
        <v>#DIV/0!</v>
      </c>
      <c r="L39" s="45" t="e">
        <f t="shared" si="53"/>
        <v>#DIV/0!</v>
      </c>
      <c r="M39" s="45" t="e">
        <f t="shared" si="53"/>
        <v>#DIV/0!</v>
      </c>
      <c r="N39" s="45" t="e">
        <f t="shared" si="53"/>
        <v>#DIV/0!</v>
      </c>
    </row>
    <row r="40" spans="2:14" ht="25.5">
      <c r="B40" s="46" t="s">
        <v>159</v>
      </c>
      <c r="C40" s="121">
        <f>+C127</f>
        <v>0</v>
      </c>
      <c r="D40" s="121">
        <f t="shared" ref="D40:I40" si="54">+D127</f>
        <v>0</v>
      </c>
      <c r="E40" s="121">
        <f t="shared" si="54"/>
        <v>0</v>
      </c>
      <c r="F40" s="121">
        <f t="shared" si="54"/>
        <v>0</v>
      </c>
      <c r="G40" s="121">
        <f t="shared" si="54"/>
        <v>0</v>
      </c>
      <c r="H40" s="121">
        <f t="shared" si="54"/>
        <v>0</v>
      </c>
      <c r="I40" s="121">
        <f t="shared" si="54"/>
        <v>0</v>
      </c>
      <c r="J40" s="121">
        <f t="shared" ref="J40:N40" si="55">+J127</f>
        <v>0</v>
      </c>
      <c r="K40" s="121">
        <f t="shared" si="55"/>
        <v>0</v>
      </c>
      <c r="L40" s="121">
        <f t="shared" si="55"/>
        <v>0</v>
      </c>
      <c r="M40" s="121">
        <f t="shared" si="55"/>
        <v>0</v>
      </c>
      <c r="N40" s="121">
        <f t="shared" si="55"/>
        <v>0</v>
      </c>
    </row>
    <row r="41" spans="2:14" ht="25.5">
      <c r="B41" s="48" t="s">
        <v>160</v>
      </c>
      <c r="C41" s="49" t="e">
        <f t="shared" ref="C41" si="56">C38/C15</f>
        <v>#DIV/0!</v>
      </c>
      <c r="D41" s="49" t="e">
        <f t="shared" ref="D41:I41" si="57">D38/D15</f>
        <v>#DIV/0!</v>
      </c>
      <c r="E41" s="49" t="e">
        <f t="shared" si="57"/>
        <v>#DIV/0!</v>
      </c>
      <c r="F41" s="49" t="e">
        <f t="shared" si="57"/>
        <v>#DIV/0!</v>
      </c>
      <c r="G41" s="49" t="e">
        <f t="shared" si="57"/>
        <v>#DIV/0!</v>
      </c>
      <c r="H41" s="49" t="e">
        <f t="shared" si="57"/>
        <v>#DIV/0!</v>
      </c>
      <c r="I41" s="49" t="e">
        <f t="shared" si="57"/>
        <v>#DIV/0!</v>
      </c>
      <c r="J41" s="49" t="e">
        <f t="shared" ref="J41:N41" si="58">J38/J15</f>
        <v>#DIV/0!</v>
      </c>
      <c r="K41" s="49" t="e">
        <f t="shared" si="58"/>
        <v>#DIV/0!</v>
      </c>
      <c r="L41" s="49" t="e">
        <f t="shared" si="58"/>
        <v>#DIV/0!</v>
      </c>
      <c r="M41" s="49" t="e">
        <f t="shared" si="58"/>
        <v>#DIV/0!</v>
      </c>
      <c r="N41" s="49" t="e">
        <f t="shared" si="58"/>
        <v>#DIV/0!</v>
      </c>
    </row>
    <row r="42" spans="2:14" ht="25.5">
      <c r="B42" s="48" t="s">
        <v>382</v>
      </c>
      <c r="C42" s="49" t="e">
        <f>AVERAGE(C41:H41)</f>
        <v>#DIV/0!</v>
      </c>
      <c r="D42" s="49"/>
      <c r="E42" s="49"/>
      <c r="F42" s="49"/>
      <c r="G42" s="49"/>
      <c r="H42" s="49"/>
      <c r="I42" s="49"/>
      <c r="J42" s="49"/>
      <c r="K42" s="49"/>
      <c r="L42" s="49"/>
      <c r="M42" s="49"/>
      <c r="N42" s="49"/>
    </row>
    <row r="43" spans="2:14" ht="25.5">
      <c r="B43" s="48" t="s">
        <v>298</v>
      </c>
      <c r="C43" s="50">
        <f>+C139</f>
        <v>0</v>
      </c>
      <c r="D43" s="50">
        <f t="shared" ref="D43:I43" si="59">+D139</f>
        <v>0</v>
      </c>
      <c r="E43" s="50">
        <f t="shared" si="59"/>
        <v>0</v>
      </c>
      <c r="F43" s="50">
        <f t="shared" si="59"/>
        <v>0</v>
      </c>
      <c r="G43" s="50">
        <f t="shared" si="59"/>
        <v>0</v>
      </c>
      <c r="H43" s="50">
        <f t="shared" si="59"/>
        <v>0</v>
      </c>
      <c r="I43" s="50">
        <f t="shared" si="59"/>
        <v>0</v>
      </c>
      <c r="J43" s="50">
        <f t="shared" ref="J43:N43" si="60">+J139</f>
        <v>0</v>
      </c>
      <c r="K43" s="50">
        <f t="shared" si="60"/>
        <v>0</v>
      </c>
      <c r="L43" s="50">
        <f t="shared" si="60"/>
        <v>0</v>
      </c>
      <c r="M43" s="50">
        <f t="shared" si="60"/>
        <v>0</v>
      </c>
      <c r="N43" s="50">
        <f t="shared" si="60"/>
        <v>0</v>
      </c>
    </row>
    <row r="44" spans="2:14" ht="25.5">
      <c r="B44" s="51" t="s">
        <v>119</v>
      </c>
      <c r="C44" s="51">
        <f>SUM(C46:C49)</f>
        <v>0</v>
      </c>
      <c r="D44" s="51">
        <f t="shared" ref="D44:F44" si="61">SUM(D46:D49)</f>
        <v>0</v>
      </c>
      <c r="E44" s="51">
        <f t="shared" si="61"/>
        <v>0</v>
      </c>
      <c r="F44" s="51">
        <f t="shared" si="61"/>
        <v>0</v>
      </c>
      <c r="G44" s="51">
        <f>SUM(G46:G49)</f>
        <v>0</v>
      </c>
      <c r="H44" s="51">
        <f>SUM(H46:H49)</f>
        <v>0</v>
      </c>
      <c r="I44" s="51">
        <f t="shared" ref="I44:N44" si="62">SUM(I46:I48)</f>
        <v>0</v>
      </c>
      <c r="J44" s="51">
        <f t="shared" si="62"/>
        <v>0</v>
      </c>
      <c r="K44" s="51">
        <f t="shared" si="62"/>
        <v>0</v>
      </c>
      <c r="L44" s="51">
        <f t="shared" si="62"/>
        <v>0</v>
      </c>
      <c r="M44" s="51">
        <f t="shared" si="62"/>
        <v>0</v>
      </c>
      <c r="N44" s="51">
        <f t="shared" si="62"/>
        <v>0</v>
      </c>
    </row>
    <row r="45" spans="2:14" ht="25.5">
      <c r="B45" s="51" t="s">
        <v>383</v>
      </c>
      <c r="C45" s="51">
        <f>+C46+C47</f>
        <v>0</v>
      </c>
      <c r="D45" s="51">
        <f t="shared" ref="D45:I45" si="63">+D46+D47</f>
        <v>0</v>
      </c>
      <c r="E45" s="51">
        <f t="shared" si="63"/>
        <v>0</v>
      </c>
      <c r="F45" s="51">
        <f t="shared" si="63"/>
        <v>0</v>
      </c>
      <c r="G45" s="51">
        <f t="shared" si="63"/>
        <v>0</v>
      </c>
      <c r="H45" s="51">
        <f t="shared" si="63"/>
        <v>0</v>
      </c>
      <c r="I45" s="51">
        <f t="shared" si="63"/>
        <v>0</v>
      </c>
      <c r="J45" s="51">
        <f t="shared" ref="J45:N45" si="64">+J46+J47</f>
        <v>0</v>
      </c>
      <c r="K45" s="51">
        <f t="shared" si="64"/>
        <v>0</v>
      </c>
      <c r="L45" s="51">
        <f t="shared" si="64"/>
        <v>0</v>
      </c>
      <c r="M45" s="51">
        <f t="shared" si="64"/>
        <v>0</v>
      </c>
      <c r="N45" s="51">
        <f t="shared" si="64"/>
        <v>0</v>
      </c>
    </row>
    <row r="46" spans="2:14" ht="18">
      <c r="B46" s="135" t="s">
        <v>121</v>
      </c>
      <c r="C46" s="94"/>
      <c r="D46" s="94"/>
      <c r="E46" s="94"/>
      <c r="F46" s="94"/>
      <c r="G46" s="94"/>
      <c r="H46" s="94"/>
      <c r="I46" s="155"/>
      <c r="J46" s="155"/>
      <c r="K46" s="155"/>
      <c r="L46" s="155"/>
      <c r="M46" s="155"/>
      <c r="N46" s="155"/>
    </row>
    <row r="47" spans="2:14" ht="18">
      <c r="B47" s="135" t="s">
        <v>122</v>
      </c>
      <c r="C47" s="94"/>
      <c r="D47" s="94"/>
      <c r="E47" s="94"/>
      <c r="F47" s="94"/>
      <c r="G47" s="94"/>
      <c r="H47" s="94"/>
      <c r="I47" s="155"/>
      <c r="J47" s="155"/>
      <c r="K47" s="155"/>
      <c r="L47" s="155"/>
      <c r="M47" s="155"/>
      <c r="N47" s="155"/>
    </row>
    <row r="48" spans="2:14" ht="18">
      <c r="B48" s="135" t="s">
        <v>123</v>
      </c>
      <c r="C48" s="94"/>
      <c r="D48" s="94"/>
      <c r="E48" s="94"/>
      <c r="F48" s="94"/>
      <c r="G48" s="94"/>
      <c r="H48" s="94"/>
      <c r="I48" s="155"/>
      <c r="J48" s="155"/>
      <c r="K48" s="155"/>
      <c r="L48" s="155"/>
      <c r="M48" s="155"/>
      <c r="N48" s="155"/>
    </row>
    <row r="49" spans="2:14" ht="18">
      <c r="B49" s="135" t="s">
        <v>124</v>
      </c>
      <c r="C49" s="94"/>
      <c r="D49" s="94"/>
      <c r="E49" s="94"/>
      <c r="F49" s="94"/>
      <c r="G49" s="94"/>
      <c r="H49" s="94"/>
      <c r="I49" s="94"/>
      <c r="J49" s="94"/>
      <c r="K49" s="94"/>
      <c r="L49" s="94"/>
      <c r="M49" s="94"/>
      <c r="N49" s="94"/>
    </row>
    <row r="50" spans="2:14" ht="28.5">
      <c r="B50" s="135" t="s">
        <v>167</v>
      </c>
      <c r="C50" s="156" t="e">
        <f t="shared" ref="C50:N50" si="65">(C47+C48+C49+D46)/C40</f>
        <v>#DIV/0!</v>
      </c>
      <c r="D50" s="156" t="e">
        <f t="shared" si="65"/>
        <v>#DIV/0!</v>
      </c>
      <c r="E50" s="156" t="e">
        <f t="shared" si="65"/>
        <v>#DIV/0!</v>
      </c>
      <c r="F50" s="156" t="e">
        <f t="shared" si="65"/>
        <v>#DIV/0!</v>
      </c>
      <c r="G50" s="156" t="e">
        <f t="shared" si="65"/>
        <v>#DIV/0!</v>
      </c>
      <c r="H50" s="156" t="e">
        <f t="shared" si="65"/>
        <v>#DIV/0!</v>
      </c>
      <c r="I50" s="156" t="e">
        <f t="shared" si="65"/>
        <v>#DIV/0!</v>
      </c>
      <c r="J50" s="156" t="e">
        <f t="shared" si="65"/>
        <v>#DIV/0!</v>
      </c>
      <c r="K50" s="156" t="e">
        <f t="shared" si="65"/>
        <v>#DIV/0!</v>
      </c>
      <c r="L50" s="156" t="e">
        <f t="shared" si="65"/>
        <v>#DIV/0!</v>
      </c>
      <c r="M50" s="156" t="e">
        <f t="shared" si="65"/>
        <v>#DIV/0!</v>
      </c>
      <c r="N50" s="156" t="e">
        <f t="shared" si="65"/>
        <v>#DIV/0!</v>
      </c>
    </row>
    <row r="51" spans="2:14" ht="23.25">
      <c r="B51" s="143" t="s">
        <v>299</v>
      </c>
      <c r="C51" s="144" t="e">
        <f t="shared" ref="C51:I51" si="66">+C44/C19</f>
        <v>#DIV/0!</v>
      </c>
      <c r="D51" s="144" t="e">
        <f t="shared" si="66"/>
        <v>#DIV/0!</v>
      </c>
      <c r="E51" s="144" t="e">
        <f t="shared" si="66"/>
        <v>#DIV/0!</v>
      </c>
      <c r="F51" s="144" t="e">
        <f t="shared" si="66"/>
        <v>#DIV/0!</v>
      </c>
      <c r="G51" s="144" t="e">
        <f t="shared" si="66"/>
        <v>#DIV/0!</v>
      </c>
      <c r="H51" s="144" t="e">
        <f t="shared" si="66"/>
        <v>#DIV/0!</v>
      </c>
      <c r="I51" s="144" t="e">
        <f t="shared" si="66"/>
        <v>#DIV/0!</v>
      </c>
      <c r="J51" s="144" t="e">
        <f t="shared" ref="J51:N51" si="67">+J44/J19</f>
        <v>#DIV/0!</v>
      </c>
      <c r="K51" s="144" t="e">
        <f t="shared" si="67"/>
        <v>#DIV/0!</v>
      </c>
      <c r="L51" s="144" t="e">
        <f t="shared" si="67"/>
        <v>#DIV/0!</v>
      </c>
      <c r="M51" s="144" t="e">
        <f t="shared" si="67"/>
        <v>#DIV/0!</v>
      </c>
      <c r="N51" s="144" t="e">
        <f t="shared" si="67"/>
        <v>#DIV/0!</v>
      </c>
    </row>
    <row r="52" spans="2:14" ht="25.5">
      <c r="B52" s="354" t="s">
        <v>176</v>
      </c>
      <c r="C52" s="355" t="e">
        <f>+C41*(100%-C50)</f>
        <v>#DIV/0!</v>
      </c>
      <c r="D52" s="355" t="e">
        <f t="shared" ref="D52:I52" si="68">+D41*(100%-D50)</f>
        <v>#DIV/0!</v>
      </c>
      <c r="E52" s="355" t="e">
        <f t="shared" si="68"/>
        <v>#DIV/0!</v>
      </c>
      <c r="F52" s="355" t="e">
        <f t="shared" si="68"/>
        <v>#DIV/0!</v>
      </c>
      <c r="G52" s="355" t="e">
        <f t="shared" si="68"/>
        <v>#DIV/0!</v>
      </c>
      <c r="H52" s="355" t="e">
        <f t="shared" si="68"/>
        <v>#DIV/0!</v>
      </c>
      <c r="I52" s="355" t="e">
        <f t="shared" si="68"/>
        <v>#DIV/0!</v>
      </c>
      <c r="J52" s="355" t="e">
        <f t="shared" ref="J52:N52" si="69">+J41*(100%-J50)</f>
        <v>#DIV/0!</v>
      </c>
      <c r="K52" s="355" t="e">
        <f t="shared" si="69"/>
        <v>#DIV/0!</v>
      </c>
      <c r="L52" s="355" t="e">
        <f t="shared" si="69"/>
        <v>#DIV/0!</v>
      </c>
      <c r="M52" s="355" t="e">
        <f t="shared" si="69"/>
        <v>#DIV/0!</v>
      </c>
      <c r="N52" s="355" t="e">
        <f t="shared" si="69"/>
        <v>#DIV/0!</v>
      </c>
    </row>
    <row r="54" spans="2:14">
      <c r="B54" s="75" t="s">
        <v>307</v>
      </c>
    </row>
    <row r="55" spans="2:14" ht="14.65" thickBot="1"/>
    <row r="56" spans="2:14">
      <c r="B56" s="57" t="s">
        <v>385</v>
      </c>
      <c r="C56" s="158">
        <v>2017</v>
      </c>
      <c r="D56" s="158">
        <v>2018</v>
      </c>
      <c r="E56" s="158">
        <v>2019</v>
      </c>
      <c r="F56" s="158">
        <v>2020</v>
      </c>
      <c r="G56" s="158">
        <v>2021</v>
      </c>
      <c r="H56" s="158">
        <v>2022</v>
      </c>
      <c r="I56" s="158">
        <v>2023</v>
      </c>
      <c r="J56" s="158">
        <v>2024</v>
      </c>
      <c r="K56" s="158">
        <v>2025</v>
      </c>
      <c r="L56" s="158">
        <v>2026</v>
      </c>
      <c r="M56" s="158">
        <v>2027</v>
      </c>
      <c r="N56" s="158">
        <v>2028</v>
      </c>
    </row>
    <row r="57" spans="2:14">
      <c r="B57" s="157" t="s">
        <v>309</v>
      </c>
      <c r="C57" s="66"/>
      <c r="D57" s="66"/>
      <c r="E57" s="66"/>
      <c r="F57" s="66"/>
      <c r="G57" s="66"/>
      <c r="H57" s="66"/>
      <c r="I57" s="66"/>
      <c r="J57" s="66"/>
      <c r="K57" s="66"/>
      <c r="L57" s="66"/>
      <c r="M57" s="66"/>
      <c r="N57" s="66"/>
    </row>
    <row r="58" spans="2:14">
      <c r="B58" s="58" t="s">
        <v>310</v>
      </c>
      <c r="C58" s="64"/>
      <c r="D58" s="64"/>
      <c r="E58" s="64"/>
      <c r="F58" s="159"/>
      <c r="G58" s="64"/>
      <c r="H58" s="141"/>
      <c r="I58" s="64"/>
      <c r="J58" s="64"/>
      <c r="K58" s="64"/>
      <c r="L58" s="64"/>
      <c r="M58" s="64"/>
      <c r="N58" s="64"/>
    </row>
    <row r="59" spans="2:14">
      <c r="B59" s="59" t="s">
        <v>386</v>
      </c>
      <c r="C59" s="66"/>
      <c r="D59" s="66"/>
      <c r="E59" s="66"/>
      <c r="F59" s="66"/>
      <c r="G59" s="66"/>
      <c r="H59" s="160"/>
      <c r="I59" s="66"/>
      <c r="J59" s="66"/>
      <c r="K59" s="66"/>
      <c r="L59" s="66"/>
      <c r="M59" s="66"/>
      <c r="N59" s="66"/>
    </row>
    <row r="60" spans="2:14">
      <c r="B60" s="59" t="s">
        <v>387</v>
      </c>
      <c r="C60" s="66"/>
      <c r="D60" s="66"/>
      <c r="E60" s="66"/>
      <c r="F60" s="66"/>
      <c r="G60" s="66"/>
      <c r="H60" s="160"/>
      <c r="I60" s="66"/>
      <c r="J60" s="66"/>
      <c r="K60" s="66"/>
      <c r="L60" s="66"/>
      <c r="M60" s="66"/>
      <c r="N60" s="66"/>
    </row>
    <row r="61" spans="2:14">
      <c r="B61" s="59" t="s">
        <v>388</v>
      </c>
      <c r="C61" s="66"/>
      <c r="D61" s="66"/>
      <c r="E61" s="66"/>
      <c r="F61" s="66"/>
      <c r="G61" s="66"/>
      <c r="H61" s="160"/>
      <c r="I61" s="66"/>
      <c r="J61" s="66"/>
      <c r="K61" s="66"/>
      <c r="L61" s="66"/>
      <c r="M61" s="66"/>
      <c r="N61" s="66"/>
    </row>
    <row r="62" spans="2:14">
      <c r="B62" s="59" t="s">
        <v>389</v>
      </c>
      <c r="C62" s="66"/>
      <c r="D62" s="66"/>
      <c r="E62" s="66"/>
      <c r="F62" s="66"/>
      <c r="G62" s="66"/>
      <c r="H62" s="160"/>
      <c r="I62" s="66"/>
      <c r="J62" s="66"/>
      <c r="K62" s="66"/>
      <c r="L62" s="66"/>
      <c r="M62" s="66"/>
      <c r="N62" s="66"/>
    </row>
    <row r="63" spans="2:14">
      <c r="B63" s="59" t="s">
        <v>390</v>
      </c>
      <c r="C63" s="66"/>
      <c r="D63" s="66"/>
      <c r="E63" s="66"/>
      <c r="F63" s="66"/>
      <c r="G63" s="66"/>
      <c r="H63" s="160"/>
      <c r="I63" s="66"/>
      <c r="J63" s="66"/>
      <c r="K63" s="66"/>
      <c r="L63" s="66"/>
      <c r="M63" s="66"/>
      <c r="N63" s="66"/>
    </row>
    <row r="64" spans="2:14">
      <c r="B64" s="59" t="s">
        <v>391</v>
      </c>
      <c r="C64" s="161"/>
      <c r="D64" s="66"/>
      <c r="E64" s="66"/>
      <c r="F64" s="66"/>
      <c r="G64" s="66"/>
      <c r="H64" s="160"/>
      <c r="I64" s="66"/>
      <c r="J64" s="66"/>
      <c r="K64" s="66"/>
      <c r="L64" s="66"/>
      <c r="M64" s="66"/>
      <c r="N64" s="66"/>
    </row>
    <row r="65" spans="2:14">
      <c r="B65" s="59" t="s">
        <v>392</v>
      </c>
      <c r="C65" s="66"/>
      <c r="D65" s="66"/>
      <c r="E65" s="66"/>
      <c r="F65" s="66"/>
      <c r="G65" s="66"/>
      <c r="H65" s="160"/>
      <c r="I65" s="66"/>
      <c r="J65" s="66"/>
      <c r="K65" s="66"/>
      <c r="L65" s="66"/>
      <c r="M65" s="66"/>
      <c r="N65" s="66"/>
    </row>
    <row r="66" spans="2:14">
      <c r="B66" s="59" t="s">
        <v>318</v>
      </c>
      <c r="C66" s="66">
        <f t="shared" ref="C66:H66" si="70">+C58-C59-C64-C65-C63-C62-C61-C60</f>
        <v>0</v>
      </c>
      <c r="D66" s="66">
        <f t="shared" si="70"/>
        <v>0</v>
      </c>
      <c r="E66" s="66">
        <f t="shared" si="70"/>
        <v>0</v>
      </c>
      <c r="F66" s="66">
        <f t="shared" si="70"/>
        <v>0</v>
      </c>
      <c r="G66" s="66">
        <f t="shared" si="70"/>
        <v>0</v>
      </c>
      <c r="H66" s="66">
        <f t="shared" si="70"/>
        <v>0</v>
      </c>
      <c r="I66" s="66"/>
      <c r="J66" s="66"/>
      <c r="K66" s="66"/>
      <c r="L66" s="66"/>
      <c r="M66" s="66"/>
      <c r="N66" s="66"/>
    </row>
    <row r="67" spans="2:14">
      <c r="B67" s="58" t="s">
        <v>319</v>
      </c>
      <c r="C67" s="64"/>
      <c r="D67" s="64"/>
      <c r="E67" s="64"/>
      <c r="F67" s="159"/>
      <c r="G67" s="64"/>
      <c r="H67" s="141"/>
      <c r="I67" s="64"/>
      <c r="J67" s="64"/>
      <c r="K67" s="64"/>
      <c r="L67" s="64"/>
      <c r="M67" s="64"/>
      <c r="N67" s="64"/>
    </row>
    <row r="68" spans="2:14">
      <c r="B68" s="59" t="s">
        <v>393</v>
      </c>
      <c r="C68" s="66"/>
      <c r="D68" s="66"/>
      <c r="E68" s="66"/>
      <c r="F68" s="66"/>
      <c r="G68" s="66"/>
      <c r="H68" s="160"/>
      <c r="I68" s="66"/>
      <c r="J68" s="66"/>
      <c r="K68" s="66"/>
      <c r="L68" s="66"/>
      <c r="M68" s="66"/>
      <c r="N68" s="66"/>
    </row>
    <row r="69" spans="2:14">
      <c r="B69" s="59" t="s">
        <v>394</v>
      </c>
      <c r="C69" s="66"/>
      <c r="D69" s="66"/>
      <c r="E69" s="66"/>
      <c r="F69" s="66"/>
      <c r="G69" s="66"/>
      <c r="H69" s="160"/>
      <c r="I69" s="66"/>
      <c r="J69" s="66"/>
      <c r="K69" s="66"/>
      <c r="L69" s="66"/>
      <c r="M69" s="66"/>
      <c r="N69" s="66"/>
    </row>
    <row r="70" spans="2:14">
      <c r="B70" s="59" t="s">
        <v>590</v>
      </c>
      <c r="C70" s="66"/>
      <c r="D70" s="66"/>
      <c r="E70" s="66"/>
      <c r="F70" s="66"/>
      <c r="G70" s="66"/>
      <c r="H70" s="160"/>
      <c r="I70" s="66"/>
      <c r="J70" s="66"/>
      <c r="K70" s="66"/>
      <c r="L70" s="66"/>
      <c r="M70" s="66"/>
      <c r="N70" s="66"/>
    </row>
    <row r="71" spans="2:14">
      <c r="B71" s="59" t="s">
        <v>396</v>
      </c>
      <c r="C71" s="66"/>
      <c r="D71" s="66"/>
      <c r="E71" s="66"/>
      <c r="F71" s="66"/>
      <c r="G71" s="66"/>
      <c r="H71" s="160"/>
      <c r="I71" s="66"/>
      <c r="J71" s="66"/>
      <c r="K71" s="66"/>
      <c r="L71" s="66"/>
      <c r="M71" s="66"/>
      <c r="N71" s="66"/>
    </row>
    <row r="72" spans="2:14">
      <c r="B72" s="59" t="s">
        <v>397</v>
      </c>
      <c r="C72" s="66"/>
      <c r="D72" s="66"/>
      <c r="E72" s="66"/>
      <c r="F72" s="66"/>
      <c r="G72" s="66"/>
      <c r="H72" s="160"/>
      <c r="I72" s="66"/>
      <c r="J72" s="66"/>
      <c r="K72" s="66"/>
      <c r="L72" s="66"/>
      <c r="M72" s="66"/>
      <c r="N72" s="66"/>
    </row>
    <row r="73" spans="2:14">
      <c r="B73" s="59" t="s">
        <v>398</v>
      </c>
      <c r="C73" s="66"/>
      <c r="D73" s="66"/>
      <c r="E73" s="66"/>
      <c r="F73" s="66"/>
      <c r="G73" s="66"/>
      <c r="H73" s="160"/>
      <c r="I73" s="66"/>
      <c r="J73" s="66"/>
      <c r="K73" s="66"/>
      <c r="L73" s="66"/>
      <c r="M73" s="66"/>
      <c r="N73" s="66"/>
    </row>
    <row r="74" spans="2:14">
      <c r="B74" s="59" t="s">
        <v>399</v>
      </c>
      <c r="C74" s="66"/>
      <c r="D74" s="66"/>
      <c r="E74" s="66"/>
      <c r="F74" s="66"/>
      <c r="G74" s="66"/>
      <c r="H74" s="160"/>
      <c r="I74" s="66"/>
      <c r="J74" s="66"/>
      <c r="K74" s="66"/>
      <c r="L74" s="66"/>
      <c r="M74" s="66"/>
      <c r="N74" s="66"/>
    </row>
    <row r="75" spans="2:14">
      <c r="B75" s="59" t="s">
        <v>400</v>
      </c>
      <c r="C75" s="66"/>
      <c r="D75" s="66"/>
      <c r="E75" s="66"/>
      <c r="F75" s="161"/>
      <c r="G75" s="66"/>
      <c r="H75" s="160"/>
      <c r="I75" s="66"/>
      <c r="J75" s="66"/>
      <c r="K75" s="66"/>
      <c r="L75" s="66"/>
      <c r="M75" s="66"/>
      <c r="N75" s="66"/>
    </row>
    <row r="76" spans="2:14">
      <c r="B76" s="59" t="s">
        <v>401</v>
      </c>
      <c r="C76" s="66"/>
      <c r="D76" s="66"/>
      <c r="E76" s="66"/>
      <c r="F76" s="66"/>
      <c r="G76" s="66"/>
      <c r="H76" s="160"/>
      <c r="I76" s="66"/>
      <c r="J76" s="66"/>
      <c r="K76" s="66"/>
      <c r="L76" s="66"/>
      <c r="M76" s="66"/>
      <c r="N76" s="66"/>
    </row>
    <row r="77" spans="2:14">
      <c r="B77" s="59" t="s">
        <v>328</v>
      </c>
      <c r="C77" s="66">
        <f t="shared" ref="C77:H77" si="71">+C67-C74-C75-C73-C68-C76-C72-C71-C70-C69</f>
        <v>0</v>
      </c>
      <c r="D77" s="66">
        <f t="shared" si="71"/>
        <v>0</v>
      </c>
      <c r="E77" s="66">
        <f t="shared" si="71"/>
        <v>0</v>
      </c>
      <c r="F77" s="66">
        <f t="shared" si="71"/>
        <v>0</v>
      </c>
      <c r="G77" s="66">
        <f t="shared" si="71"/>
        <v>0</v>
      </c>
      <c r="H77" s="66">
        <f t="shared" si="71"/>
        <v>0</v>
      </c>
      <c r="I77" s="66"/>
      <c r="J77" s="66"/>
      <c r="K77" s="66"/>
      <c r="L77" s="66"/>
      <c r="M77" s="66"/>
      <c r="N77" s="66"/>
    </row>
    <row r="78" spans="2:14" ht="14.65" thickBot="1">
      <c r="B78" s="60" t="s">
        <v>329</v>
      </c>
      <c r="C78" s="70">
        <f t="shared" ref="C78:H78" si="72">+C67+C58</f>
        <v>0</v>
      </c>
      <c r="D78" s="70">
        <f t="shared" si="72"/>
        <v>0</v>
      </c>
      <c r="E78" s="70">
        <f t="shared" si="72"/>
        <v>0</v>
      </c>
      <c r="F78" s="70">
        <f t="shared" si="72"/>
        <v>0</v>
      </c>
      <c r="G78" s="70">
        <f t="shared" si="72"/>
        <v>0</v>
      </c>
      <c r="H78" s="162">
        <f t="shared" si="72"/>
        <v>0</v>
      </c>
      <c r="I78" s="70"/>
      <c r="J78" s="70"/>
      <c r="K78" s="70"/>
      <c r="L78" s="70"/>
      <c r="M78" s="70"/>
      <c r="N78" s="70"/>
    </row>
    <row r="79" spans="2:14" ht="14.65" thickBot="1">
      <c r="B79" s="61"/>
      <c r="C79" s="72"/>
      <c r="D79" s="72"/>
      <c r="E79" s="72"/>
      <c r="F79" s="72"/>
      <c r="G79" s="72"/>
      <c r="H79" s="163"/>
      <c r="I79" s="72"/>
      <c r="J79" s="72"/>
      <c r="K79" s="72"/>
      <c r="L79" s="72"/>
      <c r="M79" s="72"/>
      <c r="N79" s="72"/>
    </row>
    <row r="80" spans="2:14">
      <c r="B80" s="57" t="s">
        <v>330</v>
      </c>
      <c r="C80" s="62"/>
      <c r="D80" s="62"/>
      <c r="E80" s="62"/>
      <c r="F80" s="62"/>
      <c r="G80" s="62"/>
      <c r="H80" s="164"/>
      <c r="I80" s="62"/>
      <c r="J80" s="62"/>
      <c r="K80" s="62"/>
      <c r="L80" s="62"/>
      <c r="M80" s="62"/>
      <c r="N80" s="62"/>
    </row>
    <row r="81" spans="2:14">
      <c r="B81" s="58" t="s">
        <v>310</v>
      </c>
      <c r="C81" s="64"/>
      <c r="D81" s="64"/>
      <c r="E81" s="64"/>
      <c r="F81" s="64"/>
      <c r="G81" s="64"/>
      <c r="H81" s="141"/>
      <c r="I81" s="64"/>
      <c r="J81" s="64"/>
      <c r="K81" s="64"/>
      <c r="L81" s="64"/>
      <c r="M81" s="64"/>
      <c r="N81" s="64"/>
    </row>
    <row r="82" spans="2:14">
      <c r="B82" s="59" t="s">
        <v>402</v>
      </c>
      <c r="C82" s="66"/>
      <c r="D82" s="66"/>
      <c r="E82" s="66"/>
      <c r="F82" s="66"/>
      <c r="G82" s="66"/>
      <c r="H82" s="160"/>
      <c r="I82" s="66"/>
      <c r="J82" s="66"/>
      <c r="K82" s="66"/>
      <c r="L82" s="66"/>
      <c r="M82" s="66"/>
      <c r="N82" s="66"/>
    </row>
    <row r="83" spans="2:14">
      <c r="B83" s="59" t="s">
        <v>403</v>
      </c>
      <c r="C83" s="66"/>
      <c r="D83" s="66"/>
      <c r="E83" s="66"/>
      <c r="F83" s="66"/>
      <c r="G83" s="66"/>
      <c r="H83" s="160"/>
      <c r="I83" s="66"/>
      <c r="J83" s="66"/>
      <c r="K83" s="66"/>
      <c r="L83" s="66"/>
      <c r="M83" s="66"/>
      <c r="N83" s="66"/>
    </row>
    <row r="84" spans="2:14">
      <c r="B84" s="59" t="s">
        <v>404</v>
      </c>
      <c r="C84" s="66"/>
      <c r="D84" s="66"/>
      <c r="E84" s="66"/>
      <c r="F84" s="66"/>
      <c r="G84" s="66"/>
      <c r="H84" s="160"/>
      <c r="I84" s="66"/>
      <c r="J84" s="66"/>
      <c r="K84" s="66"/>
      <c r="L84" s="66"/>
      <c r="M84" s="66"/>
      <c r="N84" s="66"/>
    </row>
    <row r="85" spans="2:14">
      <c r="B85" s="59" t="s">
        <v>405</v>
      </c>
      <c r="C85" s="66"/>
      <c r="D85" s="66"/>
      <c r="E85" s="66"/>
      <c r="F85" s="66"/>
      <c r="G85" s="66"/>
      <c r="H85" s="160"/>
      <c r="I85" s="66"/>
      <c r="J85" s="66"/>
      <c r="K85" s="66"/>
      <c r="L85" s="66"/>
      <c r="M85" s="66"/>
      <c r="N85" s="66"/>
    </row>
    <row r="86" spans="2:14">
      <c r="B86" s="59" t="s">
        <v>406</v>
      </c>
      <c r="C86" s="66"/>
      <c r="D86" s="66"/>
      <c r="E86" s="66"/>
      <c r="F86" s="66"/>
      <c r="G86" s="66"/>
      <c r="H86" s="160"/>
      <c r="I86" s="66"/>
      <c r="J86" s="66"/>
      <c r="K86" s="66"/>
      <c r="L86" s="66"/>
      <c r="M86" s="66"/>
      <c r="N86" s="66"/>
    </row>
    <row r="87" spans="2:14">
      <c r="B87" s="59" t="s">
        <v>407</v>
      </c>
      <c r="C87" s="66"/>
      <c r="D87" s="66"/>
      <c r="E87" s="66"/>
      <c r="F87" s="66"/>
      <c r="G87" s="66"/>
      <c r="H87" s="160"/>
      <c r="I87" s="66"/>
      <c r="J87" s="66"/>
      <c r="K87" s="66"/>
      <c r="L87" s="66"/>
      <c r="M87" s="66"/>
      <c r="N87" s="66"/>
    </row>
    <row r="88" spans="2:14">
      <c r="B88" s="59" t="s">
        <v>408</v>
      </c>
      <c r="C88" s="66"/>
      <c r="D88" s="66"/>
      <c r="E88" s="66"/>
      <c r="F88" s="66"/>
      <c r="G88" s="66"/>
      <c r="H88" s="160"/>
      <c r="I88" s="66"/>
      <c r="J88" s="66"/>
      <c r="K88" s="66"/>
      <c r="L88" s="66"/>
      <c r="M88" s="66"/>
      <c r="N88" s="66"/>
    </row>
    <row r="89" spans="2:14">
      <c r="B89" s="59" t="s">
        <v>409</v>
      </c>
      <c r="C89" s="66"/>
      <c r="D89" s="66"/>
      <c r="E89" s="66"/>
      <c r="F89" s="66"/>
      <c r="G89" s="66"/>
      <c r="H89" s="160"/>
      <c r="I89" s="66"/>
      <c r="J89" s="66"/>
      <c r="K89" s="66"/>
      <c r="L89" s="66"/>
      <c r="M89" s="66"/>
      <c r="N89" s="66"/>
    </row>
    <row r="90" spans="2:14">
      <c r="B90" s="59" t="s">
        <v>410</v>
      </c>
      <c r="C90" s="66">
        <f t="shared" ref="C90:H90" si="73">+C81-C82-C88-C89-C87-C86-C85-C84-C83</f>
        <v>0</v>
      </c>
      <c r="D90" s="66">
        <f t="shared" si="73"/>
        <v>0</v>
      </c>
      <c r="E90" s="66">
        <f t="shared" si="73"/>
        <v>0</v>
      </c>
      <c r="F90" s="66">
        <f t="shared" si="73"/>
        <v>0</v>
      </c>
      <c r="G90" s="66">
        <f t="shared" si="73"/>
        <v>0</v>
      </c>
      <c r="H90" s="66">
        <f t="shared" si="73"/>
        <v>0</v>
      </c>
      <c r="I90" s="66"/>
      <c r="J90" s="66"/>
      <c r="K90" s="66"/>
      <c r="L90" s="66"/>
      <c r="M90" s="66"/>
      <c r="N90" s="66"/>
    </row>
    <row r="91" spans="2:14">
      <c r="B91" s="58" t="s">
        <v>319</v>
      </c>
      <c r="C91" s="64"/>
      <c r="D91" s="64"/>
      <c r="E91" s="64"/>
      <c r="F91" s="64"/>
      <c r="G91" s="64"/>
      <c r="H91" s="141"/>
      <c r="I91" s="64"/>
      <c r="J91" s="64"/>
      <c r="K91" s="64"/>
      <c r="L91" s="64"/>
      <c r="M91" s="64"/>
      <c r="N91" s="64"/>
    </row>
    <row r="92" spans="2:14">
      <c r="B92" s="59" t="s">
        <v>411</v>
      </c>
      <c r="C92" s="66"/>
      <c r="D92" s="66"/>
      <c r="E92" s="66"/>
      <c r="F92" s="66"/>
      <c r="G92" s="66"/>
      <c r="H92" s="160"/>
      <c r="I92" s="66"/>
      <c r="J92" s="66"/>
      <c r="K92" s="66"/>
      <c r="L92" s="66"/>
      <c r="M92" s="66"/>
      <c r="N92" s="66"/>
    </row>
    <row r="93" spans="2:14">
      <c r="B93" s="59" t="s">
        <v>412</v>
      </c>
      <c r="C93" s="66"/>
      <c r="D93" s="66"/>
      <c r="E93" s="66"/>
      <c r="F93" s="66"/>
      <c r="G93" s="66"/>
      <c r="H93" s="160"/>
      <c r="I93" s="66"/>
      <c r="J93" s="66"/>
      <c r="K93" s="66"/>
      <c r="L93" s="66"/>
      <c r="M93" s="66"/>
      <c r="N93" s="66"/>
    </row>
    <row r="94" spans="2:14">
      <c r="B94" s="59" t="s">
        <v>413</v>
      </c>
      <c r="C94" s="66"/>
      <c r="D94" s="66"/>
      <c r="E94" s="66"/>
      <c r="F94" s="66"/>
      <c r="G94" s="66"/>
      <c r="H94" s="160"/>
      <c r="I94" s="66"/>
      <c r="J94" s="66"/>
      <c r="K94" s="66"/>
      <c r="L94" s="66"/>
      <c r="M94" s="66"/>
      <c r="N94" s="66"/>
    </row>
    <row r="95" spans="2:14">
      <c r="B95" s="59" t="s">
        <v>414</v>
      </c>
      <c r="C95" s="66"/>
      <c r="D95" s="66"/>
      <c r="E95" s="66"/>
      <c r="F95" s="66"/>
      <c r="G95" s="66"/>
      <c r="H95" s="160"/>
      <c r="I95" s="66"/>
      <c r="J95" s="66"/>
      <c r="K95" s="66"/>
      <c r="L95" s="66"/>
      <c r="M95" s="66"/>
      <c r="N95" s="66"/>
    </row>
    <row r="96" spans="2:14">
      <c r="B96" s="59" t="s">
        <v>341</v>
      </c>
      <c r="C96" s="66">
        <f t="shared" ref="C96:H96" si="74">+C91-C92-C94-C95-C93</f>
        <v>0</v>
      </c>
      <c r="D96" s="66">
        <f t="shared" si="74"/>
        <v>0</v>
      </c>
      <c r="E96" s="66">
        <f t="shared" si="74"/>
        <v>0</v>
      </c>
      <c r="F96" s="66">
        <f t="shared" si="74"/>
        <v>0</v>
      </c>
      <c r="G96" s="66">
        <f t="shared" si="74"/>
        <v>0</v>
      </c>
      <c r="H96" s="66">
        <f t="shared" si="74"/>
        <v>0</v>
      </c>
      <c r="I96" s="66"/>
      <c r="J96" s="66"/>
      <c r="K96" s="66"/>
      <c r="L96" s="66"/>
      <c r="M96" s="66"/>
      <c r="N96" s="66"/>
    </row>
    <row r="97" spans="2:14" ht="14.65" thickBot="1">
      <c r="B97" s="60" t="s">
        <v>342</v>
      </c>
      <c r="C97" s="70">
        <f t="shared" ref="C97:H97" si="75">+C91+C81</f>
        <v>0</v>
      </c>
      <c r="D97" s="70">
        <f t="shared" si="75"/>
        <v>0</v>
      </c>
      <c r="E97" s="70">
        <f t="shared" si="75"/>
        <v>0</v>
      </c>
      <c r="F97" s="70">
        <f t="shared" si="75"/>
        <v>0</v>
      </c>
      <c r="G97" s="70">
        <f t="shared" si="75"/>
        <v>0</v>
      </c>
      <c r="H97" s="162">
        <f t="shared" si="75"/>
        <v>0</v>
      </c>
      <c r="I97" s="70"/>
      <c r="J97" s="70"/>
      <c r="K97" s="70"/>
      <c r="L97" s="70"/>
      <c r="M97" s="70"/>
      <c r="N97" s="70"/>
    </row>
    <row r="98" spans="2:14" ht="14.65" thickBot="1">
      <c r="B98" s="61"/>
      <c r="C98" s="61"/>
      <c r="D98" s="61"/>
      <c r="E98" s="61"/>
      <c r="F98" s="61"/>
      <c r="G98" s="61"/>
      <c r="H98" s="61"/>
      <c r="I98" s="61"/>
      <c r="J98" s="61"/>
      <c r="K98" s="61"/>
      <c r="L98" s="61"/>
      <c r="M98" s="61"/>
      <c r="N98" s="61"/>
    </row>
    <row r="99" spans="2:14">
      <c r="B99" s="57" t="s">
        <v>343</v>
      </c>
      <c r="C99" s="62"/>
      <c r="D99" s="62"/>
      <c r="E99" s="62"/>
      <c r="F99" s="62"/>
      <c r="G99" s="62"/>
      <c r="H99" s="164"/>
      <c r="I99" s="62"/>
      <c r="J99" s="62"/>
      <c r="K99" s="62"/>
      <c r="L99" s="62"/>
      <c r="M99" s="62"/>
      <c r="N99" s="62"/>
    </row>
    <row r="100" spans="2:14">
      <c r="B100" s="59" t="s">
        <v>415</v>
      </c>
      <c r="C100" s="160"/>
      <c r="D100" s="160"/>
      <c r="E100" s="160"/>
      <c r="F100" s="160"/>
      <c r="G100" s="160"/>
      <c r="H100" s="160"/>
      <c r="I100" s="160"/>
      <c r="J100" s="160"/>
      <c r="K100" s="160"/>
      <c r="L100" s="160"/>
      <c r="M100" s="160"/>
      <c r="N100" s="160"/>
    </row>
    <row r="101" spans="2:14">
      <c r="B101" s="59" t="s">
        <v>416</v>
      </c>
      <c r="C101" s="66"/>
      <c r="D101" s="66"/>
      <c r="E101" s="66"/>
      <c r="F101" s="66"/>
      <c r="G101" s="66"/>
      <c r="H101" s="160"/>
      <c r="I101" s="66"/>
      <c r="J101" s="66"/>
      <c r="K101" s="66"/>
      <c r="L101" s="66"/>
      <c r="M101" s="66"/>
      <c r="N101" s="66"/>
    </row>
    <row r="102" spans="2:14">
      <c r="B102" s="59" t="s">
        <v>345</v>
      </c>
      <c r="C102" s="66"/>
      <c r="D102" s="66"/>
      <c r="E102" s="66"/>
      <c r="F102" s="66"/>
      <c r="G102" s="66"/>
      <c r="H102" s="160"/>
      <c r="I102" s="66"/>
      <c r="J102" s="66"/>
      <c r="K102" s="66"/>
      <c r="L102" s="66"/>
      <c r="M102" s="66"/>
      <c r="N102" s="66"/>
    </row>
    <row r="103" spans="2:14">
      <c r="B103" s="59" t="s">
        <v>419</v>
      </c>
      <c r="C103" s="66"/>
      <c r="D103" s="66"/>
      <c r="E103" s="66"/>
      <c r="F103" s="66"/>
      <c r="G103" s="66"/>
      <c r="H103" s="160"/>
      <c r="I103" s="66"/>
      <c r="J103" s="66"/>
      <c r="K103" s="66"/>
      <c r="L103" s="66"/>
      <c r="M103" s="66"/>
      <c r="N103" s="66"/>
    </row>
    <row r="104" spans="2:14" ht="14.65" thickBot="1">
      <c r="B104" s="60" t="s">
        <v>420</v>
      </c>
      <c r="C104" s="70">
        <f t="shared" ref="C104:F104" si="76">+C100+C102+C101</f>
        <v>0</v>
      </c>
      <c r="D104" s="70">
        <f t="shared" si="76"/>
        <v>0</v>
      </c>
      <c r="E104" s="70">
        <f t="shared" si="76"/>
        <v>0</v>
      </c>
      <c r="F104" s="70">
        <f t="shared" si="76"/>
        <v>0</v>
      </c>
      <c r="G104" s="70">
        <f>+G100+G102+G101</f>
        <v>0</v>
      </c>
      <c r="H104" s="70">
        <f>+H100+H102+H101</f>
        <v>0</v>
      </c>
      <c r="I104" s="70"/>
      <c r="J104" s="70"/>
      <c r="K104" s="70"/>
      <c r="L104" s="70"/>
      <c r="M104" s="70"/>
      <c r="N104" s="70"/>
    </row>
    <row r="105" spans="2:14" ht="14.65" thickBot="1">
      <c r="B105" s="60" t="s">
        <v>347</v>
      </c>
      <c r="C105" s="70">
        <f>+C104+C103</f>
        <v>0</v>
      </c>
      <c r="D105" s="70">
        <f t="shared" ref="D105:I105" si="77">+D104+D103</f>
        <v>0</v>
      </c>
      <c r="E105" s="70">
        <f t="shared" si="77"/>
        <v>0</v>
      </c>
      <c r="F105" s="70">
        <f t="shared" si="77"/>
        <v>0</v>
      </c>
      <c r="G105" s="70">
        <f t="shared" si="77"/>
        <v>0</v>
      </c>
      <c r="H105" s="70">
        <f t="shared" si="77"/>
        <v>0</v>
      </c>
      <c r="I105" s="70">
        <f t="shared" si="77"/>
        <v>0</v>
      </c>
      <c r="J105" s="70">
        <f t="shared" ref="J105:N105" si="78">+J104+J103</f>
        <v>0</v>
      </c>
      <c r="K105" s="70">
        <f t="shared" si="78"/>
        <v>0</v>
      </c>
      <c r="L105" s="70">
        <f t="shared" si="78"/>
        <v>0</v>
      </c>
      <c r="M105" s="70">
        <f t="shared" si="78"/>
        <v>0</v>
      </c>
      <c r="N105" s="70">
        <f t="shared" si="78"/>
        <v>0</v>
      </c>
    </row>
    <row r="107" spans="2:14" ht="14.65" thickBot="1">
      <c r="B107" s="75" t="s">
        <v>348</v>
      </c>
    </row>
    <row r="108" spans="2:14" ht="14.65" thickBot="1">
      <c r="B108" s="82" t="s">
        <v>308</v>
      </c>
      <c r="C108" s="88">
        <v>2017</v>
      </c>
      <c r="D108" s="88">
        <v>2018</v>
      </c>
      <c r="E108" s="88">
        <v>2019</v>
      </c>
      <c r="F108" s="88">
        <v>2020</v>
      </c>
      <c r="G108" s="88">
        <v>2021</v>
      </c>
      <c r="H108" s="88">
        <v>2022</v>
      </c>
      <c r="I108" s="88">
        <v>2023</v>
      </c>
      <c r="J108" s="88">
        <v>2024</v>
      </c>
      <c r="K108" s="88">
        <v>2025</v>
      </c>
      <c r="L108" s="88">
        <v>2026</v>
      </c>
      <c r="M108" s="88">
        <v>2027</v>
      </c>
      <c r="N108" s="88">
        <v>2028</v>
      </c>
    </row>
    <row r="109" spans="2:14">
      <c r="B109" s="83" t="s">
        <v>349</v>
      </c>
      <c r="C109" s="90"/>
      <c r="D109" s="90"/>
      <c r="E109" s="90"/>
      <c r="F109" s="90"/>
      <c r="G109" s="90"/>
      <c r="H109" s="90"/>
      <c r="I109" s="90"/>
      <c r="J109" s="90"/>
      <c r="K109" s="90"/>
      <c r="L109" s="90"/>
      <c r="M109" s="90"/>
      <c r="N109" s="90"/>
    </row>
    <row r="110" spans="2:14">
      <c r="B110" s="85" t="s">
        <v>534</v>
      </c>
      <c r="C110" s="66"/>
      <c r="D110" s="66"/>
      <c r="E110" s="66"/>
      <c r="F110" s="66"/>
      <c r="G110" s="66"/>
      <c r="H110" s="66"/>
      <c r="I110" s="66"/>
      <c r="J110" s="66"/>
      <c r="K110" s="66"/>
      <c r="L110" s="66"/>
      <c r="M110" s="66"/>
      <c r="N110" s="66"/>
    </row>
    <row r="111" spans="2:14">
      <c r="B111" s="86" t="s">
        <v>422</v>
      </c>
      <c r="C111" s="64">
        <f t="shared" ref="C111:F111" si="79">+C109+C110</f>
        <v>0</v>
      </c>
      <c r="D111" s="64">
        <f>+D109+D110</f>
        <v>0</v>
      </c>
      <c r="E111" s="64">
        <f t="shared" si="79"/>
        <v>0</v>
      </c>
      <c r="F111" s="64">
        <f t="shared" si="79"/>
        <v>0</v>
      </c>
      <c r="G111" s="64">
        <f>+G109+G110</f>
        <v>0</v>
      </c>
      <c r="H111" s="64">
        <f t="shared" ref="H111" si="80">+H109+H110</f>
        <v>0</v>
      </c>
      <c r="I111" s="64"/>
      <c r="J111" s="64"/>
      <c r="K111" s="64"/>
      <c r="L111" s="64"/>
      <c r="M111" s="64"/>
      <c r="N111" s="64"/>
    </row>
    <row r="112" spans="2:14">
      <c r="B112" s="85" t="s">
        <v>592</v>
      </c>
      <c r="C112" s="64"/>
      <c r="D112" s="64"/>
      <c r="E112" s="64"/>
      <c r="F112" s="117"/>
      <c r="G112" s="117"/>
      <c r="H112" s="117"/>
      <c r="I112" s="117"/>
      <c r="J112" s="117"/>
      <c r="K112" s="117"/>
      <c r="L112" s="117"/>
      <c r="M112" s="117"/>
      <c r="N112" s="117"/>
    </row>
    <row r="113" spans="2:14">
      <c r="B113" s="85" t="s">
        <v>536</v>
      </c>
      <c r="C113" s="64"/>
      <c r="D113" s="64"/>
      <c r="E113" s="64"/>
      <c r="F113" s="117"/>
      <c r="G113" s="117"/>
      <c r="H113" s="117"/>
      <c r="I113" s="117"/>
      <c r="J113" s="117"/>
      <c r="K113" s="117"/>
      <c r="L113" s="117"/>
      <c r="M113" s="117"/>
      <c r="N113" s="117"/>
    </row>
    <row r="114" spans="2:14">
      <c r="B114" s="85" t="s">
        <v>537</v>
      </c>
      <c r="C114" s="64"/>
      <c r="D114" s="64"/>
      <c r="E114" s="64"/>
      <c r="F114" s="117"/>
      <c r="G114" s="117"/>
      <c r="H114" s="117"/>
      <c r="I114" s="117"/>
      <c r="J114" s="117"/>
      <c r="K114" s="117"/>
      <c r="L114" s="117"/>
      <c r="M114" s="117"/>
      <c r="N114" s="117"/>
    </row>
    <row r="115" spans="2:14">
      <c r="B115" s="85" t="s">
        <v>593</v>
      </c>
      <c r="C115" s="66"/>
      <c r="D115" s="66"/>
      <c r="E115" s="66"/>
      <c r="F115" s="117"/>
      <c r="G115" s="117"/>
      <c r="H115" s="117"/>
      <c r="I115" s="117"/>
      <c r="J115" s="117"/>
      <c r="K115" s="117"/>
      <c r="L115" s="117"/>
      <c r="M115" s="117"/>
      <c r="N115" s="117"/>
    </row>
    <row r="116" spans="2:14">
      <c r="B116" s="86" t="s">
        <v>428</v>
      </c>
      <c r="C116" s="64">
        <f t="shared" ref="C116:G116" si="81">+C111+C115+C112+C113+C114</f>
        <v>0</v>
      </c>
      <c r="D116" s="64">
        <f t="shared" si="81"/>
        <v>0</v>
      </c>
      <c r="E116" s="64">
        <f t="shared" si="81"/>
        <v>0</v>
      </c>
      <c r="F116" s="64">
        <f t="shared" si="81"/>
        <v>0</v>
      </c>
      <c r="G116" s="64">
        <f t="shared" si="81"/>
        <v>0</v>
      </c>
      <c r="H116" s="64">
        <f>+H111+H115+H112+H113+H114</f>
        <v>0</v>
      </c>
      <c r="I116" s="64"/>
      <c r="J116" s="64"/>
      <c r="K116" s="64"/>
      <c r="L116" s="64"/>
      <c r="M116" s="64"/>
      <c r="N116" s="64"/>
    </row>
    <row r="117" spans="2:14">
      <c r="B117" s="85" t="s">
        <v>429</v>
      </c>
      <c r="C117" s="66"/>
      <c r="D117" s="66"/>
      <c r="E117" s="66"/>
      <c r="F117" s="66"/>
      <c r="G117" s="131"/>
      <c r="H117" s="131"/>
      <c r="I117" s="131"/>
      <c r="J117" s="131"/>
      <c r="K117" s="131"/>
      <c r="L117" s="131"/>
      <c r="M117" s="131"/>
      <c r="N117" s="131"/>
    </row>
    <row r="118" spans="2:14">
      <c r="B118" s="85" t="s">
        <v>430</v>
      </c>
      <c r="C118" s="66"/>
      <c r="D118" s="66"/>
      <c r="E118" s="66"/>
      <c r="F118" s="66"/>
      <c r="G118" s="131"/>
      <c r="H118" s="131"/>
      <c r="I118" s="131"/>
      <c r="J118" s="131"/>
      <c r="K118" s="131"/>
      <c r="L118" s="131"/>
      <c r="M118" s="131"/>
      <c r="N118" s="131"/>
    </row>
    <row r="119" spans="2:14">
      <c r="B119" s="85" t="s">
        <v>431</v>
      </c>
      <c r="C119" s="66"/>
      <c r="D119" s="66"/>
      <c r="E119" s="66"/>
      <c r="F119" s="66"/>
      <c r="G119" s="131"/>
      <c r="H119" s="131"/>
      <c r="I119" s="131"/>
      <c r="J119" s="131"/>
      <c r="K119" s="131"/>
      <c r="L119" s="131"/>
      <c r="M119" s="131"/>
      <c r="N119" s="131"/>
    </row>
    <row r="120" spans="2:14">
      <c r="B120" s="85" t="s">
        <v>432</v>
      </c>
      <c r="C120" s="66"/>
      <c r="D120" s="66"/>
      <c r="E120" s="66"/>
      <c r="F120" s="66"/>
      <c r="G120" s="131"/>
      <c r="H120" s="131"/>
      <c r="I120" s="131"/>
      <c r="J120" s="131"/>
      <c r="K120" s="131"/>
      <c r="L120" s="131"/>
      <c r="M120" s="131"/>
      <c r="N120" s="131"/>
    </row>
    <row r="121" spans="2:14">
      <c r="B121" s="85" t="s">
        <v>433</v>
      </c>
      <c r="C121" s="66"/>
      <c r="D121" s="66"/>
      <c r="E121" s="66"/>
      <c r="F121" s="66"/>
      <c r="G121" s="131"/>
      <c r="H121" s="131"/>
      <c r="I121" s="131"/>
      <c r="J121" s="131"/>
      <c r="K121" s="131"/>
      <c r="L121" s="131"/>
      <c r="M121" s="131"/>
      <c r="N121" s="131"/>
    </row>
    <row r="122" spans="2:14">
      <c r="B122" s="86" t="s">
        <v>362</v>
      </c>
      <c r="C122" s="64">
        <f t="shared" ref="C122:E122" si="82">+C116+C117+C118+C119+C120+C121</f>
        <v>0</v>
      </c>
      <c r="D122" s="64">
        <f t="shared" si="82"/>
        <v>0</v>
      </c>
      <c r="E122" s="64">
        <f t="shared" si="82"/>
        <v>0</v>
      </c>
      <c r="F122" s="64">
        <f>+F116+F117+F118+F119+F120+F121</f>
        <v>0</v>
      </c>
      <c r="G122" s="64">
        <f t="shared" ref="G122:H122" si="83">+G116+G117+G118+G119+G120+G121</f>
        <v>0</v>
      </c>
      <c r="H122" s="64">
        <f t="shared" si="83"/>
        <v>0</v>
      </c>
      <c r="I122" s="64"/>
      <c r="J122" s="64"/>
      <c r="K122" s="64"/>
      <c r="L122" s="64"/>
      <c r="M122" s="64"/>
      <c r="N122" s="64"/>
    </row>
    <row r="123" spans="2:14">
      <c r="B123" s="85" t="s">
        <v>363</v>
      </c>
      <c r="C123" s="66"/>
      <c r="D123" s="66"/>
      <c r="E123" s="66"/>
      <c r="F123" s="66"/>
      <c r="G123" s="91"/>
      <c r="H123" s="91"/>
      <c r="I123" s="91"/>
      <c r="J123" s="91"/>
      <c r="K123" s="91"/>
      <c r="L123" s="91"/>
      <c r="M123" s="91"/>
      <c r="N123" s="91"/>
    </row>
    <row r="124" spans="2:14">
      <c r="B124" s="84" t="s">
        <v>365</v>
      </c>
      <c r="C124" s="130">
        <f t="shared" ref="C124:G124" si="84">+C122+C123</f>
        <v>0</v>
      </c>
      <c r="D124" s="130">
        <f t="shared" si="84"/>
        <v>0</v>
      </c>
      <c r="E124" s="130">
        <f t="shared" si="84"/>
        <v>0</v>
      </c>
      <c r="F124" s="130">
        <f t="shared" si="84"/>
        <v>0</v>
      </c>
      <c r="G124" s="130">
        <f t="shared" si="84"/>
        <v>0</v>
      </c>
      <c r="H124" s="130">
        <f>+H122+H123</f>
        <v>0</v>
      </c>
      <c r="I124" s="130"/>
      <c r="J124" s="130"/>
      <c r="K124" s="130"/>
      <c r="L124" s="130"/>
      <c r="M124" s="130"/>
      <c r="N124" s="130"/>
    </row>
    <row r="125" spans="2:14" ht="28.5">
      <c r="B125" s="87" t="s">
        <v>435</v>
      </c>
      <c r="C125" s="66"/>
      <c r="D125" s="66"/>
      <c r="E125" s="66"/>
      <c r="F125" s="66"/>
      <c r="G125" s="91"/>
      <c r="H125" s="91"/>
      <c r="I125" s="91"/>
      <c r="J125" s="91"/>
      <c r="K125" s="91"/>
      <c r="L125" s="91"/>
      <c r="M125" s="91"/>
      <c r="N125" s="91"/>
    </row>
    <row r="126" spans="2:14">
      <c r="B126" s="84" t="s">
        <v>436</v>
      </c>
      <c r="C126" s="66">
        <f>+C124-C125</f>
        <v>0</v>
      </c>
      <c r="D126" s="66">
        <f t="shared" ref="D126:I126" si="85">+D124-D125</f>
        <v>0</v>
      </c>
      <c r="E126" s="66">
        <f t="shared" si="85"/>
        <v>0</v>
      </c>
      <c r="F126" s="66">
        <f t="shared" si="85"/>
        <v>0</v>
      </c>
      <c r="G126" s="66">
        <f t="shared" si="85"/>
        <v>0</v>
      </c>
      <c r="H126" s="66">
        <f t="shared" si="85"/>
        <v>0</v>
      </c>
      <c r="I126" s="66">
        <f t="shared" si="85"/>
        <v>0</v>
      </c>
      <c r="J126" s="66">
        <f t="shared" ref="J126:N126" si="86">+J124-J125</f>
        <v>0</v>
      </c>
      <c r="K126" s="66">
        <f t="shared" si="86"/>
        <v>0</v>
      </c>
      <c r="L126" s="66">
        <f t="shared" si="86"/>
        <v>0</v>
      </c>
      <c r="M126" s="66">
        <f t="shared" si="86"/>
        <v>0</v>
      </c>
      <c r="N126" s="66">
        <f t="shared" si="86"/>
        <v>0</v>
      </c>
    </row>
    <row r="127" spans="2:14">
      <c r="B127" s="84" t="s">
        <v>366</v>
      </c>
      <c r="C127" s="111"/>
      <c r="D127" s="111"/>
      <c r="E127" s="111"/>
      <c r="F127" s="134"/>
      <c r="G127" s="134"/>
      <c r="H127" s="134"/>
      <c r="I127" s="134"/>
      <c r="J127" s="134"/>
      <c r="K127" s="134"/>
      <c r="L127" s="134"/>
      <c r="M127" s="134"/>
      <c r="N127" s="134"/>
    </row>
    <row r="129" spans="2:14" ht="14.65" thickBot="1">
      <c r="B129" s="75" t="s">
        <v>367</v>
      </c>
    </row>
    <row r="130" spans="2:14" ht="14.65" thickBot="1">
      <c r="B130" s="82" t="s">
        <v>308</v>
      </c>
      <c r="C130" s="88">
        <v>2017</v>
      </c>
      <c r="D130" s="88">
        <v>2018</v>
      </c>
      <c r="E130" s="88">
        <v>2019</v>
      </c>
      <c r="F130" s="88">
        <v>2020</v>
      </c>
      <c r="G130" s="88">
        <v>2021</v>
      </c>
      <c r="H130" s="88">
        <v>2022</v>
      </c>
      <c r="I130" s="88">
        <v>2023</v>
      </c>
      <c r="J130" s="88">
        <v>2024</v>
      </c>
      <c r="K130" s="88">
        <v>2025</v>
      </c>
      <c r="L130" s="88">
        <v>2026</v>
      </c>
      <c r="M130" s="88">
        <v>2027</v>
      </c>
      <c r="N130" s="88">
        <v>2028</v>
      </c>
    </row>
    <row r="131" spans="2:14">
      <c r="B131" s="83" t="s">
        <v>368</v>
      </c>
      <c r="C131" s="90"/>
      <c r="D131" s="90"/>
      <c r="E131" s="90"/>
      <c r="F131" s="90"/>
      <c r="G131" s="90"/>
      <c r="H131" s="90"/>
      <c r="I131" s="90"/>
      <c r="J131" s="90"/>
      <c r="K131" s="90"/>
      <c r="L131" s="90"/>
      <c r="M131" s="90"/>
      <c r="N131" s="90"/>
    </row>
    <row r="132" spans="2:14">
      <c r="B132" s="86" t="s">
        <v>369</v>
      </c>
      <c r="C132" s="91"/>
      <c r="D132" s="93"/>
      <c r="E132" s="93"/>
      <c r="F132" s="66"/>
      <c r="G132" s="93"/>
      <c r="H132" s="66"/>
      <c r="I132" s="66"/>
      <c r="J132" s="66"/>
      <c r="K132" s="66"/>
      <c r="L132" s="66"/>
      <c r="M132" s="66"/>
      <c r="N132" s="66"/>
    </row>
    <row r="133" spans="2:14">
      <c r="B133" s="85" t="s">
        <v>370</v>
      </c>
      <c r="C133" s="93"/>
      <c r="D133" s="93"/>
      <c r="E133" s="93"/>
      <c r="F133" s="93"/>
      <c r="G133" s="93"/>
      <c r="H133" s="93"/>
      <c r="I133" s="93"/>
      <c r="J133" s="93"/>
      <c r="K133" s="93"/>
      <c r="L133" s="93"/>
      <c r="M133" s="93"/>
      <c r="N133" s="93"/>
    </row>
    <row r="134" spans="2:14">
      <c r="B134" s="86" t="s">
        <v>372</v>
      </c>
      <c r="C134" s="120"/>
      <c r="D134" s="120"/>
      <c r="E134" s="64"/>
      <c r="F134" s="120"/>
      <c r="G134" s="120"/>
      <c r="H134" s="120"/>
      <c r="I134" s="120"/>
      <c r="J134" s="120"/>
      <c r="K134" s="120"/>
      <c r="L134" s="120"/>
      <c r="M134" s="120"/>
      <c r="N134" s="120"/>
    </row>
    <row r="135" spans="2:14">
      <c r="B135" s="85" t="s">
        <v>373</v>
      </c>
      <c r="C135" s="93"/>
      <c r="D135" s="93"/>
      <c r="E135" s="66"/>
      <c r="F135" s="93"/>
      <c r="G135" s="93"/>
      <c r="H135" s="93"/>
      <c r="I135" s="93"/>
      <c r="J135" s="93"/>
      <c r="K135" s="93"/>
      <c r="L135" s="93"/>
      <c r="M135" s="93"/>
      <c r="N135" s="93"/>
    </row>
    <row r="136" spans="2:14">
      <c r="B136" s="85" t="s">
        <v>437</v>
      </c>
      <c r="C136" s="93"/>
      <c r="D136" s="93"/>
      <c r="E136" s="66"/>
      <c r="F136" s="93"/>
      <c r="G136" s="93"/>
      <c r="H136" s="93"/>
      <c r="I136" s="93"/>
      <c r="J136" s="93"/>
      <c r="K136" s="93"/>
      <c r="L136" s="93"/>
      <c r="M136" s="93"/>
      <c r="N136" s="93"/>
    </row>
    <row r="137" spans="2:14">
      <c r="B137" s="86" t="s">
        <v>375</v>
      </c>
      <c r="C137" s="64"/>
      <c r="D137" s="64"/>
      <c r="E137" s="64"/>
      <c r="F137" s="64"/>
      <c r="G137" s="64"/>
      <c r="H137" s="64"/>
      <c r="I137" s="64"/>
      <c r="J137" s="64"/>
      <c r="K137" s="64"/>
      <c r="L137" s="64"/>
      <c r="M137" s="64"/>
      <c r="N137" s="64"/>
    </row>
    <row r="138" spans="2:14">
      <c r="B138" s="85"/>
      <c r="C138" s="66"/>
      <c r="D138" s="66"/>
      <c r="E138" s="66"/>
      <c r="F138" s="66"/>
      <c r="G138" s="66"/>
      <c r="H138" s="66"/>
      <c r="I138" s="66"/>
      <c r="J138" s="66"/>
      <c r="K138" s="66"/>
      <c r="L138" s="66"/>
      <c r="M138" s="66"/>
      <c r="N138" s="66"/>
    </row>
    <row r="139" spans="2:14">
      <c r="B139" s="84" t="s">
        <v>376</v>
      </c>
      <c r="C139" s="131">
        <f t="shared" ref="C139:G139" si="87">+C131+C133+C136</f>
        <v>0</v>
      </c>
      <c r="D139" s="131">
        <f t="shared" si="87"/>
        <v>0</v>
      </c>
      <c r="E139" s="131">
        <f t="shared" si="87"/>
        <v>0</v>
      </c>
      <c r="F139" s="131">
        <f t="shared" si="87"/>
        <v>0</v>
      </c>
      <c r="G139" s="131">
        <f t="shared" si="87"/>
        <v>0</v>
      </c>
      <c r="H139" s="131">
        <f>+H131+H133+H136</f>
        <v>0</v>
      </c>
      <c r="I139" s="131"/>
      <c r="J139" s="131"/>
      <c r="K139" s="131"/>
      <c r="L139" s="131"/>
      <c r="M139" s="131"/>
      <c r="N139" s="131"/>
    </row>
  </sheetData>
  <conditionalFormatting sqref="C57:H63 D64:H64 C65:H97">
    <cfRule type="cellIs" dxfId="3" priority="18" operator="lessThan">
      <formula>0</formula>
    </cfRule>
  </conditionalFormatting>
  <conditionalFormatting sqref="C109:N127">
    <cfRule type="cellIs" dxfId="2" priority="2" operator="lessThan">
      <formula>0</formula>
    </cfRule>
  </conditionalFormatting>
  <conditionalFormatting sqref="C131:N139">
    <cfRule type="cellIs" dxfId="1" priority="1" operator="lessThan">
      <formula>0</formula>
    </cfRule>
  </conditionalFormatting>
  <conditionalFormatting sqref="I57:N97 C99:N105">
    <cfRule type="cellIs" dxfId="0" priority="3" operator="lessThan">
      <formula>0</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
  <cp:revision/>
  <dcterms:created xsi:type="dcterms:W3CDTF">2023-08-10T23:47:09Z</dcterms:created>
  <dcterms:modified xsi:type="dcterms:W3CDTF">2026-03-25T19:47:13Z</dcterms:modified>
  <cp:category/>
  <cp:contentStatus/>
</cp:coreProperties>
</file>