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320" yWindow="3225" windowWidth="28830" windowHeight="6060" tabRatio="937" activeTab="4"/>
  </bookViews>
  <sheets>
    <sheet name="Description" sheetId="1" r:id="rId1"/>
    <sheet name="Affinities (K_M)" sheetId="2" r:id="rId2"/>
    <sheet name="Turnover numbers (k_cat)" sheetId="3" r:id="rId3"/>
    <sheet name="Turnover numbers reverse" sheetId="7" r:id="rId4"/>
    <sheet name="Equilibrium constants (K_eq)" sheetId="4" r:id="rId5"/>
    <sheet name="Weights" sheetId="8" r:id="rId6"/>
    <sheet name="Biomass reaction" sheetId="5" r:id="rId7"/>
    <sheet name="Conserved moieties" sheetId="6" r:id="rId8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" i="8"/>
  <c r="B12" i="7"/>
  <c r="D11"/>
  <c r="D10"/>
  <c r="B9"/>
  <c r="D8"/>
  <c r="B8" s="1"/>
  <c r="D7"/>
  <c r="D6"/>
  <c r="B4"/>
  <c r="D3"/>
  <c r="B3" s="1"/>
  <c r="D2"/>
  <c r="B2" s="1"/>
  <c r="F244" i="2"/>
  <c r="D244" s="1"/>
  <c r="F242"/>
  <c r="D242" s="1"/>
  <c r="E3"/>
  <c r="D3"/>
  <c r="F4"/>
  <c r="F7" i="6"/>
  <c r="D7" s="1"/>
  <c r="D5"/>
  <c r="D2"/>
  <c r="D17" i="5"/>
  <c r="D16"/>
  <c r="D15"/>
  <c r="D14"/>
  <c r="D12"/>
  <c r="D11"/>
  <c r="D10"/>
  <c r="D9"/>
  <c r="D8"/>
  <c r="D4"/>
  <c r="D2"/>
  <c r="E1" i="4"/>
  <c r="E73" i="3"/>
  <c r="D73" s="1"/>
  <c r="E72"/>
  <c r="D72" s="1"/>
  <c r="D71"/>
  <c r="D70"/>
  <c r="D69"/>
  <c r="B69" s="1"/>
  <c r="D62"/>
  <c r="B62" s="1"/>
  <c r="E60"/>
  <c r="D60" s="1"/>
  <c r="B60" s="1"/>
  <c r="D59"/>
  <c r="D58"/>
  <c r="B58" s="1"/>
  <c r="D56"/>
  <c r="D55"/>
  <c r="B55" s="1"/>
  <c r="D51"/>
  <c r="B51" s="1"/>
  <c r="D50"/>
  <c r="B50" s="1"/>
  <c r="E48"/>
  <c r="D48" s="1"/>
  <c r="B48" s="1"/>
  <c r="D47"/>
  <c r="D46"/>
  <c r="C46" s="1"/>
  <c r="B46"/>
  <c r="E45"/>
  <c r="C42"/>
  <c r="B42"/>
  <c r="C39"/>
  <c r="B39"/>
  <c r="D37"/>
  <c r="D36"/>
  <c r="C36"/>
  <c r="B36"/>
  <c r="E34"/>
  <c r="B34"/>
  <c r="D33"/>
  <c r="D32"/>
  <c r="D31"/>
  <c r="C31" s="1"/>
  <c r="B31"/>
  <c r="D30"/>
  <c r="D29"/>
  <c r="D28"/>
  <c r="D27"/>
  <c r="B27" s="1"/>
  <c r="D26"/>
  <c r="D25"/>
  <c r="B25" s="1"/>
  <c r="E24"/>
  <c r="D24"/>
  <c r="B24" s="1"/>
  <c r="D23"/>
  <c r="D22"/>
  <c r="D21"/>
  <c r="D20"/>
  <c r="D19"/>
  <c r="C19" s="1"/>
  <c r="B19"/>
  <c r="D17"/>
  <c r="B17" s="1"/>
  <c r="D16"/>
  <c r="D15"/>
  <c r="B15" s="1"/>
  <c r="E14"/>
  <c r="D14"/>
  <c r="D13"/>
  <c r="B13" s="1"/>
  <c r="D11"/>
  <c r="B11"/>
  <c r="D9"/>
  <c r="B9" s="1"/>
  <c r="E7"/>
  <c r="D7"/>
  <c r="E6"/>
  <c r="D6" s="1"/>
  <c r="D4"/>
  <c r="D3"/>
  <c r="C3" s="1"/>
  <c r="B3"/>
  <c r="F241" i="2"/>
  <c r="D241" s="1"/>
  <c r="F239"/>
  <c r="D239"/>
  <c r="F222"/>
  <c r="D222" s="1"/>
  <c r="F221"/>
  <c r="D221"/>
  <c r="F220"/>
  <c r="F219"/>
  <c r="D219" s="1"/>
  <c r="F218"/>
  <c r="G217"/>
  <c r="F217" s="1"/>
  <c r="F216"/>
  <c r="D216" s="1"/>
  <c r="F190"/>
  <c r="D190"/>
  <c r="F189"/>
  <c r="D189" s="1"/>
  <c r="F188"/>
  <c r="D188"/>
  <c r="F186"/>
  <c r="D186" s="1"/>
  <c r="F184"/>
  <c r="F183"/>
  <c r="F182"/>
  <c r="F181"/>
  <c r="E181" s="1"/>
  <c r="D181"/>
  <c r="F180"/>
  <c r="D180" s="1"/>
  <c r="F179"/>
  <c r="D178"/>
  <c r="F177"/>
  <c r="D177" s="1"/>
  <c r="F176"/>
  <c r="D176"/>
  <c r="F175"/>
  <c r="D175" s="1"/>
  <c r="F174"/>
  <c r="F173"/>
  <c r="D173"/>
  <c r="F172"/>
  <c r="F171"/>
  <c r="D171"/>
  <c r="F170"/>
  <c r="D169" s="1"/>
  <c r="F169"/>
  <c r="F168"/>
  <c r="D168" s="1"/>
  <c r="F164"/>
  <c r="F163"/>
  <c r="E163"/>
  <c r="D163"/>
  <c r="F162"/>
  <c r="F161"/>
  <c r="E161"/>
  <c r="D161"/>
  <c r="F160"/>
  <c r="F159"/>
  <c r="E159"/>
  <c r="D159"/>
  <c r="F158"/>
  <c r="F157"/>
  <c r="E157"/>
  <c r="D157"/>
  <c r="F156"/>
  <c r="F155"/>
  <c r="E155"/>
  <c r="D155"/>
  <c r="F150"/>
  <c r="D150" s="1"/>
  <c r="F149"/>
  <c r="D149" s="1"/>
  <c r="F148"/>
  <c r="D148" s="1"/>
  <c r="F147"/>
  <c r="D147" s="1"/>
  <c r="F146"/>
  <c r="D146" s="1"/>
  <c r="F143"/>
  <c r="D143" s="1"/>
  <c r="F142"/>
  <c r="D142" s="1"/>
  <c r="E139"/>
  <c r="D139"/>
  <c r="D137"/>
  <c r="F136"/>
  <c r="F135"/>
  <c r="F134"/>
  <c r="D134" s="1"/>
  <c r="F128"/>
  <c r="D128" s="1"/>
  <c r="F123"/>
  <c r="E123"/>
  <c r="D123"/>
  <c r="D121"/>
  <c r="F119"/>
  <c r="E119"/>
  <c r="D119"/>
  <c r="F118"/>
  <c r="F117"/>
  <c r="D117"/>
  <c r="F116"/>
  <c r="D116" s="1"/>
  <c r="F115"/>
  <c r="D115"/>
  <c r="F114"/>
  <c r="D114" s="1"/>
  <c r="F113"/>
  <c r="F112"/>
  <c r="D112" s="1"/>
  <c r="F111"/>
  <c r="F110"/>
  <c r="D110" s="1"/>
  <c r="F109"/>
  <c r="F108"/>
  <c r="D108" s="1"/>
  <c r="F107"/>
  <c r="F106"/>
  <c r="D106" s="1"/>
  <c r="F103"/>
  <c r="F102"/>
  <c r="D102" s="1"/>
  <c r="F101"/>
  <c r="D101"/>
  <c r="G98"/>
  <c r="F98" s="1"/>
  <c r="D98" s="1"/>
  <c r="F97"/>
  <c r="D97" s="1"/>
  <c r="F96"/>
  <c r="D96" s="1"/>
  <c r="F95"/>
  <c r="D95" s="1"/>
  <c r="G88"/>
  <c r="F88" s="1"/>
  <c r="G87"/>
  <c r="F87" s="1"/>
  <c r="G86"/>
  <c r="F86" s="1"/>
  <c r="F85"/>
  <c r="D85" s="1"/>
  <c r="F84"/>
  <c r="F83"/>
  <c r="F82"/>
  <c r="F81"/>
  <c r="F80"/>
  <c r="D80" s="1"/>
  <c r="F79"/>
  <c r="F78"/>
  <c r="D75" s="1"/>
  <c r="F77"/>
  <c r="F76"/>
  <c r="F75"/>
  <c r="E75"/>
  <c r="F74"/>
  <c r="D74" s="1"/>
  <c r="F73"/>
  <c r="D73" s="1"/>
  <c r="G72"/>
  <c r="F72" s="1"/>
  <c r="G71"/>
  <c r="F71" s="1"/>
  <c r="G70"/>
  <c r="F70" s="1"/>
  <c r="G69"/>
  <c r="F69" s="1"/>
  <c r="F68"/>
  <c r="E68" s="1"/>
  <c r="G67"/>
  <c r="F67" s="1"/>
  <c r="G66"/>
  <c r="F66"/>
  <c r="D66" s="1"/>
  <c r="G65"/>
  <c r="F65"/>
  <c r="F64"/>
  <c r="D64" s="1"/>
  <c r="G61"/>
  <c r="F61" s="1"/>
  <c r="D60" s="1"/>
  <c r="F60"/>
  <c r="E60" s="1"/>
  <c r="F59"/>
  <c r="F58"/>
  <c r="E58" s="1"/>
  <c r="D58"/>
  <c r="F52"/>
  <c r="F51"/>
  <c r="E51" s="1"/>
  <c r="D51"/>
  <c r="F50"/>
  <c r="D50" s="1"/>
  <c r="F49"/>
  <c r="D49"/>
  <c r="F48"/>
  <c r="D48" s="1"/>
  <c r="F47"/>
  <c r="D47"/>
  <c r="F46"/>
  <c r="D46" s="1"/>
  <c r="F45"/>
  <c r="D45"/>
  <c r="F44"/>
  <c r="D44" s="1"/>
  <c r="F43"/>
  <c r="D43"/>
  <c r="F42"/>
  <c r="F41"/>
  <c r="E41" s="1"/>
  <c r="D41"/>
  <c r="F40"/>
  <c r="F39"/>
  <c r="F38"/>
  <c r="E38"/>
  <c r="D38"/>
  <c r="F37"/>
  <c r="F36"/>
  <c r="F35"/>
  <c r="D35" s="1"/>
  <c r="F34"/>
  <c r="D34"/>
  <c r="F33"/>
  <c r="D33" s="1"/>
  <c r="F32"/>
  <c r="D32"/>
  <c r="F31"/>
  <c r="D31" s="1"/>
  <c r="F29"/>
  <c r="F28"/>
  <c r="F27"/>
  <c r="D27" s="1"/>
  <c r="F21"/>
  <c r="D21" s="1"/>
  <c r="F20"/>
  <c r="D20" s="1"/>
  <c r="F15"/>
  <c r="F14"/>
  <c r="F13"/>
  <c r="F12"/>
  <c r="F11"/>
  <c r="D11" s="1"/>
  <c r="F10"/>
  <c r="F9"/>
  <c r="F8"/>
  <c r="F7"/>
  <c r="E7" s="1"/>
  <c r="D7"/>
  <c r="C11" i="4" l="1"/>
  <c r="B11" s="1"/>
  <c r="C6"/>
  <c r="B6" s="1"/>
  <c r="C8"/>
  <c r="B8" s="1"/>
  <c r="C13"/>
  <c r="B13" s="1"/>
  <c r="C22"/>
  <c r="B22" s="1"/>
  <c r="C10" i="7"/>
  <c r="B5"/>
  <c r="B10"/>
  <c r="C5"/>
  <c r="C7" i="4"/>
  <c r="B7" s="1"/>
  <c r="C12"/>
  <c r="B12" s="1"/>
  <c r="C15"/>
  <c r="B15" s="1"/>
  <c r="C17"/>
  <c r="B17" s="1"/>
  <c r="C20"/>
  <c r="B20" s="1"/>
  <c r="C4"/>
  <c r="B4" s="1"/>
  <c r="C16"/>
  <c r="B16" s="1"/>
  <c r="C18"/>
  <c r="B18" s="1"/>
  <c r="C19"/>
  <c r="B19" s="1"/>
  <c r="C21"/>
  <c r="B21" s="1"/>
  <c r="D86" i="2"/>
  <c r="E86"/>
  <c r="C6" i="3"/>
  <c r="B6"/>
  <c r="E217" i="2"/>
  <c r="D217"/>
  <c r="D68"/>
  <c r="B70" i="3"/>
  <c r="E11" i="2"/>
  <c r="E35"/>
  <c r="E66"/>
  <c r="E80"/>
  <c r="E102"/>
  <c r="E106"/>
  <c r="E108"/>
  <c r="E110"/>
  <c r="E112"/>
  <c r="E128"/>
  <c r="C15" i="3"/>
  <c r="C25"/>
  <c r="C27"/>
  <c r="C58"/>
  <c r="E27" i="2"/>
  <c r="E64"/>
  <c r="E134"/>
  <c r="C70" i="3"/>
  <c r="C3" i="4"/>
  <c r="B3" s="1"/>
  <c r="C5"/>
  <c r="B5" s="1"/>
  <c r="C9"/>
  <c r="B9" s="1"/>
  <c r="C10"/>
  <c r="B10" s="1"/>
  <c r="C14"/>
  <c r="B14" s="1"/>
</calcChain>
</file>

<file path=xl/sharedStrings.xml><?xml version="1.0" encoding="utf-8"?>
<sst xmlns="http://schemas.openxmlformats.org/spreadsheetml/2006/main" count="1183" uniqueCount="331">
  <si>
    <t>Sheet</t>
  </si>
  <si>
    <t>Description</t>
  </si>
  <si>
    <t>Affinities (K_M)</t>
  </si>
  <si>
    <t>Literature values of the affinities with literature references.</t>
  </si>
  <si>
    <t>Turnover numbers (k_cat)</t>
  </si>
  <si>
    <t>Literature values of the turnover numbers with literature references.</t>
  </si>
  <si>
    <t>Equilibrium constants (K_eq)</t>
  </si>
  <si>
    <t>The equilibrium constants are calculated from the ΔG'</t>
  </si>
  <si>
    <t>Biomass reaction</t>
  </si>
  <si>
    <t>Measured concentrations of the substrates of the biomass reaction, which are used to set the affinities.</t>
  </si>
  <si>
    <t>Conserved moieties</t>
  </si>
  <si>
    <t>Literature references for the total concentrations of the conserved moieties.</t>
  </si>
  <si>
    <t>Compound</t>
  </si>
  <si>
    <t>Reaction</t>
  </si>
  <si>
    <t>Stoich</t>
  </si>
  <si>
    <t>Km mean</t>
  </si>
  <si>
    <t>stdev</t>
  </si>
  <si>
    <t>Km in mM</t>
  </si>
  <si>
    <t>Lit Value</t>
  </si>
  <si>
    <t>Lit Unit</t>
  </si>
  <si>
    <t>AuthorYear</t>
  </si>
  <si>
    <t>PMID</t>
  </si>
  <si>
    <t>DOI</t>
  </si>
  <si>
    <t>Source / Notes</t>
  </si>
  <si>
    <t>glu6p</t>
  </si>
  <si>
    <t>r1</t>
  </si>
  <si>
    <t>glucoseExt</t>
  </si>
  <si>
    <t>mM</t>
  </si>
  <si>
    <t>Garcia-Alles2002</t>
  </si>
  <si>
    <t>10.1021/bi025928d</t>
  </si>
  <si>
    <t>pep</t>
  </si>
  <si>
    <t>pyr</t>
  </si>
  <si>
    <t>r10a</t>
  </si>
  <si>
    <t>Sanwal1970</t>
  </si>
  <si>
    <t>with NADP as cofactor</t>
  </si>
  <si>
    <t>Banerjee1972</t>
  </si>
  <si>
    <t>microM</t>
  </si>
  <si>
    <t>Olavarria2012</t>
  </si>
  <si>
    <t>10.1111/j.1742-4658.2012.08610.x</t>
  </si>
  <si>
    <t>with NAD as cofactor</t>
  </si>
  <si>
    <t>nad</t>
  </si>
  <si>
    <t>NADP</t>
  </si>
  <si>
    <t>nadh</t>
  </si>
  <si>
    <t>glulac6p</t>
  </si>
  <si>
    <t>r10b</t>
  </si>
  <si>
    <t>gluco6p</t>
  </si>
  <si>
    <t>r10c</t>
  </si>
  <si>
    <t>Chen2010</t>
  </si>
  <si>
    <t>NADP as cofactor</t>
  </si>
  <si>
    <t>co2</t>
  </si>
  <si>
    <t>ribulose5p</t>
  </si>
  <si>
    <t>r11r</t>
  </si>
  <si>
    <t>xyl5p</t>
  </si>
  <si>
    <t>ribose5p</t>
  </si>
  <si>
    <t>r12r</t>
  </si>
  <si>
    <t>Essenberg1975</t>
  </si>
  <si>
    <t>ribosephosphate isomerase A</t>
  </si>
  <si>
    <t>Zhang2003</t>
  </si>
  <si>
    <t>ribosephosphate isomerase B</t>
  </si>
  <si>
    <t>ga3p</t>
  </si>
  <si>
    <t>r13r</t>
  </si>
  <si>
    <t>Sprenger1995b</t>
  </si>
  <si>
    <t>sed7p</t>
  </si>
  <si>
    <t>eryth4p</t>
  </si>
  <si>
    <t>r14r</t>
  </si>
  <si>
    <t>Sprenger1995</t>
  </si>
  <si>
    <t>Scho2001</t>
  </si>
  <si>
    <t>Schorken1998</t>
  </si>
  <si>
    <t>fru6p</t>
  </si>
  <si>
    <t>Rale2011</t>
  </si>
  <si>
    <t>r15r</t>
  </si>
  <si>
    <t>acetylcoa</t>
  </si>
  <si>
    <t>r20</t>
  </si>
  <si>
    <t>Knappe1974</t>
  </si>
  <si>
    <t>coash</t>
  </si>
  <si>
    <t>formate</t>
  </si>
  <si>
    <t>Yang2007</t>
  </si>
  <si>
    <t>r21</t>
  </si>
  <si>
    <t>Kale2007</t>
  </si>
  <si>
    <t>Nemeria2001</t>
  </si>
  <si>
    <t>r22</t>
  </si>
  <si>
    <t>Jangaard1968</t>
  </si>
  <si>
    <t>10.1016/0005-2744(68)90177-0</t>
  </si>
  <si>
    <t>M</t>
  </si>
  <si>
    <t>Faloona1696</t>
  </si>
  <si>
    <t>10.1021/bi00839a041</t>
  </si>
  <si>
    <t>citrate</t>
  </si>
  <si>
    <t>oxalo</t>
  </si>
  <si>
    <t>r23r</t>
  </si>
  <si>
    <t>Jordan1999</t>
  </si>
  <si>
    <t>10.1042/bj3440739</t>
  </si>
  <si>
    <t>AcnA (three different calculations of Km from data) / they have devided the vmax by the Km and called that the kcat?!?</t>
  </si>
  <si>
    <t>AcnB (three different calculations of Km from data) / they have devided the vmax by the Km and called that the kcat?!?</t>
  </si>
  <si>
    <t>isocit</t>
  </si>
  <si>
    <t>Brock2002</t>
  </si>
  <si>
    <t>AcnA (three different calculations of Km from data) - 2 different values depending on concentration of isocit (above and below 0.8 mM) / they have devided the vmax by the Km and called that the kcat?!?</t>
  </si>
  <si>
    <t>AcnB (three different calculations of Km from data) - 2 different values depending on concentration of isocit (above and below 0.8 mM) / they have devided the vmax by the Km and called that the kcat?!?</t>
  </si>
  <si>
    <t>akg</t>
  </si>
  <si>
    <t>r24</t>
  </si>
  <si>
    <t>Dean1993</t>
  </si>
  <si>
    <t>with NADP</t>
  </si>
  <si>
    <t>with NAD</t>
  </si>
  <si>
    <t>Lee1995</t>
  </si>
  <si>
    <t>10.1021/bi00001a046</t>
  </si>
  <si>
    <t>Stokke2007</t>
  </si>
  <si>
    <t>Ogawa2007</t>
  </si>
  <si>
    <t>NAD</t>
  </si>
  <si>
    <t>Hurley1996</t>
  </si>
  <si>
    <t>NADPH</t>
  </si>
  <si>
    <t>r25</t>
  </si>
  <si>
    <t>Gupta1980</t>
  </si>
  <si>
    <t>Waskiewicz1984</t>
  </si>
  <si>
    <t>2 different equations</t>
  </si>
  <si>
    <t>Steginsky1985</t>
  </si>
  <si>
    <t>succcoa</t>
  </si>
  <si>
    <t>adp</t>
  </si>
  <si>
    <t>r26r</t>
  </si>
  <si>
    <t>atp</t>
  </si>
  <si>
    <t>Joyce1999</t>
  </si>
  <si>
    <t>succ</t>
  </si>
  <si>
    <t>Majumdar1991</t>
  </si>
  <si>
    <t>with and wichout ADP</t>
  </si>
  <si>
    <t>fad</t>
  </si>
  <si>
    <t>r27</t>
  </si>
  <si>
    <t>fadh</t>
  </si>
  <si>
    <t>fumarate</t>
  </si>
  <si>
    <t>Maklashina2006a</t>
  </si>
  <si>
    <t>Cecchini2002</t>
  </si>
  <si>
    <t>r27r</t>
  </si>
  <si>
    <t>r28r</t>
  </si>
  <si>
    <t>Woods1988</t>
  </si>
  <si>
    <t>Flint1994</t>
  </si>
  <si>
    <t>malate</t>
  </si>
  <si>
    <t>Km changes to 3mM in reduced form of enzyme (PMID: 1329945)</t>
  </si>
  <si>
    <t>r29r</t>
  </si>
  <si>
    <t>Muslin1995</t>
  </si>
  <si>
    <t>Kim1999</t>
  </si>
  <si>
    <t>37 C</t>
  </si>
  <si>
    <t>r2r</t>
  </si>
  <si>
    <t>Dykhuizen1983</t>
  </si>
  <si>
    <t>actually they tested many strains that all had affinities in the range (0.234 - 0.327)</t>
  </si>
  <si>
    <t>Gao2005</t>
  </si>
  <si>
    <t>10.1016/j.ijms.2004.09.017</t>
  </si>
  <si>
    <t>close to older measuments, ref 39, 40, 41</t>
  </si>
  <si>
    <t>close to older measuments, ref 39, 41, 43</t>
  </si>
  <si>
    <t>r3</t>
  </si>
  <si>
    <t>Deville-Bonne1991</t>
  </si>
  <si>
    <t>Wang2001</t>
  </si>
  <si>
    <t>10.1021/bi002709o</t>
  </si>
  <si>
    <t>Zheng1992</t>
  </si>
  <si>
    <t>Zheng1995</t>
  </si>
  <si>
    <t>10.1006/bbrc.1995.2352</t>
  </si>
  <si>
    <t>pH 8.5</t>
  </si>
  <si>
    <t>Wang1999</t>
  </si>
  <si>
    <t>10.1021/bi982940q</t>
  </si>
  <si>
    <t>pH 7.2</t>
  </si>
  <si>
    <t>frubisp</t>
  </si>
  <si>
    <t>r4</t>
  </si>
  <si>
    <t>Donahue2000</t>
  </si>
  <si>
    <t>10.1128/JB.182.19.5624-5627.2000.Updated</t>
  </si>
  <si>
    <t>Hines2007</t>
  </si>
  <si>
    <t>Iancu2005</t>
  </si>
  <si>
    <t>r40</t>
  </si>
  <si>
    <t>Kai1999</t>
  </si>
  <si>
    <t>HCO3-</t>
  </si>
  <si>
    <t>Wohl1972</t>
  </si>
  <si>
    <t>r41</t>
  </si>
  <si>
    <t>Yamaguchi1979</t>
  </si>
  <si>
    <t>r42</t>
  </si>
  <si>
    <t>Krebs1980</t>
  </si>
  <si>
    <t>lactate</t>
  </si>
  <si>
    <t>r53r</t>
  </si>
  <si>
    <t>r54ra</t>
  </si>
  <si>
    <t>Rudolph1968</t>
  </si>
  <si>
    <t>Shone1981</t>
  </si>
  <si>
    <t>acald</t>
  </si>
  <si>
    <t>r54rb</t>
  </si>
  <si>
    <t>etoh</t>
  </si>
  <si>
    <t>Nosova1997</t>
  </si>
  <si>
    <t>r55a</t>
  </si>
  <si>
    <t>Bologna2010</t>
  </si>
  <si>
    <t>EutD</t>
  </si>
  <si>
    <t>Campos-Vermudez2010</t>
  </si>
  <si>
    <t>Pta</t>
  </si>
  <si>
    <t>acetylp</t>
  </si>
  <si>
    <t>Pta (Hill equation with Hill constant of 1.7)</t>
  </si>
  <si>
    <t>r55b</t>
  </si>
  <si>
    <t>Fox1986</t>
  </si>
  <si>
    <t>acetate</t>
  </si>
  <si>
    <t>R00316</t>
  </si>
  <si>
    <t>dhap</t>
  </si>
  <si>
    <t>r5r</t>
  </si>
  <si>
    <t>Babul1993</t>
  </si>
  <si>
    <t>Calculated, not measured</t>
  </si>
  <si>
    <t>Zgiby2000</t>
  </si>
  <si>
    <t>10.1046/j.1432-1327.2000.01191.x</t>
  </si>
  <si>
    <t>some unclear infor about DHAP / same value reported in Zgiby2002 but with same error so I doubt it is a new measurement</t>
  </si>
  <si>
    <t>Plater1999</t>
  </si>
  <si>
    <t>Gavalda2005</t>
  </si>
  <si>
    <t>Baldwin1978</t>
  </si>
  <si>
    <t>10.1042/bj1690633</t>
  </si>
  <si>
    <t>range 0.12 - 0.28 depending on pH</t>
  </si>
  <si>
    <t>r6r</t>
  </si>
  <si>
    <t>Alvarez1998</t>
  </si>
  <si>
    <t>10.1074/jbc.273.4.2199</t>
  </si>
  <si>
    <t>r7ra</t>
  </si>
  <si>
    <t>Eyschen1999</t>
  </si>
  <si>
    <t>10.1006/abbi.1999.1116</t>
  </si>
  <si>
    <t>dpg</t>
  </si>
  <si>
    <t>r7rb</t>
  </si>
  <si>
    <t>pg3</t>
  </si>
  <si>
    <t>r7rc</t>
  </si>
  <si>
    <t>pg</t>
  </si>
  <si>
    <t>r80</t>
  </si>
  <si>
    <t>oxygen</t>
  </si>
  <si>
    <t>r81</t>
  </si>
  <si>
    <t>r82</t>
  </si>
  <si>
    <t>ATPmain</t>
  </si>
  <si>
    <t>r83</t>
  </si>
  <si>
    <t>r8r</t>
  </si>
  <si>
    <t>Duggleby1994</t>
  </si>
  <si>
    <t>Spring1971</t>
  </si>
  <si>
    <t>r9</t>
  </si>
  <si>
    <t>Boiteux1983</t>
  </si>
  <si>
    <t>FBP!=0</t>
  </si>
  <si>
    <t>FBP=0</t>
  </si>
  <si>
    <t>ethanolExt</t>
  </si>
  <si>
    <t>r90</t>
  </si>
  <si>
    <t>r91</t>
  </si>
  <si>
    <t>acetateExt</t>
  </si>
  <si>
    <t>nh3</t>
  </si>
  <si>
    <t>r93</t>
  </si>
  <si>
    <t>nh3Ext</t>
  </si>
  <si>
    <t>r94</t>
  </si>
  <si>
    <t>lactateExt</t>
  </si>
  <si>
    <t>r95</t>
  </si>
  <si>
    <t>succinateExt</t>
  </si>
  <si>
    <t>r96</t>
  </si>
  <si>
    <t>formateExt</t>
  </si>
  <si>
    <t>r97r</t>
  </si>
  <si>
    <t>co2Ext</t>
  </si>
  <si>
    <t>rr9</t>
  </si>
  <si>
    <t>Berman1970</t>
  </si>
  <si>
    <t>Mean in 1/s</t>
  </si>
  <si>
    <t>Value in 1/s</t>
  </si>
  <si>
    <t>1/s</t>
  </si>
  <si>
    <t>With NADP as cofactor</t>
  </si>
  <si>
    <t>With NAD as cofactor</t>
  </si>
  <si>
    <t>measured with fixed NADP (2mM, much higher than Km)</t>
  </si>
  <si>
    <t>measured with fixed gluco6p (2mM, much higher than Km)</t>
  </si>
  <si>
    <t>380 1/s for kcatrev (can be used to calc keq)</t>
  </si>
  <si>
    <t>1/m</t>
  </si>
  <si>
    <t>Albe1990</t>
  </si>
  <si>
    <t>Citrate synthese</t>
  </si>
  <si>
    <t>Isocitrate dehydrogenase</t>
  </si>
  <si>
    <t>Isocitrate / Per catalytic site</t>
  </si>
  <si>
    <t>Succinyl CoA synthese</t>
  </si>
  <si>
    <t>for ATP, so in the reverse direction</t>
  </si>
  <si>
    <t>Maklashina2001</t>
  </si>
  <si>
    <t>Tornroth2002</t>
  </si>
  <si>
    <t>Range 90-100</t>
  </si>
  <si>
    <t>Maklashina2006</t>
  </si>
  <si>
    <t>VFUM TCA Cycle in E. Coli; Verslag Wilma; Reference 35</t>
  </si>
  <si>
    <t>1/(M * s)</t>
  </si>
  <si>
    <t>strange unit, cannot really see from the paper what they did.... 51.7 is reported in Brenda but not sure how it is calculated</t>
  </si>
  <si>
    <t>Malate Dehydrogenase</t>
  </si>
  <si>
    <t>opposite direction (malate formation) is 0.9 1/ms</t>
  </si>
  <si>
    <t>1108 1/s for the opposite reaction (malate formation)</t>
  </si>
  <si>
    <t>Brenda: Thermococcus litoralis (pH=7.5, T=50)</t>
  </si>
  <si>
    <t>Brenda: Homo sapiens (pH=7.5, T=21)</t>
  </si>
  <si>
    <t>Brenda: Clostridium thermocellum (pH=7.5, T=37)</t>
  </si>
  <si>
    <t>Wang2001a</t>
  </si>
  <si>
    <t>Zhang1992</t>
  </si>
  <si>
    <t>Zhang1995</t>
  </si>
  <si>
    <t>PEP carboxylase;  http://kirschner.med.harvard.edu/files/bionumbers/AlbeKRenzymeconc1989.pdf</t>
  </si>
  <si>
    <t>Lee2013</t>
  </si>
  <si>
    <t>Recombinant PCK (6× His at N-terminal). (but also very similar KM)</t>
  </si>
  <si>
    <t>Albe1999</t>
  </si>
  <si>
    <t>Fischer2013</t>
  </si>
  <si>
    <t>10.1016/j.cbi.2012.11.006</t>
  </si>
  <si>
    <t>for the reverse direction (acetaldehyde -&gt; acetyl-CoA)</t>
  </si>
  <si>
    <t>EutD (reverse kcat is 415.5 for keq check)</t>
  </si>
  <si>
    <t>Pta (reverse kcat is 227.6 for keq check)</t>
  </si>
  <si>
    <t>r70</t>
  </si>
  <si>
    <t>Enolase</t>
  </si>
  <si>
    <t>Pryuvate kinase</t>
  </si>
  <si>
    <t>T</t>
  </si>
  <si>
    <t>R</t>
  </si>
  <si>
    <t>Reversible reactions</t>
  </si>
  <si>
    <t>Keq value</t>
  </si>
  <si>
    <t>Keq T=298</t>
  </si>
  <si>
    <t>deltaGprime</t>
  </si>
  <si>
    <t>Notes</t>
  </si>
  <si>
    <t>Used value in mM</t>
  </si>
  <si>
    <t>Reference</t>
  </si>
  <si>
    <t>Bennett et al. 2009</t>
  </si>
  <si>
    <t>biomass</t>
  </si>
  <si>
    <t>Not in equation</t>
  </si>
  <si>
    <t>Gerosa et al. 2015</t>
  </si>
  <si>
    <t>Combined concentration of all hexose-P</t>
  </si>
  <si>
    <t>No value found, small value is used</t>
  </si>
  <si>
    <t>Zimmermann et al. 2014</t>
  </si>
  <si>
    <t>Combined concentration of all pentose-P</t>
  </si>
  <si>
    <t>Metabolites in moiety in model</t>
  </si>
  <si>
    <t>Total Concentration (mM)</t>
  </si>
  <si>
    <t>Metabolite</t>
  </si>
  <si>
    <t>Concentration</t>
  </si>
  <si>
    <t>Unit</t>
  </si>
  <si>
    <t>amp</t>
  </si>
  <si>
    <t>Stock1982</t>
  </si>
  <si>
    <t>r60</t>
  </si>
  <si>
    <t>Scopes1984</t>
  </si>
  <si>
    <t>Z. mobilis</t>
  </si>
  <si>
    <t>kdpg</t>
  </si>
  <si>
    <t>r61r</t>
  </si>
  <si>
    <t xml:space="preserve">mM </t>
  </si>
  <si>
    <t>Fong2000</t>
  </si>
  <si>
    <t>r27b</t>
  </si>
  <si>
    <t>STDEV</t>
  </si>
  <si>
    <t>Citation key</t>
  </si>
  <si>
    <t>BRENDA ID</t>
  </si>
  <si>
    <t>1/ms</t>
  </si>
  <si>
    <t>Turnover numbers reverse</t>
  </si>
  <si>
    <t>Literature values of the turnover number for the reverse reaction (not used in the model but used by the parameter balancing algorithm for better estimates.</t>
  </si>
  <si>
    <t>reaction</t>
  </si>
  <si>
    <r>
      <t>polypeptides per complex (</t>
    </r>
    <r>
      <rPr>
        <sz val="11"/>
        <color rgb="FFFF0000"/>
        <rFont val="Calibri"/>
        <family val="2"/>
        <scheme val="minor"/>
      </rPr>
      <t>catalytic sites</t>
    </r>
    <r>
      <rPr>
        <sz val="11"/>
        <color rgb="FF000000"/>
        <rFont val="Calibri"/>
        <family val="2"/>
        <charset val="1"/>
      </rPr>
      <t xml:space="preserve"> if known)</t>
    </r>
  </si>
  <si>
    <t>complex MW (kDa)</t>
  </si>
  <si>
    <t>addr27r81</t>
  </si>
  <si>
    <t>addr27br83</t>
  </si>
  <si>
    <t>Weights</t>
  </si>
  <si>
    <t>Weights and number of catalytic sites of the enzyme complexes</t>
  </si>
</sst>
</file>

<file path=xl/styles.xml><?xml version="1.0" encoding="utf-8"?>
<styleSheet xmlns="http://schemas.openxmlformats.org/spreadsheetml/2006/main">
  <numFmts count="1">
    <numFmt numFmtId="164" formatCode="0.00E+000"/>
  </numFmts>
  <fonts count="2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575757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0"/>
      <color rgb="FF575757"/>
      <name val="Arial"/>
      <family val="2"/>
      <charset val="1"/>
    </font>
    <font>
      <sz val="8"/>
      <color rgb="FF575757"/>
      <name val="Arial"/>
      <family val="2"/>
      <charset val="1"/>
    </font>
    <font>
      <u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575757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575757"/>
      <name val="Arial"/>
      <family val="2"/>
    </font>
    <font>
      <u/>
      <sz val="11"/>
      <color theme="10"/>
      <name val="Calibri"/>
      <family val="2"/>
    </font>
    <font>
      <sz val="11"/>
      <color rgb="FF575757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Border="0" applyProtection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/>
    <xf numFmtId="0" fontId="0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left"/>
    </xf>
    <xf numFmtId="0" fontId="7" fillId="0" borderId="0" xfId="1" applyBorder="1" applyAlignment="1" applyProtection="1">
      <alignment horizontal="left"/>
    </xf>
    <xf numFmtId="0" fontId="0" fillId="0" borderId="0" xfId="0" applyAlignment="1"/>
    <xf numFmtId="0" fontId="5" fillId="2" borderId="0" xfId="0" applyFont="1" applyFill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1" applyFont="1" applyBorder="1" applyAlignment="1" applyProtection="1"/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5" fillId="3" borderId="0" xfId="0" applyFont="1" applyFill="1"/>
    <xf numFmtId="11" fontId="0" fillId="0" borderId="0" xfId="0" applyNumberFormat="1"/>
    <xf numFmtId="0" fontId="7" fillId="0" borderId="0" xfId="1" applyBorder="1" applyAlignment="1" applyProtection="1"/>
    <xf numFmtId="0" fontId="5" fillId="2" borderId="0" xfId="0" applyFont="1" applyFill="1" applyAlignment="1"/>
    <xf numFmtId="164" fontId="5" fillId="2" borderId="0" xfId="0" applyNumberFormat="1" applyFont="1" applyFill="1" applyAlignment="1"/>
    <xf numFmtId="164" fontId="0" fillId="0" borderId="0" xfId="0" applyNumberFormat="1"/>
    <xf numFmtId="164" fontId="5" fillId="2" borderId="0" xfId="0" applyNumberFormat="1" applyFont="1" applyFill="1"/>
    <xf numFmtId="0" fontId="13" fillId="0" borderId="0" xfId="0" applyFont="1"/>
    <xf numFmtId="0" fontId="14" fillId="0" borderId="0" xfId="0" applyFont="1"/>
    <xf numFmtId="0" fontId="12" fillId="0" borderId="0" xfId="2" applyFont="1"/>
    <xf numFmtId="0" fontId="12" fillId="0" borderId="0" xfId="2" applyFont="1" applyAlignment="1">
      <alignment horizontal="left" vertical="top"/>
    </xf>
    <xf numFmtId="0" fontId="15" fillId="0" borderId="0" xfId="2" applyFont="1" applyAlignment="1">
      <alignment horizontal="right"/>
    </xf>
    <xf numFmtId="0" fontId="2" fillId="0" borderId="0" xfId="2"/>
    <xf numFmtId="0" fontId="2" fillId="0" borderId="0" xfId="2" applyAlignment="1">
      <alignment horizontal="left" vertical="top"/>
    </xf>
    <xf numFmtId="0" fontId="14" fillId="0" borderId="0" xfId="2" applyFont="1" applyAlignment="1">
      <alignment horizontal="right"/>
    </xf>
    <xf numFmtId="0" fontId="2" fillId="0" borderId="0" xfId="2" applyAlignment="1">
      <alignment horizontal="right"/>
    </xf>
    <xf numFmtId="0" fontId="13" fillId="0" borderId="0" xfId="2" applyFont="1"/>
    <xf numFmtId="0" fontId="2" fillId="0" borderId="0" xfId="2" applyFill="1"/>
    <xf numFmtId="0" fontId="2" fillId="0" borderId="0" xfId="2" applyFill="1" applyAlignment="1">
      <alignment horizontal="left" vertical="top"/>
    </xf>
    <xf numFmtId="0" fontId="14" fillId="0" borderId="0" xfId="2" applyFont="1" applyFill="1" applyAlignment="1">
      <alignment horizontal="right"/>
    </xf>
    <xf numFmtId="0" fontId="16" fillId="0" borderId="0" xfId="2" applyFont="1"/>
    <xf numFmtId="0" fontId="16" fillId="0" borderId="0" xfId="2" applyFont="1" applyAlignment="1">
      <alignment horizontal="left"/>
    </xf>
    <xf numFmtId="0" fontId="18" fillId="0" borderId="0" xfId="2" applyFont="1"/>
    <xf numFmtId="0" fontId="14" fillId="0" borderId="0" xfId="2" applyFont="1" applyAlignment="1"/>
    <xf numFmtId="0" fontId="14" fillId="0" borderId="0" xfId="2" applyFont="1" applyFill="1" applyAlignme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" fillId="0" borderId="0" xfId="4"/>
    <xf numFmtId="0" fontId="1" fillId="4" borderId="0" xfId="4" applyFill="1"/>
    <xf numFmtId="0" fontId="19" fillId="0" borderId="0" xfId="4" applyFont="1"/>
    <xf numFmtId="0" fontId="5" fillId="2" borderId="0" xfId="0" applyFont="1" applyFill="1" applyBorder="1" applyAlignment="1">
      <alignment horizontal="center"/>
    </xf>
  </cellXfs>
  <cellStyles count="5">
    <cellStyle name="Hyperlink" xfId="1" builtinId="8"/>
    <cellStyle name="Hyperlink 2" xfId="3"/>
    <cellStyle name="Normal" xfId="0" builtinId="0"/>
    <cellStyle name="Normal 2" xfId="2"/>
    <cellStyle name="Normal 3" xfId="4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7575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9"/>
  <sheetViews>
    <sheetView zoomScaleNormal="100" workbookViewId="0">
      <selection activeCell="B16" sqref="B16"/>
    </sheetView>
  </sheetViews>
  <sheetFormatPr defaultRowHeight="15"/>
  <cols>
    <col min="1" max="1" width="26.5703125"/>
    <col min="2" max="2" width="144" bestFit="1" customWidth="1"/>
    <col min="3" max="1025" width="8.5703125"/>
  </cols>
  <sheetData>
    <row r="2" spans="1:2" s="2" customFormat="1">
      <c r="A2" s="1" t="s">
        <v>0</v>
      </c>
      <c r="B2" s="1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322</v>
      </c>
      <c r="B5" t="s">
        <v>323</v>
      </c>
    </row>
    <row r="6" spans="1:2">
      <c r="A6" t="s">
        <v>6</v>
      </c>
      <c r="B6" t="s">
        <v>7</v>
      </c>
    </row>
    <row r="7" spans="1:2">
      <c r="A7" t="s">
        <v>329</v>
      </c>
      <c r="B7" t="s">
        <v>330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6"/>
  <sheetViews>
    <sheetView zoomScaleNormal="100" workbookViewId="0">
      <selection activeCell="H4" sqref="H4"/>
    </sheetView>
  </sheetViews>
  <sheetFormatPr defaultRowHeight="15"/>
  <cols>
    <col min="1" max="1" width="11.7109375"/>
    <col min="2" max="2" width="8.5703125"/>
    <col min="3" max="3" width="6.28515625"/>
    <col min="4" max="7" width="11.7109375"/>
    <col min="8" max="8" width="9.42578125" style="3"/>
    <col min="9" max="9" width="22" style="3"/>
    <col min="10" max="10" width="8.7109375" style="4"/>
    <col min="11" max="11" width="38.85546875" style="5"/>
    <col min="12" max="12" width="183.5703125" style="3"/>
    <col min="13" max="1025" width="8.5703125"/>
  </cols>
  <sheetData>
    <row r="1" spans="1:12" s="11" customFormat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7" t="s">
        <v>18</v>
      </c>
      <c r="H1" s="8" t="s">
        <v>19</v>
      </c>
      <c r="I1" s="8" t="s">
        <v>20</v>
      </c>
      <c r="J1" s="9" t="s">
        <v>21</v>
      </c>
      <c r="K1" s="10" t="s">
        <v>22</v>
      </c>
      <c r="L1" s="10" t="s">
        <v>23</v>
      </c>
    </row>
    <row r="2" spans="1:12">
      <c r="A2" t="s">
        <v>24</v>
      </c>
      <c r="B2" t="s">
        <v>25</v>
      </c>
      <c r="C2">
        <v>1</v>
      </c>
      <c r="H2"/>
      <c r="I2"/>
      <c r="J2"/>
      <c r="K2"/>
      <c r="L2"/>
    </row>
    <row r="3" spans="1:12">
      <c r="A3" t="s">
        <v>26</v>
      </c>
      <c r="B3" t="s">
        <v>25</v>
      </c>
      <c r="C3">
        <v>-1</v>
      </c>
      <c r="D3">
        <f>AVERAGE(F3:F4)</f>
        <v>0.12</v>
      </c>
      <c r="E3">
        <f>STDEV(F3:F4)</f>
        <v>0.1414213562373095</v>
      </c>
      <c r="F3">
        <v>0.22</v>
      </c>
      <c r="G3">
        <v>0.22</v>
      </c>
      <c r="H3" s="5" t="s">
        <v>27</v>
      </c>
      <c r="I3" s="5" t="s">
        <v>28</v>
      </c>
      <c r="J3"/>
      <c r="K3" s="12" t="s">
        <v>29</v>
      </c>
      <c r="L3"/>
    </row>
    <row r="4" spans="1:12">
      <c r="F4">
        <f>G4</f>
        <v>0.02</v>
      </c>
      <c r="G4">
        <v>0.02</v>
      </c>
      <c r="H4" s="3" t="s">
        <v>27</v>
      </c>
      <c r="I4" t="s">
        <v>309</v>
      </c>
      <c r="J4">
        <v>6292227</v>
      </c>
      <c r="K4" s="3"/>
    </row>
    <row r="5" spans="1:12">
      <c r="A5" t="s">
        <v>30</v>
      </c>
      <c r="B5" t="s">
        <v>25</v>
      </c>
      <c r="C5">
        <v>-1</v>
      </c>
      <c r="H5"/>
      <c r="I5"/>
      <c r="J5"/>
      <c r="K5"/>
      <c r="L5"/>
    </row>
    <row r="6" spans="1:12">
      <c r="A6" t="s">
        <v>31</v>
      </c>
      <c r="B6" t="s">
        <v>25</v>
      </c>
      <c r="C6">
        <v>1</v>
      </c>
      <c r="H6"/>
      <c r="I6"/>
      <c r="J6"/>
      <c r="K6"/>
      <c r="L6"/>
    </row>
    <row r="7" spans="1:12">
      <c r="A7" t="s">
        <v>24</v>
      </c>
      <c r="B7" t="s">
        <v>32</v>
      </c>
      <c r="C7">
        <v>-1</v>
      </c>
      <c r="D7">
        <f>AVERAGE(F7:F10)</f>
        <v>0.40850000000000003</v>
      </c>
      <c r="E7">
        <f>STDEV(F7:F10)</f>
        <v>0.55938567494469627</v>
      </c>
      <c r="F7">
        <f>G7</f>
        <v>7.0000000000000007E-2</v>
      </c>
      <c r="G7">
        <v>7.0000000000000007E-2</v>
      </c>
      <c r="H7" s="5" t="s">
        <v>27</v>
      </c>
      <c r="I7" s="5" t="s">
        <v>33</v>
      </c>
      <c r="J7" s="13">
        <v>4392411</v>
      </c>
      <c r="K7"/>
      <c r="L7" s="5" t="s">
        <v>34</v>
      </c>
    </row>
    <row r="8" spans="1:12">
      <c r="F8">
        <f>G8</f>
        <v>0.14499999999999999</v>
      </c>
      <c r="G8">
        <v>0.14499999999999999</v>
      </c>
      <c r="H8" s="5" t="s">
        <v>27</v>
      </c>
      <c r="I8" s="5" t="s">
        <v>35</v>
      </c>
      <c r="J8" s="14">
        <v>4401601</v>
      </c>
      <c r="K8"/>
      <c r="L8" s="5" t="s">
        <v>34</v>
      </c>
    </row>
    <row r="9" spans="1:12">
      <c r="F9">
        <f>G9/1000</f>
        <v>0.17399999999999999</v>
      </c>
      <c r="G9">
        <v>174</v>
      </c>
      <c r="H9" s="5" t="s">
        <v>36</v>
      </c>
      <c r="I9" s="5" t="s">
        <v>37</v>
      </c>
      <c r="J9" s="13">
        <v>22519976</v>
      </c>
      <c r="K9" s="5" t="s">
        <v>38</v>
      </c>
      <c r="L9" s="5" t="s">
        <v>34</v>
      </c>
    </row>
    <row r="10" spans="1:12">
      <c r="F10">
        <f>G10/1000</f>
        <v>1.2450000000000001</v>
      </c>
      <c r="G10">
        <v>1245</v>
      </c>
      <c r="H10" s="5" t="s">
        <v>36</v>
      </c>
      <c r="I10" s="5" t="s">
        <v>37</v>
      </c>
      <c r="J10" s="13">
        <v>22519976</v>
      </c>
      <c r="K10" s="5" t="s">
        <v>38</v>
      </c>
      <c r="L10" s="5" t="s">
        <v>39</v>
      </c>
    </row>
    <row r="11" spans="1:12">
      <c r="A11" t="s">
        <v>40</v>
      </c>
      <c r="B11" t="s">
        <v>32</v>
      </c>
      <c r="C11">
        <v>-1</v>
      </c>
      <c r="D11">
        <f>AVERAGE(F11:F15)</f>
        <v>1.3594999999999999</v>
      </c>
      <c r="E11">
        <f>STDEV(F11:F15)</f>
        <v>2.2054650870054595</v>
      </c>
      <c r="F11">
        <f>G11</f>
        <v>1.67</v>
      </c>
      <c r="G11">
        <v>1.67</v>
      </c>
      <c r="H11" s="5" t="s">
        <v>27</v>
      </c>
      <c r="I11" s="5" t="s">
        <v>35</v>
      </c>
      <c r="J11" s="14">
        <v>4401601</v>
      </c>
      <c r="K11"/>
      <c r="L11"/>
    </row>
    <row r="12" spans="1:12">
      <c r="F12">
        <f>G12/1000</f>
        <v>5.09</v>
      </c>
      <c r="G12">
        <v>5090</v>
      </c>
      <c r="H12" s="5" t="s">
        <v>36</v>
      </c>
      <c r="I12" s="5" t="s">
        <v>37</v>
      </c>
      <c r="J12" s="13">
        <v>22519976</v>
      </c>
      <c r="K12" s="5" t="s">
        <v>38</v>
      </c>
      <c r="L12"/>
    </row>
    <row r="13" spans="1:12">
      <c r="F13">
        <f>G13/1000</f>
        <v>7.4999999999999997E-3</v>
      </c>
      <c r="G13">
        <v>7.5</v>
      </c>
      <c r="H13" s="5" t="s">
        <v>36</v>
      </c>
      <c r="I13" s="5" t="s">
        <v>37</v>
      </c>
      <c r="J13" s="13">
        <v>22519976</v>
      </c>
      <c r="K13" s="5" t="s">
        <v>38</v>
      </c>
      <c r="L13" s="5" t="s">
        <v>41</v>
      </c>
    </row>
    <row r="14" spans="1:12">
      <c r="F14">
        <f>G14</f>
        <v>1.4999999999999999E-2</v>
      </c>
      <c r="G14">
        <v>1.4999999999999999E-2</v>
      </c>
      <c r="H14" s="5" t="s">
        <v>27</v>
      </c>
      <c r="I14" s="5" t="s">
        <v>33</v>
      </c>
      <c r="J14" s="13">
        <v>4392411</v>
      </c>
      <c r="K14"/>
      <c r="L14" s="5" t="s">
        <v>41</v>
      </c>
    </row>
    <row r="15" spans="1:12">
      <c r="F15">
        <f>G15</f>
        <v>1.4999999999999999E-2</v>
      </c>
      <c r="G15">
        <v>1.4999999999999999E-2</v>
      </c>
      <c r="H15" s="5" t="s">
        <v>27</v>
      </c>
      <c r="I15" s="5" t="s">
        <v>35</v>
      </c>
      <c r="J15" s="14">
        <v>4401601</v>
      </c>
      <c r="K15"/>
      <c r="L15" s="5" t="s">
        <v>41</v>
      </c>
    </row>
    <row r="16" spans="1:12">
      <c r="A16" t="s">
        <v>42</v>
      </c>
      <c r="B16" t="s">
        <v>32</v>
      </c>
      <c r="C16">
        <v>1</v>
      </c>
      <c r="H16"/>
      <c r="I16"/>
      <c r="J16"/>
      <c r="K16"/>
      <c r="L16"/>
    </row>
    <row r="17" spans="1:12">
      <c r="A17" t="s">
        <v>43</v>
      </c>
      <c r="B17" t="s">
        <v>32</v>
      </c>
      <c r="C17">
        <v>1</v>
      </c>
      <c r="H17"/>
      <c r="I17"/>
      <c r="J17"/>
      <c r="K17"/>
      <c r="L17"/>
    </row>
    <row r="18" spans="1:12">
      <c r="A18" t="s">
        <v>43</v>
      </c>
      <c r="B18" t="s">
        <v>44</v>
      </c>
      <c r="C18">
        <v>-1</v>
      </c>
      <c r="H18"/>
      <c r="I18"/>
      <c r="J18"/>
      <c r="K18"/>
      <c r="L18"/>
    </row>
    <row r="19" spans="1:12">
      <c r="A19" t="s">
        <v>45</v>
      </c>
      <c r="B19" t="s">
        <v>44</v>
      </c>
      <c r="C19">
        <v>1</v>
      </c>
      <c r="H19"/>
      <c r="I19"/>
      <c r="J19"/>
      <c r="K19"/>
      <c r="L19"/>
    </row>
    <row r="20" spans="1:12">
      <c r="A20" t="s">
        <v>45</v>
      </c>
      <c r="B20" t="s">
        <v>46</v>
      </c>
      <c r="C20">
        <v>-1</v>
      </c>
      <c r="D20">
        <f>F20</f>
        <v>9.2999999999999999E-2</v>
      </c>
      <c r="F20">
        <f>G20/1000</f>
        <v>9.2999999999999999E-2</v>
      </c>
      <c r="G20">
        <v>93</v>
      </c>
      <c r="H20" s="5" t="s">
        <v>36</v>
      </c>
      <c r="I20" s="5" t="s">
        <v>47</v>
      </c>
      <c r="J20" s="13">
        <v>19686854</v>
      </c>
      <c r="K20"/>
      <c r="L20" s="5" t="s">
        <v>48</v>
      </c>
    </row>
    <row r="21" spans="1:12">
      <c r="A21" t="s">
        <v>40</v>
      </c>
      <c r="B21" t="s">
        <v>46</v>
      </c>
      <c r="C21">
        <v>-1</v>
      </c>
      <c r="D21">
        <f>F21</f>
        <v>4.9000000000000002E-2</v>
      </c>
      <c r="F21">
        <f>G21/1000</f>
        <v>4.9000000000000002E-2</v>
      </c>
      <c r="G21">
        <v>49</v>
      </c>
      <c r="H21" s="5" t="s">
        <v>36</v>
      </c>
      <c r="I21" s="5" t="s">
        <v>47</v>
      </c>
      <c r="J21" s="13">
        <v>19686854</v>
      </c>
      <c r="K21"/>
      <c r="L21" s="5" t="s">
        <v>41</v>
      </c>
    </row>
    <row r="22" spans="1:12">
      <c r="A22" t="s">
        <v>42</v>
      </c>
      <c r="B22" t="s">
        <v>46</v>
      </c>
      <c r="C22">
        <v>1</v>
      </c>
      <c r="H22"/>
      <c r="I22"/>
      <c r="J22"/>
      <c r="K22"/>
      <c r="L22"/>
    </row>
    <row r="23" spans="1:12">
      <c r="A23" t="s">
        <v>49</v>
      </c>
      <c r="B23" t="s">
        <v>46</v>
      </c>
      <c r="C23">
        <v>1</v>
      </c>
      <c r="H23"/>
      <c r="I23"/>
      <c r="J23"/>
      <c r="K23"/>
      <c r="L23"/>
    </row>
    <row r="24" spans="1:12">
      <c r="A24" t="s">
        <v>50</v>
      </c>
      <c r="B24" t="s">
        <v>46</v>
      </c>
      <c r="C24">
        <v>1</v>
      </c>
      <c r="H24"/>
      <c r="I24"/>
      <c r="J24"/>
      <c r="K24"/>
      <c r="L24"/>
    </row>
    <row r="25" spans="1:12">
      <c r="A25" t="s">
        <v>50</v>
      </c>
      <c r="B25" t="s">
        <v>51</v>
      </c>
      <c r="C25">
        <v>-1</v>
      </c>
      <c r="H25"/>
      <c r="I25"/>
      <c r="J25"/>
      <c r="K25"/>
      <c r="L25"/>
    </row>
    <row r="26" spans="1:12">
      <c r="A26" t="s">
        <v>52</v>
      </c>
      <c r="B26" t="s">
        <v>51</v>
      </c>
      <c r="C26">
        <v>1</v>
      </c>
      <c r="H26"/>
      <c r="I26"/>
      <c r="J26"/>
      <c r="K26"/>
      <c r="L26"/>
    </row>
    <row r="27" spans="1:12">
      <c r="A27" t="s">
        <v>53</v>
      </c>
      <c r="B27" t="s">
        <v>54</v>
      </c>
      <c r="C27">
        <v>1</v>
      </c>
      <c r="D27">
        <f>AVERAGE(F27:F29)</f>
        <v>2.7766666666666668</v>
      </c>
      <c r="E27">
        <f>STDEV(F27:F29)</f>
        <v>1.8068296359461609</v>
      </c>
      <c r="F27">
        <f>G27</f>
        <v>4.4000000000000004</v>
      </c>
      <c r="G27">
        <v>4.4000000000000004</v>
      </c>
      <c r="H27" s="5" t="s">
        <v>27</v>
      </c>
      <c r="I27" s="5" t="s">
        <v>55</v>
      </c>
      <c r="J27" s="13">
        <v>19686854</v>
      </c>
      <c r="K27"/>
      <c r="L27" s="5" t="s">
        <v>56</v>
      </c>
    </row>
    <row r="28" spans="1:12">
      <c r="F28">
        <f>G28</f>
        <v>3.1</v>
      </c>
      <c r="G28">
        <v>3.1</v>
      </c>
      <c r="H28" s="5" t="s">
        <v>27</v>
      </c>
      <c r="I28" s="5" t="s">
        <v>57</v>
      </c>
      <c r="J28" s="13">
        <v>12517338</v>
      </c>
      <c r="K28" s="15"/>
      <c r="L28" s="5" t="s">
        <v>56</v>
      </c>
    </row>
    <row r="29" spans="1:12">
      <c r="F29">
        <f>G29</f>
        <v>0.83</v>
      </c>
      <c r="G29">
        <v>0.83</v>
      </c>
      <c r="H29" s="5" t="s">
        <v>27</v>
      </c>
      <c r="I29" s="5" t="s">
        <v>55</v>
      </c>
      <c r="J29" s="13">
        <v>19686854</v>
      </c>
      <c r="K29"/>
      <c r="L29" s="5" t="s">
        <v>58</v>
      </c>
    </row>
    <row r="30" spans="1:12">
      <c r="A30" t="s">
        <v>50</v>
      </c>
      <c r="B30" t="s">
        <v>54</v>
      </c>
      <c r="C30">
        <v>-1</v>
      </c>
      <c r="H30"/>
      <c r="I30"/>
      <c r="J30"/>
      <c r="K30"/>
      <c r="L30"/>
    </row>
    <row r="31" spans="1:12">
      <c r="A31" t="s">
        <v>59</v>
      </c>
      <c r="B31" t="s">
        <v>60</v>
      </c>
      <c r="C31">
        <v>1</v>
      </c>
      <c r="D31">
        <f>F31</f>
        <v>2.1</v>
      </c>
      <c r="F31">
        <f>G31</f>
        <v>2.1</v>
      </c>
      <c r="G31">
        <v>2.1</v>
      </c>
      <c r="H31" s="5" t="s">
        <v>27</v>
      </c>
      <c r="I31" s="5" t="s">
        <v>61</v>
      </c>
      <c r="J31" s="13">
        <v>7607225</v>
      </c>
      <c r="K31" s="15"/>
      <c r="L31"/>
    </row>
    <row r="32" spans="1:12">
      <c r="A32" t="s">
        <v>53</v>
      </c>
      <c r="B32" t="s">
        <v>60</v>
      </c>
      <c r="C32">
        <v>-1</v>
      </c>
      <c r="D32">
        <f>F32</f>
        <v>1.4</v>
      </c>
      <c r="F32">
        <f>G32</f>
        <v>1.4</v>
      </c>
      <c r="G32">
        <v>1.4</v>
      </c>
      <c r="H32" s="5" t="s">
        <v>27</v>
      </c>
      <c r="I32" s="5" t="s">
        <v>61</v>
      </c>
      <c r="J32" s="13">
        <v>7607225</v>
      </c>
      <c r="K32" s="15"/>
      <c r="L32"/>
    </row>
    <row r="33" spans="1:12">
      <c r="A33" t="s">
        <v>62</v>
      </c>
      <c r="B33" t="s">
        <v>60</v>
      </c>
      <c r="C33">
        <v>1</v>
      </c>
      <c r="D33">
        <f>F33</f>
        <v>4</v>
      </c>
      <c r="F33">
        <f>G33</f>
        <v>4</v>
      </c>
      <c r="G33">
        <v>4</v>
      </c>
      <c r="H33" s="5" t="s">
        <v>27</v>
      </c>
      <c r="I33" s="5" t="s">
        <v>61</v>
      </c>
      <c r="J33" s="13">
        <v>7607225</v>
      </c>
      <c r="K33" s="15"/>
      <c r="L33"/>
    </row>
    <row r="34" spans="1:12">
      <c r="A34" t="s">
        <v>52</v>
      </c>
      <c r="B34" t="s">
        <v>60</v>
      </c>
      <c r="C34">
        <v>-1</v>
      </c>
      <c r="D34">
        <f>F34</f>
        <v>0.16</v>
      </c>
      <c r="F34">
        <f t="shared" ref="F34:F40" si="0">G34/1000</f>
        <v>0.16</v>
      </c>
      <c r="G34">
        <v>160</v>
      </c>
      <c r="H34" s="5" t="s">
        <v>36</v>
      </c>
      <c r="I34" s="5" t="s">
        <v>61</v>
      </c>
      <c r="J34" s="13">
        <v>7607225</v>
      </c>
      <c r="K34" s="15"/>
      <c r="L34"/>
    </row>
    <row r="35" spans="1:12">
      <c r="A35" t="s">
        <v>63</v>
      </c>
      <c r="B35" t="s">
        <v>64</v>
      </c>
      <c r="C35">
        <v>1</v>
      </c>
      <c r="D35">
        <f>AVERAGE(F35:F37)</f>
        <v>0.16166666666666665</v>
      </c>
      <c r="E35">
        <f>STDEV(F35:F37)</f>
        <v>0.11557825631723873</v>
      </c>
      <c r="F35">
        <f t="shared" si="0"/>
        <v>0.09</v>
      </c>
      <c r="G35">
        <v>90</v>
      </c>
      <c r="H35" s="5" t="s">
        <v>36</v>
      </c>
      <c r="I35" s="5" t="s">
        <v>65</v>
      </c>
      <c r="J35" s="13">
        <v>7592346</v>
      </c>
      <c r="K35" s="15"/>
      <c r="L35"/>
    </row>
    <row r="36" spans="1:12">
      <c r="F36">
        <f t="shared" si="0"/>
        <v>0.1</v>
      </c>
      <c r="G36">
        <v>100</v>
      </c>
      <c r="H36" s="5" t="s">
        <v>36</v>
      </c>
      <c r="I36" s="5" t="s">
        <v>66</v>
      </c>
      <c r="J36" s="13">
        <v>11298760</v>
      </c>
      <c r="K36" s="15"/>
      <c r="L36"/>
    </row>
    <row r="37" spans="1:12">
      <c r="F37">
        <f t="shared" si="0"/>
        <v>0.29499999999999998</v>
      </c>
      <c r="G37">
        <v>295</v>
      </c>
      <c r="H37" s="5" t="s">
        <v>36</v>
      </c>
      <c r="I37" s="5" t="s">
        <v>67</v>
      </c>
      <c r="J37" s="13">
        <v>9883893</v>
      </c>
      <c r="K37" s="15"/>
      <c r="L37"/>
    </row>
    <row r="38" spans="1:12">
      <c r="A38" t="s">
        <v>68</v>
      </c>
      <c r="B38" t="s">
        <v>64</v>
      </c>
      <c r="C38">
        <v>1</v>
      </c>
      <c r="D38">
        <f>AVERAGE(F38:F40)</f>
        <v>1.1133333333333333</v>
      </c>
      <c r="E38">
        <f>STDEV(F38:F40)</f>
        <v>0.15011106998930257</v>
      </c>
      <c r="F38">
        <f t="shared" si="0"/>
        <v>1.2</v>
      </c>
      <c r="G38">
        <v>1200</v>
      </c>
      <c r="H38" s="5" t="s">
        <v>36</v>
      </c>
      <c r="I38" s="5" t="s">
        <v>65</v>
      </c>
      <c r="J38" s="13">
        <v>7592346</v>
      </c>
      <c r="K38" s="15"/>
      <c r="L38"/>
    </row>
    <row r="39" spans="1:12">
      <c r="F39">
        <f t="shared" si="0"/>
        <v>1.2</v>
      </c>
      <c r="G39">
        <v>1200</v>
      </c>
      <c r="H39" s="5" t="s">
        <v>36</v>
      </c>
      <c r="I39" s="5" t="s">
        <v>66</v>
      </c>
      <c r="J39" s="13">
        <v>11298760</v>
      </c>
      <c r="K39" s="15"/>
      <c r="L39"/>
    </row>
    <row r="40" spans="1:12">
      <c r="F40">
        <f t="shared" si="0"/>
        <v>0.94</v>
      </c>
      <c r="G40">
        <v>940</v>
      </c>
      <c r="H40" s="5" t="s">
        <v>36</v>
      </c>
      <c r="I40" s="5" t="s">
        <v>67</v>
      </c>
      <c r="J40" s="13">
        <v>9883893</v>
      </c>
      <c r="K40" s="15"/>
      <c r="L40"/>
    </row>
    <row r="41" spans="1:12">
      <c r="A41" t="s">
        <v>59</v>
      </c>
      <c r="B41" t="s">
        <v>64</v>
      </c>
      <c r="C41">
        <v>-1</v>
      </c>
      <c r="D41">
        <f>AVERAGE(F41:F42)</f>
        <v>0.96899999999999997</v>
      </c>
      <c r="E41">
        <f>STDEV(F41:F42)</f>
        <v>1.3166328265693514</v>
      </c>
      <c r="F41">
        <f>G41</f>
        <v>1.9</v>
      </c>
      <c r="G41">
        <v>1.9</v>
      </c>
      <c r="H41" s="5" t="s">
        <v>27</v>
      </c>
      <c r="I41" s="5" t="s">
        <v>69</v>
      </c>
      <c r="J41" s="13">
        <v>21290439</v>
      </c>
      <c r="K41"/>
      <c r="L41"/>
    </row>
    <row r="42" spans="1:12">
      <c r="F42">
        <f>G42/1000</f>
        <v>3.7999999999999999E-2</v>
      </c>
      <c r="G42">
        <v>38</v>
      </c>
      <c r="H42" s="5" t="s">
        <v>36</v>
      </c>
      <c r="I42" s="5" t="s">
        <v>65</v>
      </c>
      <c r="J42" s="13">
        <v>7592346</v>
      </c>
      <c r="K42" s="15"/>
      <c r="L42"/>
    </row>
    <row r="43" spans="1:12">
      <c r="A43" t="s">
        <v>62</v>
      </c>
      <c r="B43" t="s">
        <v>64</v>
      </c>
      <c r="C43">
        <v>-1</v>
      </c>
      <c r="D43">
        <f t="shared" ref="D43:D50" si="1">F43</f>
        <v>0.28499999999999998</v>
      </c>
      <c r="F43">
        <f>G43/1000</f>
        <v>0.28499999999999998</v>
      </c>
      <c r="G43">
        <v>285</v>
      </c>
      <c r="H43" s="5" t="s">
        <v>36</v>
      </c>
      <c r="I43" s="5" t="s">
        <v>65</v>
      </c>
      <c r="J43" s="13">
        <v>7592346</v>
      </c>
      <c r="K43" s="15"/>
      <c r="L43"/>
    </row>
    <row r="44" spans="1:12">
      <c r="A44" t="s">
        <v>63</v>
      </c>
      <c r="B44" t="s">
        <v>70</v>
      </c>
      <c r="C44">
        <v>-1</v>
      </c>
      <c r="D44">
        <f t="shared" si="1"/>
        <v>0.09</v>
      </c>
      <c r="F44">
        <f>G44/1000</f>
        <v>0.09</v>
      </c>
      <c r="G44">
        <v>90</v>
      </c>
      <c r="H44" s="5" t="s">
        <v>36</v>
      </c>
      <c r="I44" s="5" t="s">
        <v>61</v>
      </c>
      <c r="J44" s="13">
        <v>7607225</v>
      </c>
      <c r="K44" s="15"/>
      <c r="L44"/>
    </row>
    <row r="45" spans="1:12">
      <c r="A45" t="s">
        <v>68</v>
      </c>
      <c r="B45" t="s">
        <v>70</v>
      </c>
      <c r="C45">
        <v>1</v>
      </c>
      <c r="D45">
        <f t="shared" si="1"/>
        <v>1.1000000000000001</v>
      </c>
      <c r="F45">
        <f>G45</f>
        <v>1.1000000000000001</v>
      </c>
      <c r="G45">
        <v>1.1000000000000001</v>
      </c>
      <c r="H45" s="5" t="s">
        <v>27</v>
      </c>
      <c r="I45" s="5" t="s">
        <v>61</v>
      </c>
      <c r="J45" s="13">
        <v>7607225</v>
      </c>
      <c r="K45" s="15"/>
      <c r="L45"/>
    </row>
    <row r="46" spans="1:12">
      <c r="A46" t="s">
        <v>59</v>
      </c>
      <c r="B46" t="s">
        <v>70</v>
      </c>
      <c r="C46">
        <v>1</v>
      </c>
      <c r="D46">
        <f t="shared" si="1"/>
        <v>2.1</v>
      </c>
      <c r="F46">
        <f>G46</f>
        <v>2.1</v>
      </c>
      <c r="G46">
        <v>2.1</v>
      </c>
      <c r="H46" s="5" t="s">
        <v>27</v>
      </c>
      <c r="I46" s="5" t="s">
        <v>61</v>
      </c>
      <c r="J46" s="13">
        <v>7607225</v>
      </c>
      <c r="K46" s="15"/>
      <c r="L46"/>
    </row>
    <row r="47" spans="1:12">
      <c r="A47" t="s">
        <v>52</v>
      </c>
      <c r="B47" t="s">
        <v>70</v>
      </c>
      <c r="C47">
        <v>-1</v>
      </c>
      <c r="D47">
        <f t="shared" si="1"/>
        <v>0.16</v>
      </c>
      <c r="F47">
        <f>G47/1000</f>
        <v>0.16</v>
      </c>
      <c r="G47">
        <v>160</v>
      </c>
      <c r="H47" s="5" t="s">
        <v>36</v>
      </c>
      <c r="I47" s="5" t="s">
        <v>61</v>
      </c>
      <c r="J47" s="13">
        <v>7607225</v>
      </c>
      <c r="K47" s="15"/>
      <c r="L47"/>
    </row>
    <row r="48" spans="1:12">
      <c r="A48" t="s">
        <v>71</v>
      </c>
      <c r="B48" t="s">
        <v>72</v>
      </c>
      <c r="C48">
        <v>1</v>
      </c>
      <c r="D48">
        <f t="shared" si="1"/>
        <v>5.0999999999999997E-2</v>
      </c>
      <c r="F48">
        <f>G48</f>
        <v>5.0999999999999997E-2</v>
      </c>
      <c r="G48">
        <v>5.0999999999999997E-2</v>
      </c>
      <c r="H48" s="5" t="s">
        <v>27</v>
      </c>
      <c r="I48" s="5" t="s">
        <v>73</v>
      </c>
      <c r="J48" s="13">
        <v>4615902</v>
      </c>
      <c r="K48"/>
      <c r="L48"/>
    </row>
    <row r="49" spans="1:12">
      <c r="A49" t="s">
        <v>74</v>
      </c>
      <c r="B49" t="s">
        <v>72</v>
      </c>
      <c r="C49">
        <v>-1</v>
      </c>
      <c r="D49">
        <f t="shared" si="1"/>
        <v>6.7999999999999996E-3</v>
      </c>
      <c r="F49">
        <f>G49</f>
        <v>6.7999999999999996E-3</v>
      </c>
      <c r="G49">
        <v>6.7999999999999996E-3</v>
      </c>
      <c r="H49" s="5" t="s">
        <v>27</v>
      </c>
      <c r="I49" s="5" t="s">
        <v>73</v>
      </c>
      <c r="J49" s="13">
        <v>4615902</v>
      </c>
      <c r="K49"/>
      <c r="L49"/>
    </row>
    <row r="50" spans="1:12">
      <c r="A50" t="s">
        <v>75</v>
      </c>
      <c r="B50" t="s">
        <v>72</v>
      </c>
      <c r="C50">
        <v>1</v>
      </c>
      <c r="D50">
        <f t="shared" si="1"/>
        <v>24.5</v>
      </c>
      <c r="F50">
        <f>G50</f>
        <v>24.5</v>
      </c>
      <c r="G50">
        <v>24.5</v>
      </c>
      <c r="H50" s="5" t="s">
        <v>27</v>
      </c>
      <c r="I50" s="5" t="s">
        <v>73</v>
      </c>
      <c r="J50" s="13">
        <v>4615902</v>
      </c>
      <c r="K50"/>
      <c r="L50"/>
    </row>
    <row r="51" spans="1:12">
      <c r="A51" t="s">
        <v>31</v>
      </c>
      <c r="B51" t="s">
        <v>72</v>
      </c>
      <c r="C51">
        <v>-1</v>
      </c>
      <c r="D51">
        <f>AVERAGE(F51:F52)</f>
        <v>2.21</v>
      </c>
      <c r="E51">
        <f>STDEV(F51:F52)</f>
        <v>0.22627416997969452</v>
      </c>
      <c r="F51">
        <f>G51</f>
        <v>2.0499999999999998</v>
      </c>
      <c r="G51">
        <v>2.0499999999999998</v>
      </c>
      <c r="H51" s="5" t="s">
        <v>27</v>
      </c>
      <c r="I51" s="5" t="s">
        <v>73</v>
      </c>
      <c r="J51" s="13">
        <v>4615902</v>
      </c>
      <c r="K51"/>
      <c r="L51"/>
    </row>
    <row r="52" spans="1:12">
      <c r="F52">
        <f>G52</f>
        <v>2.37</v>
      </c>
      <c r="G52">
        <v>2.37</v>
      </c>
      <c r="H52" s="5" t="s">
        <v>27</v>
      </c>
      <c r="I52" s="5" t="s">
        <v>76</v>
      </c>
      <c r="J52" s="13">
        <v>17341838</v>
      </c>
      <c r="K52"/>
      <c r="L52"/>
    </row>
    <row r="53" spans="1:12">
      <c r="A53" t="s">
        <v>71</v>
      </c>
      <c r="B53" t="s">
        <v>77</v>
      </c>
      <c r="C53">
        <v>1</v>
      </c>
      <c r="H53"/>
      <c r="I53"/>
      <c r="J53"/>
      <c r="K53"/>
      <c r="L53"/>
    </row>
    <row r="54" spans="1:12">
      <c r="A54" t="s">
        <v>49</v>
      </c>
      <c r="B54" t="s">
        <v>77</v>
      </c>
      <c r="C54">
        <v>1</v>
      </c>
      <c r="H54"/>
      <c r="I54"/>
      <c r="J54"/>
      <c r="K54"/>
      <c r="L54"/>
    </row>
    <row r="55" spans="1:12">
      <c r="A55" t="s">
        <v>74</v>
      </c>
      <c r="B55" t="s">
        <v>77</v>
      </c>
      <c r="C55">
        <v>-1</v>
      </c>
      <c r="H55"/>
      <c r="I55"/>
      <c r="J55"/>
      <c r="K55"/>
      <c r="L55"/>
    </row>
    <row r="56" spans="1:12">
      <c r="A56" t="s">
        <v>40</v>
      </c>
      <c r="B56" t="s">
        <v>77</v>
      </c>
      <c r="C56">
        <v>-1</v>
      </c>
      <c r="H56"/>
      <c r="I56"/>
      <c r="J56"/>
      <c r="K56"/>
      <c r="L56"/>
    </row>
    <row r="57" spans="1:12">
      <c r="A57" t="s">
        <v>42</v>
      </c>
      <c r="B57" t="s">
        <v>77</v>
      </c>
      <c r="C57">
        <v>1</v>
      </c>
      <c r="H57"/>
      <c r="I57"/>
      <c r="J57"/>
      <c r="K57"/>
      <c r="L57"/>
    </row>
    <row r="58" spans="1:12">
      <c r="A58" t="s">
        <v>31</v>
      </c>
      <c r="B58" t="s">
        <v>77</v>
      </c>
      <c r="C58">
        <v>-1</v>
      </c>
      <c r="D58">
        <f>AVERAGE(F58:F59)</f>
        <v>0.38795000000000002</v>
      </c>
      <c r="E58">
        <f>STDEV(F58:F59)</f>
        <v>0.17967583309950153</v>
      </c>
      <c r="F58">
        <f>G58/1000</f>
        <v>0.26089999999999997</v>
      </c>
      <c r="G58">
        <v>260.89999999999998</v>
      </c>
      <c r="H58" s="5" t="s">
        <v>36</v>
      </c>
      <c r="I58" s="5" t="s">
        <v>78</v>
      </c>
      <c r="J58" s="13">
        <v>17635929</v>
      </c>
      <c r="K58"/>
      <c r="L58"/>
    </row>
    <row r="59" spans="1:12">
      <c r="F59">
        <f>G59</f>
        <v>0.51500000000000001</v>
      </c>
      <c r="G59">
        <v>0.51500000000000001</v>
      </c>
      <c r="H59" s="5" t="s">
        <v>27</v>
      </c>
      <c r="I59" s="5" t="s">
        <v>79</v>
      </c>
      <c r="J59" s="13">
        <v>11583990</v>
      </c>
      <c r="K59"/>
      <c r="L59"/>
    </row>
    <row r="60" spans="1:12">
      <c r="A60" t="s">
        <v>71</v>
      </c>
      <c r="B60" t="s">
        <v>80</v>
      </c>
      <c r="C60">
        <v>-1</v>
      </c>
      <c r="D60">
        <f>AVERAGE(F60:F61)</f>
        <v>8.0000000000000016E-2</v>
      </c>
      <c r="E60">
        <f>STDEV(F60:F61)</f>
        <v>4.2426406871192826E-2</v>
      </c>
      <c r="F60">
        <f>G60/1000</f>
        <v>0.05</v>
      </c>
      <c r="G60">
        <v>50</v>
      </c>
      <c r="H60" s="5" t="s">
        <v>36</v>
      </c>
      <c r="I60" s="5" t="s">
        <v>81</v>
      </c>
      <c r="J60"/>
      <c r="K60" s="5" t="s">
        <v>82</v>
      </c>
      <c r="L60"/>
    </row>
    <row r="61" spans="1:12">
      <c r="F61">
        <f>G61*1000</f>
        <v>0.11000000000000001</v>
      </c>
      <c r="G61">
        <f>1.1*10^(-4)</f>
        <v>1.1000000000000002E-4</v>
      </c>
      <c r="H61" s="5" t="s">
        <v>83</v>
      </c>
      <c r="I61" s="5" t="s">
        <v>84</v>
      </c>
      <c r="J61" s="13">
        <v>4900996</v>
      </c>
      <c r="K61" s="12" t="s">
        <v>85</v>
      </c>
      <c r="L61"/>
    </row>
    <row r="62" spans="1:12">
      <c r="A62" t="s">
        <v>86</v>
      </c>
      <c r="B62" t="s">
        <v>80</v>
      </c>
      <c r="C62">
        <v>1</v>
      </c>
      <c r="H62"/>
      <c r="I62"/>
      <c r="J62"/>
      <c r="K62"/>
      <c r="L62"/>
    </row>
    <row r="63" spans="1:12">
      <c r="A63" t="s">
        <v>74</v>
      </c>
      <c r="B63" t="s">
        <v>80</v>
      </c>
      <c r="C63">
        <v>1</v>
      </c>
      <c r="H63"/>
      <c r="I63"/>
      <c r="J63"/>
      <c r="K63"/>
      <c r="L63"/>
    </row>
    <row r="64" spans="1:12">
      <c r="A64" t="s">
        <v>87</v>
      </c>
      <c r="B64" t="s">
        <v>80</v>
      </c>
      <c r="C64">
        <v>-1</v>
      </c>
      <c r="D64">
        <f>AVERAGE(F64:F65)</f>
        <v>2.1499999999999998E-2</v>
      </c>
      <c r="E64">
        <f>STDEV(F64:F65)</f>
        <v>7.0710678118654567E-4</v>
      </c>
      <c r="F64">
        <f>G64/1000</f>
        <v>2.1999999999999999E-2</v>
      </c>
      <c r="G64">
        <v>22</v>
      </c>
      <c r="H64" s="5" t="s">
        <v>36</v>
      </c>
      <c r="I64" s="5" t="s">
        <v>81</v>
      </c>
      <c r="J64"/>
      <c r="K64" s="5" t="s">
        <v>82</v>
      </c>
      <c r="L64"/>
    </row>
    <row r="65" spans="1:12">
      <c r="F65">
        <f>G65*1000</f>
        <v>2.1000000000000001E-2</v>
      </c>
      <c r="G65">
        <f>2.1*10^(-5)</f>
        <v>2.1000000000000002E-5</v>
      </c>
      <c r="H65" s="5" t="s">
        <v>83</v>
      </c>
      <c r="I65"/>
      <c r="J65" s="13">
        <v>4900996</v>
      </c>
      <c r="K65" s="12" t="s">
        <v>85</v>
      </c>
      <c r="L65"/>
    </row>
    <row r="66" spans="1:12">
      <c r="A66" t="s">
        <v>86</v>
      </c>
      <c r="B66" t="s">
        <v>88</v>
      </c>
      <c r="C66">
        <v>-1</v>
      </c>
      <c r="D66">
        <f>AVERAGE(F66:F67)</f>
        <v>6.2016666666666662</v>
      </c>
      <c r="E66">
        <f>STDEV(F66:F67)</f>
        <v>6.9744298851033131</v>
      </c>
      <c r="F66">
        <f>G66</f>
        <v>1.2699999999999998</v>
      </c>
      <c r="G66">
        <f>(1.16+1.15+1.5)/3</f>
        <v>1.2699999999999998</v>
      </c>
      <c r="H66" s="5" t="s">
        <v>27</v>
      </c>
      <c r="I66" s="5" t="s">
        <v>89</v>
      </c>
      <c r="J66"/>
      <c r="K66" s="5" t="s">
        <v>90</v>
      </c>
      <c r="L66" s="5" t="s">
        <v>91</v>
      </c>
    </row>
    <row r="67" spans="1:12">
      <c r="F67">
        <f>G67</f>
        <v>11.133333333333333</v>
      </c>
      <c r="G67">
        <f>(11+11.2+11.2)/3</f>
        <v>11.133333333333333</v>
      </c>
      <c r="H67" s="5" t="s">
        <v>27</v>
      </c>
      <c r="I67" s="5" t="s">
        <v>89</v>
      </c>
      <c r="J67"/>
      <c r="K67" s="5" t="s">
        <v>90</v>
      </c>
      <c r="L67" s="5" t="s">
        <v>92</v>
      </c>
    </row>
    <row r="68" spans="1:12">
      <c r="A68" t="s">
        <v>93</v>
      </c>
      <c r="B68" t="s">
        <v>88</v>
      </c>
      <c r="C68">
        <v>1</v>
      </c>
      <c r="D68">
        <f>AVERAGE(F68:F72)</f>
        <v>4.8492666666666668</v>
      </c>
      <c r="E68">
        <f>STDEV(F68:F72)</f>
        <v>9.7970212831361252</v>
      </c>
      <c r="F68">
        <f>G68/1000</f>
        <v>0.21</v>
      </c>
      <c r="G68">
        <v>210</v>
      </c>
      <c r="H68" s="5" t="s">
        <v>36</v>
      </c>
      <c r="I68" s="5" t="s">
        <v>94</v>
      </c>
      <c r="J68" s="13">
        <v>12473114</v>
      </c>
      <c r="K68" s="15"/>
      <c r="L68"/>
    </row>
    <row r="69" spans="1:12">
      <c r="F69">
        <f t="shared" ref="F69:F76" si="2">G69</f>
        <v>1.4666666666666666E-2</v>
      </c>
      <c r="G69">
        <f>(0.014+0.015+0.015)/3</f>
        <v>1.4666666666666666E-2</v>
      </c>
      <c r="H69" s="5" t="s">
        <v>27</v>
      </c>
      <c r="I69" s="5" t="s">
        <v>89</v>
      </c>
      <c r="J69"/>
      <c r="K69" s="5" t="s">
        <v>90</v>
      </c>
      <c r="L69" s="5" t="s">
        <v>95</v>
      </c>
    </row>
    <row r="70" spans="1:12">
      <c r="F70">
        <f t="shared" si="2"/>
        <v>1.6366666666666667</v>
      </c>
      <c r="G70">
        <f>(1.77+1.24+1.9)/3</f>
        <v>1.6366666666666667</v>
      </c>
      <c r="H70" s="5" t="s">
        <v>27</v>
      </c>
      <c r="I70" s="5" t="s">
        <v>89</v>
      </c>
      <c r="J70"/>
      <c r="K70" s="5" t="s">
        <v>90</v>
      </c>
      <c r="L70" s="5" t="s">
        <v>95</v>
      </c>
    </row>
    <row r="71" spans="1:12">
      <c r="F71">
        <f t="shared" si="2"/>
        <v>5.1666666666666666E-2</v>
      </c>
      <c r="G71">
        <f>(0.051+0.052+0.052)/3</f>
        <v>5.1666666666666666E-2</v>
      </c>
      <c r="H71" s="5" t="s">
        <v>27</v>
      </c>
      <c r="I71" s="5" t="s">
        <v>89</v>
      </c>
      <c r="J71"/>
      <c r="K71" s="5" t="s">
        <v>90</v>
      </c>
      <c r="L71" s="5" t="s">
        <v>96</v>
      </c>
    </row>
    <row r="72" spans="1:12">
      <c r="F72">
        <f t="shared" si="2"/>
        <v>22.333333333333332</v>
      </c>
      <c r="G72">
        <f>(19.7+22.8+24.5)/3</f>
        <v>22.333333333333332</v>
      </c>
      <c r="H72" s="5" t="s">
        <v>27</v>
      </c>
      <c r="I72" s="5" t="s">
        <v>89</v>
      </c>
      <c r="J72"/>
      <c r="K72" s="5" t="s">
        <v>90</v>
      </c>
      <c r="L72" s="5" t="s">
        <v>96</v>
      </c>
    </row>
    <row r="73" spans="1:12">
      <c r="A73" t="s">
        <v>97</v>
      </c>
      <c r="B73" t="s">
        <v>98</v>
      </c>
      <c r="C73">
        <v>1</v>
      </c>
      <c r="D73">
        <f>F73</f>
        <v>0.56999999999999995</v>
      </c>
      <c r="F73">
        <f t="shared" si="2"/>
        <v>0.56999999999999995</v>
      </c>
      <c r="G73">
        <v>0.56999999999999995</v>
      </c>
      <c r="H73" s="5" t="s">
        <v>27</v>
      </c>
      <c r="I73" s="5" t="s">
        <v>99</v>
      </c>
      <c r="J73" s="13">
        <v>8369299</v>
      </c>
      <c r="K73"/>
      <c r="L73"/>
    </row>
    <row r="74" spans="1:12">
      <c r="A74" t="s">
        <v>49</v>
      </c>
      <c r="B74" t="s">
        <v>98</v>
      </c>
      <c r="C74">
        <v>1</v>
      </c>
      <c r="D74">
        <f>F74</f>
        <v>3.13</v>
      </c>
      <c r="F74">
        <f t="shared" si="2"/>
        <v>3.13</v>
      </c>
      <c r="G74">
        <v>3.13</v>
      </c>
      <c r="H74" s="5" t="s">
        <v>27</v>
      </c>
      <c r="I74" s="5" t="s">
        <v>99</v>
      </c>
      <c r="J74" s="13">
        <v>8369299</v>
      </c>
      <c r="K74"/>
      <c r="L74"/>
    </row>
    <row r="75" spans="1:12">
      <c r="A75" t="s">
        <v>93</v>
      </c>
      <c r="B75" t="s">
        <v>98</v>
      </c>
      <c r="C75">
        <v>-1</v>
      </c>
      <c r="D75">
        <f>AVERAGE(F75:F79)</f>
        <v>1.9519999999999999E-2</v>
      </c>
      <c r="E75">
        <f>STDEV(F75:F79)</f>
        <v>1.4481436392844464E-2</v>
      </c>
      <c r="F75">
        <f t="shared" si="2"/>
        <v>1.0999999999999999E-2</v>
      </c>
      <c r="G75">
        <v>1.0999999999999999E-2</v>
      </c>
      <c r="H75" s="5" t="s">
        <v>27</v>
      </c>
      <c r="I75" s="5" t="s">
        <v>99</v>
      </c>
      <c r="J75" s="13">
        <v>8369299</v>
      </c>
      <c r="K75"/>
      <c r="L75" s="5" t="s">
        <v>100</v>
      </c>
    </row>
    <row r="76" spans="1:12">
      <c r="F76">
        <f t="shared" si="2"/>
        <v>6.0000000000000001E-3</v>
      </c>
      <c r="G76">
        <v>6.0000000000000001E-3</v>
      </c>
      <c r="H76" s="5" t="s">
        <v>27</v>
      </c>
      <c r="I76" s="5" t="s">
        <v>99</v>
      </c>
      <c r="J76" s="13">
        <v>8369299</v>
      </c>
      <c r="K76"/>
      <c r="L76" s="5" t="s">
        <v>101</v>
      </c>
    </row>
    <row r="77" spans="1:12">
      <c r="F77">
        <f>G77*1000</f>
        <v>1.1399999999999999E-2</v>
      </c>
      <c r="G77">
        <v>1.1399999999999999E-5</v>
      </c>
      <c r="H77" s="5" t="s">
        <v>83</v>
      </c>
      <c r="I77" s="5" t="s">
        <v>102</v>
      </c>
      <c r="J77"/>
      <c r="K77" s="5" t="s">
        <v>103</v>
      </c>
      <c r="L77"/>
    </row>
    <row r="78" spans="1:12">
      <c r="F78">
        <f>G78/1000</f>
        <v>4.02E-2</v>
      </c>
      <c r="G78">
        <v>40.200000000000003</v>
      </c>
      <c r="H78" s="5" t="s">
        <v>36</v>
      </c>
      <c r="I78" s="5" t="s">
        <v>104</v>
      </c>
      <c r="J78" s="13">
        <v>17401542</v>
      </c>
      <c r="K78"/>
      <c r="L78"/>
    </row>
    <row r="79" spans="1:12">
      <c r="F79">
        <f>G79</f>
        <v>2.9000000000000001E-2</v>
      </c>
      <c r="G79">
        <v>2.9000000000000001E-2</v>
      </c>
      <c r="H79" s="5" t="s">
        <v>27</v>
      </c>
      <c r="I79" s="5" t="s">
        <v>105</v>
      </c>
      <c r="J79" s="13">
        <v>17142397</v>
      </c>
      <c r="K79"/>
      <c r="L79"/>
    </row>
    <row r="80" spans="1:12">
      <c r="A80" t="s">
        <v>40</v>
      </c>
      <c r="B80" t="s">
        <v>98</v>
      </c>
      <c r="C80">
        <v>-1</v>
      </c>
      <c r="D80">
        <f>AVERAGE(F80:F84)</f>
        <v>1.8946400000000001</v>
      </c>
      <c r="E80">
        <f>STDEV(F80:F84)</f>
        <v>2.5609476269537415</v>
      </c>
      <c r="F80">
        <f>G80</f>
        <v>4.7</v>
      </c>
      <c r="G80">
        <v>4.7</v>
      </c>
      <c r="H80" s="5" t="s">
        <v>27</v>
      </c>
      <c r="I80" s="5" t="s">
        <v>99</v>
      </c>
      <c r="J80" s="13">
        <v>8369299</v>
      </c>
      <c r="K80"/>
      <c r="L80" s="5" t="s">
        <v>106</v>
      </c>
    </row>
    <row r="81" spans="1:12">
      <c r="F81">
        <f>G81</f>
        <v>1.7000000000000001E-2</v>
      </c>
      <c r="G81">
        <v>1.7000000000000001E-2</v>
      </c>
      <c r="H81" s="5" t="s">
        <v>27</v>
      </c>
      <c r="I81" s="5" t="s">
        <v>99</v>
      </c>
      <c r="J81" s="13">
        <v>8369299</v>
      </c>
      <c r="K81"/>
      <c r="L81" s="5" t="s">
        <v>41</v>
      </c>
    </row>
    <row r="82" spans="1:12">
      <c r="F82">
        <f>G82/1000</f>
        <v>1.7000000000000001E-2</v>
      </c>
      <c r="G82">
        <v>17</v>
      </c>
      <c r="H82" s="5" t="s">
        <v>36</v>
      </c>
      <c r="I82" s="5" t="s">
        <v>107</v>
      </c>
      <c r="J82" s="13">
        <v>8639526</v>
      </c>
      <c r="K82" s="15"/>
      <c r="L82" s="5" t="s">
        <v>41</v>
      </c>
    </row>
    <row r="83" spans="1:12">
      <c r="F83">
        <f>G83/1000</f>
        <v>4.7</v>
      </c>
      <c r="G83">
        <v>4700</v>
      </c>
      <c r="H83" s="5" t="s">
        <v>36</v>
      </c>
      <c r="I83" s="5" t="s">
        <v>107</v>
      </c>
      <c r="J83" s="13">
        <v>8639526</v>
      </c>
      <c r="K83" s="15"/>
      <c r="L83" s="5" t="s">
        <v>106</v>
      </c>
    </row>
    <row r="84" spans="1:12">
      <c r="F84">
        <f>G84/1000</f>
        <v>3.9200000000000006E-2</v>
      </c>
      <c r="G84">
        <v>39.200000000000003</v>
      </c>
      <c r="H84" s="5" t="s">
        <v>36</v>
      </c>
      <c r="I84" s="5" t="s">
        <v>104</v>
      </c>
      <c r="J84" s="13">
        <v>17401542</v>
      </c>
      <c r="K84"/>
      <c r="L84" s="5" t="s">
        <v>41</v>
      </c>
    </row>
    <row r="85" spans="1:12">
      <c r="A85" t="s">
        <v>42</v>
      </c>
      <c r="B85" t="s">
        <v>98</v>
      </c>
      <c r="C85">
        <v>1</v>
      </c>
      <c r="D85">
        <f>F85</f>
        <v>7.0000000000000001E-3</v>
      </c>
      <c r="F85">
        <f>G85</f>
        <v>7.0000000000000001E-3</v>
      </c>
      <c r="G85">
        <v>7.0000000000000001E-3</v>
      </c>
      <c r="H85" s="5" t="s">
        <v>27</v>
      </c>
      <c r="I85" s="5" t="s">
        <v>99</v>
      </c>
      <c r="J85" s="13">
        <v>8369299</v>
      </c>
      <c r="K85"/>
      <c r="L85" s="5" t="s">
        <v>108</v>
      </c>
    </row>
    <row r="86" spans="1:12">
      <c r="A86" t="s">
        <v>97</v>
      </c>
      <c r="B86" t="s">
        <v>109</v>
      </c>
      <c r="C86">
        <v>-1</v>
      </c>
      <c r="D86">
        <f>AVERAGE(F86:F88)</f>
        <v>6.3050000000000009E-2</v>
      </c>
      <c r="E86">
        <f>STDEV(F86:F88)</f>
        <v>4.0870619031279684E-2</v>
      </c>
      <c r="F86">
        <f>G86*1000</f>
        <v>0.1</v>
      </c>
      <c r="G86">
        <f>1*10^(-4)</f>
        <v>1E-4</v>
      </c>
      <c r="H86" s="5" t="s">
        <v>83</v>
      </c>
      <c r="I86" s="5" t="s">
        <v>110</v>
      </c>
      <c r="J86" s="13">
        <v>6985904</v>
      </c>
      <c r="K86" s="15"/>
      <c r="L86"/>
    </row>
    <row r="87" spans="1:12">
      <c r="F87">
        <f>G87/1000</f>
        <v>1.9149999999999997E-2</v>
      </c>
      <c r="G87">
        <f>(18.6+19.7)/2</f>
        <v>19.149999999999999</v>
      </c>
      <c r="H87" s="5" t="s">
        <v>36</v>
      </c>
      <c r="I87" s="5" t="s">
        <v>111</v>
      </c>
      <c r="J87" s="13">
        <v>6380583</v>
      </c>
      <c r="K87" s="15"/>
      <c r="L87" s="5" t="s">
        <v>112</v>
      </c>
    </row>
    <row r="88" spans="1:12">
      <c r="F88">
        <f>G88*1000</f>
        <v>7.0000000000000007E-2</v>
      </c>
      <c r="G88">
        <f>7*10^(-5)</f>
        <v>7.0000000000000007E-5</v>
      </c>
      <c r="H88" s="5" t="s">
        <v>83</v>
      </c>
      <c r="I88" s="5" t="s">
        <v>113</v>
      </c>
      <c r="J88" s="13">
        <v>3902822</v>
      </c>
      <c r="K88" s="15"/>
      <c r="L88"/>
    </row>
    <row r="89" spans="1:12">
      <c r="A89" t="s">
        <v>49</v>
      </c>
      <c r="B89" t="s">
        <v>109</v>
      </c>
      <c r="C89">
        <v>1</v>
      </c>
      <c r="H89"/>
      <c r="I89"/>
      <c r="J89"/>
      <c r="K89"/>
      <c r="L89"/>
    </row>
    <row r="90" spans="1:12">
      <c r="A90" t="s">
        <v>74</v>
      </c>
      <c r="B90" t="s">
        <v>109</v>
      </c>
      <c r="C90">
        <v>-1</v>
      </c>
      <c r="H90"/>
      <c r="I90"/>
      <c r="J90"/>
      <c r="K90"/>
      <c r="L90"/>
    </row>
    <row r="91" spans="1:12">
      <c r="A91" t="s">
        <v>40</v>
      </c>
      <c r="B91" t="s">
        <v>109</v>
      </c>
      <c r="C91">
        <v>-1</v>
      </c>
      <c r="H91"/>
      <c r="I91"/>
      <c r="J91"/>
      <c r="K91"/>
      <c r="L91"/>
    </row>
    <row r="92" spans="1:12">
      <c r="A92" t="s">
        <v>42</v>
      </c>
      <c r="B92" t="s">
        <v>109</v>
      </c>
      <c r="C92">
        <v>1</v>
      </c>
      <c r="H92"/>
      <c r="I92"/>
      <c r="J92"/>
      <c r="K92"/>
      <c r="L92"/>
    </row>
    <row r="93" spans="1:12">
      <c r="A93" t="s">
        <v>114</v>
      </c>
      <c r="B93" t="s">
        <v>109</v>
      </c>
      <c r="C93">
        <v>1</v>
      </c>
      <c r="H93"/>
      <c r="I93"/>
      <c r="J93"/>
      <c r="K93"/>
      <c r="L93"/>
    </row>
    <row r="94" spans="1:12">
      <c r="A94" t="s">
        <v>115</v>
      </c>
      <c r="B94" t="s">
        <v>116</v>
      </c>
      <c r="C94">
        <v>-1</v>
      </c>
      <c r="H94"/>
      <c r="I94"/>
      <c r="J94"/>
      <c r="K94"/>
      <c r="L94"/>
    </row>
    <row r="95" spans="1:12">
      <c r="A95" t="s">
        <v>117</v>
      </c>
      <c r="B95" t="s">
        <v>116</v>
      </c>
      <c r="C95">
        <v>1</v>
      </c>
      <c r="D95">
        <f>F95</f>
        <v>7.0000000000000007E-2</v>
      </c>
      <c r="F95">
        <f>G95/1000</f>
        <v>7.0000000000000007E-2</v>
      </c>
      <c r="G95">
        <v>70</v>
      </c>
      <c r="H95" s="5" t="s">
        <v>36</v>
      </c>
      <c r="I95" s="5" t="s">
        <v>118</v>
      </c>
      <c r="J95" s="13">
        <v>10353839</v>
      </c>
      <c r="K95"/>
      <c r="L95"/>
    </row>
    <row r="96" spans="1:12">
      <c r="A96" t="s">
        <v>74</v>
      </c>
      <c r="B96" t="s">
        <v>116</v>
      </c>
      <c r="C96">
        <v>1</v>
      </c>
      <c r="D96">
        <f>F96</f>
        <v>4.0000000000000001E-3</v>
      </c>
      <c r="F96">
        <f>G96/1000</f>
        <v>4.0000000000000001E-3</v>
      </c>
      <c r="G96">
        <v>4</v>
      </c>
      <c r="H96" s="5" t="s">
        <v>36</v>
      </c>
      <c r="I96" s="5" t="s">
        <v>118</v>
      </c>
      <c r="J96" s="13">
        <v>10353839</v>
      </c>
      <c r="K96"/>
      <c r="L96"/>
    </row>
    <row r="97" spans="1:12">
      <c r="A97" t="s">
        <v>119</v>
      </c>
      <c r="B97" t="s">
        <v>116</v>
      </c>
      <c r="C97">
        <v>1</v>
      </c>
      <c r="D97">
        <f>F97</f>
        <v>0.25</v>
      </c>
      <c r="F97">
        <f>G97</f>
        <v>0.25</v>
      </c>
      <c r="G97">
        <v>0.25</v>
      </c>
      <c r="H97" s="5" t="s">
        <v>27</v>
      </c>
      <c r="I97" s="5" t="s">
        <v>118</v>
      </c>
      <c r="J97" s="13">
        <v>10353839</v>
      </c>
      <c r="K97"/>
      <c r="L97"/>
    </row>
    <row r="98" spans="1:12">
      <c r="A98" t="s">
        <v>114</v>
      </c>
      <c r="B98" t="s">
        <v>116</v>
      </c>
      <c r="C98">
        <v>-1</v>
      </c>
      <c r="D98">
        <f>F98</f>
        <v>7.6500000000000005E-3</v>
      </c>
      <c r="F98">
        <f>G98/1000</f>
        <v>7.6500000000000005E-3</v>
      </c>
      <c r="G98">
        <f>(7.6+7.7)/2</f>
        <v>7.65</v>
      </c>
      <c r="H98" s="5" t="s">
        <v>36</v>
      </c>
      <c r="I98" s="5" t="s">
        <v>120</v>
      </c>
      <c r="J98" s="13">
        <v>1986797</v>
      </c>
      <c r="K98" s="15"/>
      <c r="L98" s="5" t="s">
        <v>121</v>
      </c>
    </row>
    <row r="99" spans="1:12">
      <c r="A99" t="s">
        <v>122</v>
      </c>
      <c r="B99" t="s">
        <v>123</v>
      </c>
      <c r="C99">
        <v>-1</v>
      </c>
      <c r="H99"/>
      <c r="I99"/>
      <c r="J99"/>
      <c r="K99" s="15"/>
      <c r="L99"/>
    </row>
    <row r="100" spans="1:12">
      <c r="A100" t="s">
        <v>124</v>
      </c>
      <c r="B100" t="s">
        <v>123</v>
      </c>
      <c r="C100">
        <v>1</v>
      </c>
      <c r="H100"/>
      <c r="I100"/>
      <c r="J100"/>
      <c r="K100" s="15"/>
      <c r="L100"/>
    </row>
    <row r="101" spans="1:12">
      <c r="A101" t="s">
        <v>125</v>
      </c>
      <c r="B101" t="s">
        <v>123</v>
      </c>
      <c r="C101">
        <v>1</v>
      </c>
      <c r="D101">
        <f>F101</f>
        <v>0.1</v>
      </c>
      <c r="F101">
        <f>G101/1000</f>
        <v>0.1</v>
      </c>
      <c r="G101">
        <v>100</v>
      </c>
      <c r="H101" s="5" t="s">
        <v>36</v>
      </c>
      <c r="I101" s="5" t="s">
        <v>126</v>
      </c>
      <c r="J101" s="13">
        <v>16484232</v>
      </c>
      <c r="K101" s="15"/>
      <c r="L101"/>
    </row>
    <row r="102" spans="1:12">
      <c r="A102" t="s">
        <v>119</v>
      </c>
      <c r="B102" t="s">
        <v>123</v>
      </c>
      <c r="C102">
        <v>-1</v>
      </c>
      <c r="D102">
        <f>AVERAGE(F102:F103)</f>
        <v>5.6000000000000001E-2</v>
      </c>
      <c r="E102">
        <f>STDEV(F102:F103)</f>
        <v>7.6367532368147126E-2</v>
      </c>
      <c r="F102">
        <f>G102/1000</f>
        <v>0.11</v>
      </c>
      <c r="G102">
        <v>110</v>
      </c>
      <c r="H102" s="5" t="s">
        <v>36</v>
      </c>
      <c r="I102" s="5" t="s">
        <v>126</v>
      </c>
      <c r="J102" s="13">
        <v>16484232</v>
      </c>
      <c r="K102" s="15"/>
      <c r="L102"/>
    </row>
    <row r="103" spans="1:12">
      <c r="F103">
        <f>G103/1000</f>
        <v>2E-3</v>
      </c>
      <c r="G103">
        <v>2</v>
      </c>
      <c r="H103" s="5" t="s">
        <v>36</v>
      </c>
      <c r="I103" s="5" t="s">
        <v>127</v>
      </c>
      <c r="J103" s="13">
        <v>11803023</v>
      </c>
      <c r="K103" s="15"/>
      <c r="L103"/>
    </row>
    <row r="104" spans="1:12">
      <c r="A104" t="s">
        <v>122</v>
      </c>
      <c r="B104" t="s">
        <v>128</v>
      </c>
      <c r="C104">
        <v>1</v>
      </c>
      <c r="H104"/>
      <c r="I104"/>
      <c r="J104"/>
      <c r="K104" s="15"/>
      <c r="L104"/>
    </row>
    <row r="105" spans="1:12">
      <c r="A105" t="s">
        <v>124</v>
      </c>
      <c r="B105" t="s">
        <v>128</v>
      </c>
      <c r="C105">
        <v>-1</v>
      </c>
      <c r="H105"/>
      <c r="I105"/>
      <c r="J105"/>
      <c r="K105"/>
      <c r="L105"/>
    </row>
    <row r="106" spans="1:12">
      <c r="A106" t="s">
        <v>125</v>
      </c>
      <c r="B106" t="s">
        <v>128</v>
      </c>
      <c r="C106">
        <v>-1</v>
      </c>
      <c r="D106">
        <f>AVERAGE(F106:F107)</f>
        <v>1.2699999999999999E-2</v>
      </c>
      <c r="E106">
        <f>STDEV(F106:F107)</f>
        <v>1.0323759005323596E-2</v>
      </c>
      <c r="F106">
        <f>G106/1000</f>
        <v>5.4000000000000003E-3</v>
      </c>
      <c r="G106">
        <v>5.4</v>
      </c>
      <c r="H106" s="5" t="s">
        <v>36</v>
      </c>
      <c r="I106" s="5" t="s">
        <v>127</v>
      </c>
      <c r="J106" s="13">
        <v>11803023</v>
      </c>
      <c r="K106"/>
      <c r="L106"/>
    </row>
    <row r="107" spans="1:12">
      <c r="F107">
        <f>G107/1000</f>
        <v>0.02</v>
      </c>
      <c r="G107">
        <v>20</v>
      </c>
      <c r="H107" s="5" t="s">
        <v>36</v>
      </c>
      <c r="I107" s="5" t="s">
        <v>126</v>
      </c>
      <c r="J107" s="13">
        <v>16484232</v>
      </c>
      <c r="K107" s="15"/>
      <c r="L107"/>
    </row>
    <row r="108" spans="1:12">
      <c r="A108" t="s">
        <v>119</v>
      </c>
      <c r="B108" t="s">
        <v>128</v>
      </c>
      <c r="C108">
        <v>1</v>
      </c>
      <c r="D108">
        <f>AVERAGE(F108:F109)</f>
        <v>0.27575</v>
      </c>
      <c r="E108">
        <f>STDEV(F108:F109)</f>
        <v>0.38784806948082134</v>
      </c>
      <c r="F108">
        <f>G108/1000</f>
        <v>1.5E-3</v>
      </c>
      <c r="G108">
        <v>1.5</v>
      </c>
      <c r="H108" s="5" t="s">
        <v>36</v>
      </c>
      <c r="I108" s="5" t="s">
        <v>127</v>
      </c>
      <c r="J108" s="13">
        <v>11803023</v>
      </c>
      <c r="K108"/>
      <c r="L108"/>
    </row>
    <row r="109" spans="1:12">
      <c r="F109">
        <f>G109/1000</f>
        <v>0.55000000000000004</v>
      </c>
      <c r="G109">
        <v>550</v>
      </c>
      <c r="H109" s="5" t="s">
        <v>36</v>
      </c>
      <c r="I109" s="5" t="s">
        <v>126</v>
      </c>
      <c r="J109" s="13">
        <v>16484232</v>
      </c>
      <c r="K109" s="15"/>
      <c r="L109"/>
    </row>
    <row r="110" spans="1:12">
      <c r="A110" t="s">
        <v>125</v>
      </c>
      <c r="B110" t="s">
        <v>129</v>
      </c>
      <c r="C110">
        <v>-1</v>
      </c>
      <c r="D110">
        <f>AVERAGE(F110:F111)</f>
        <v>0.375</v>
      </c>
      <c r="E110">
        <f>STDEV(F110:F111)</f>
        <v>0.31819805153394637</v>
      </c>
      <c r="F110">
        <f t="shared" ref="F110:F115" si="3">G110</f>
        <v>0.15</v>
      </c>
      <c r="G110">
        <v>0.15</v>
      </c>
      <c r="H110" s="5" t="s">
        <v>27</v>
      </c>
      <c r="I110" s="5" t="s">
        <v>130</v>
      </c>
      <c r="J110" s="13">
        <v>3282546</v>
      </c>
      <c r="K110"/>
      <c r="L110"/>
    </row>
    <row r="111" spans="1:12">
      <c r="F111">
        <f t="shared" si="3"/>
        <v>0.6</v>
      </c>
      <c r="G111">
        <v>0.6</v>
      </c>
      <c r="H111" s="5" t="s">
        <v>27</v>
      </c>
      <c r="I111" s="5" t="s">
        <v>131</v>
      </c>
      <c r="J111" s="13">
        <v>8203917</v>
      </c>
      <c r="K111" s="15"/>
      <c r="L111"/>
    </row>
    <row r="112" spans="1:12">
      <c r="A112" t="s">
        <v>132</v>
      </c>
      <c r="B112" t="s">
        <v>129</v>
      </c>
      <c r="C112">
        <v>1</v>
      </c>
      <c r="D112">
        <f>AVERAGE(F112:F113)</f>
        <v>0.9</v>
      </c>
      <c r="E112">
        <f>STDEV(F112:F113)</f>
        <v>0.28284271247461912</v>
      </c>
      <c r="F112">
        <f t="shared" si="3"/>
        <v>1.1000000000000001</v>
      </c>
      <c r="G112">
        <v>1.1000000000000001</v>
      </c>
      <c r="H112" s="5" t="s">
        <v>27</v>
      </c>
      <c r="I112" s="5" t="s">
        <v>130</v>
      </c>
      <c r="J112" s="13">
        <v>3282546</v>
      </c>
      <c r="K112" s="15"/>
      <c r="L112"/>
    </row>
    <row r="113" spans="1:12">
      <c r="F113">
        <f t="shared" si="3"/>
        <v>0.7</v>
      </c>
      <c r="G113">
        <v>0.7</v>
      </c>
      <c r="H113" s="5" t="s">
        <v>27</v>
      </c>
      <c r="I113" s="5" t="s">
        <v>131</v>
      </c>
      <c r="J113" s="13">
        <v>8203917</v>
      </c>
      <c r="K113" s="15"/>
      <c r="L113" s="5" t="s">
        <v>133</v>
      </c>
    </row>
    <row r="114" spans="1:12">
      <c r="A114" t="s">
        <v>132</v>
      </c>
      <c r="B114" t="s">
        <v>134</v>
      </c>
      <c r="C114">
        <v>-1</v>
      </c>
      <c r="D114">
        <f>F114</f>
        <v>2.6</v>
      </c>
      <c r="F114">
        <f t="shared" si="3"/>
        <v>2.6</v>
      </c>
      <c r="G114">
        <v>2.6</v>
      </c>
      <c r="H114" s="5" t="s">
        <v>27</v>
      </c>
      <c r="I114" s="5" t="s">
        <v>135</v>
      </c>
      <c r="J114" s="13">
        <v>7647229</v>
      </c>
      <c r="K114"/>
      <c r="L114"/>
    </row>
    <row r="115" spans="1:12">
      <c r="A115" t="s">
        <v>40</v>
      </c>
      <c r="B115" t="s">
        <v>134</v>
      </c>
      <c r="C115">
        <v>-1</v>
      </c>
      <c r="D115">
        <f>F115</f>
        <v>0.26</v>
      </c>
      <c r="F115">
        <f t="shared" si="3"/>
        <v>0.26</v>
      </c>
      <c r="G115">
        <v>0.26</v>
      </c>
      <c r="H115" s="5" t="s">
        <v>27</v>
      </c>
      <c r="I115" s="5" t="s">
        <v>135</v>
      </c>
      <c r="J115" s="13">
        <v>7647229</v>
      </c>
      <c r="K115"/>
      <c r="L115"/>
    </row>
    <row r="116" spans="1:12">
      <c r="A116" t="s">
        <v>42</v>
      </c>
      <c r="B116" t="s">
        <v>134</v>
      </c>
      <c r="C116">
        <v>1</v>
      </c>
      <c r="D116">
        <f>F116</f>
        <v>6.0999999999999999E-2</v>
      </c>
      <c r="F116">
        <f>G116/1000</f>
        <v>6.0999999999999999E-2</v>
      </c>
      <c r="G116">
        <v>61</v>
      </c>
      <c r="H116" s="5" t="s">
        <v>36</v>
      </c>
      <c r="I116" s="5" t="s">
        <v>135</v>
      </c>
      <c r="J116" s="13">
        <v>7647229</v>
      </c>
      <c r="K116"/>
      <c r="L116"/>
    </row>
    <row r="117" spans="1:12">
      <c r="A117" t="s">
        <v>87</v>
      </c>
      <c r="B117" t="s">
        <v>134</v>
      </c>
      <c r="C117">
        <v>1</v>
      </c>
      <c r="D117">
        <f>AVERAGE(F117:F118)</f>
        <v>5.2500000000000005E-2</v>
      </c>
      <c r="F117">
        <f>G117/1000</f>
        <v>4.9000000000000002E-2</v>
      </c>
      <c r="G117">
        <v>49</v>
      </c>
      <c r="H117" s="5" t="s">
        <v>36</v>
      </c>
      <c r="I117" s="5" t="s">
        <v>135</v>
      </c>
      <c r="J117" s="13">
        <v>7647229</v>
      </c>
      <c r="K117" s="15"/>
      <c r="L117"/>
    </row>
    <row r="118" spans="1:12">
      <c r="F118">
        <f>G118/1000</f>
        <v>5.6000000000000001E-2</v>
      </c>
      <c r="G118">
        <v>56</v>
      </c>
      <c r="H118" s="5" t="s">
        <v>36</v>
      </c>
      <c r="I118" s="5" t="s">
        <v>136</v>
      </c>
      <c r="J118" s="13">
        <v>10206992</v>
      </c>
      <c r="K118" s="15"/>
      <c r="L118" s="5" t="s">
        <v>137</v>
      </c>
    </row>
    <row r="119" spans="1:12">
      <c r="A119" t="s">
        <v>68</v>
      </c>
      <c r="B119" t="s">
        <v>138</v>
      </c>
      <c r="C119">
        <v>1</v>
      </c>
      <c r="D119">
        <f>AVERAGE(F119:F120)</f>
        <v>0.20950000000000002</v>
      </c>
      <c r="E119">
        <f>STDEV(F119:F120)</f>
        <v>8.8388347648318447E-2</v>
      </c>
      <c r="F119">
        <f>G119</f>
        <v>0.27200000000000002</v>
      </c>
      <c r="G119">
        <v>0.27200000000000002</v>
      </c>
      <c r="H119" s="5" t="s">
        <v>27</v>
      </c>
      <c r="I119" s="5" t="s">
        <v>139</v>
      </c>
      <c r="J119" s="13">
        <v>6352406</v>
      </c>
      <c r="K119"/>
      <c r="L119" s="5" t="s">
        <v>140</v>
      </c>
    </row>
    <row r="120" spans="1:12">
      <c r="F120">
        <v>0.14699999999999999</v>
      </c>
      <c r="G120">
        <v>0.14699999999999999</v>
      </c>
      <c r="H120" s="5" t="s">
        <v>27</v>
      </c>
      <c r="I120" s="5" t="s">
        <v>141</v>
      </c>
      <c r="J120"/>
      <c r="K120" s="5" t="s">
        <v>142</v>
      </c>
      <c r="L120" s="5" t="s">
        <v>143</v>
      </c>
    </row>
    <row r="121" spans="1:12">
      <c r="A121" t="s">
        <v>24</v>
      </c>
      <c r="B121" t="s">
        <v>138</v>
      </c>
      <c r="C121">
        <v>-1</v>
      </c>
      <c r="D121">
        <f>F121</f>
        <v>0.28000000000000003</v>
      </c>
      <c r="F121">
        <v>0.28000000000000003</v>
      </c>
      <c r="G121">
        <v>0.28000000000000003</v>
      </c>
      <c r="H121" s="5" t="s">
        <v>27</v>
      </c>
      <c r="I121" s="5" t="s">
        <v>141</v>
      </c>
      <c r="J121"/>
      <c r="K121" s="5" t="s">
        <v>142</v>
      </c>
      <c r="L121" s="5" t="s">
        <v>144</v>
      </c>
    </row>
    <row r="122" spans="1:12">
      <c r="A122" t="s">
        <v>115</v>
      </c>
      <c r="B122" t="s">
        <v>145</v>
      </c>
      <c r="C122">
        <v>1</v>
      </c>
      <c r="H122"/>
      <c r="I122"/>
      <c r="J122"/>
      <c r="K122"/>
      <c r="L122"/>
    </row>
    <row r="123" spans="1:12">
      <c r="A123" t="s">
        <v>117</v>
      </c>
      <c r="B123" t="s">
        <v>145</v>
      </c>
      <c r="C123">
        <v>-1</v>
      </c>
      <c r="D123">
        <f>AVERAGE(F123:F127)</f>
        <v>0.154</v>
      </c>
      <c r="E123">
        <f>STDEV(F123:F127)</f>
        <v>5.0299105359837212E-2</v>
      </c>
      <c r="F123">
        <f>G123</f>
        <v>0.15</v>
      </c>
      <c r="G123">
        <v>0.15</v>
      </c>
      <c r="H123" s="5" t="s">
        <v>27</v>
      </c>
      <c r="I123" s="5" t="s">
        <v>146</v>
      </c>
      <c r="J123" s="13">
        <v>1833241</v>
      </c>
      <c r="K123"/>
      <c r="L123"/>
    </row>
    <row r="124" spans="1:12">
      <c r="F124">
        <v>0.1</v>
      </c>
      <c r="G124">
        <v>0.1</v>
      </c>
      <c r="H124" s="5" t="s">
        <v>27</v>
      </c>
      <c r="I124" s="5" t="s">
        <v>147</v>
      </c>
      <c r="J124"/>
      <c r="K124" s="5" t="s">
        <v>148</v>
      </c>
      <c r="L124"/>
    </row>
    <row r="125" spans="1:12">
      <c r="F125">
        <v>0.11</v>
      </c>
      <c r="G125">
        <v>0.11</v>
      </c>
      <c r="H125" s="5" t="s">
        <v>27</v>
      </c>
      <c r="I125" s="5" t="s">
        <v>149</v>
      </c>
      <c r="J125" s="13">
        <v>1429704</v>
      </c>
      <c r="K125"/>
      <c r="L125"/>
    </row>
    <row r="126" spans="1:12">
      <c r="F126">
        <v>0.2</v>
      </c>
      <c r="G126">
        <v>0.2</v>
      </c>
      <c r="H126" s="5" t="s">
        <v>27</v>
      </c>
      <c r="I126" s="5" t="s">
        <v>150</v>
      </c>
      <c r="J126"/>
      <c r="K126" s="5" t="s">
        <v>151</v>
      </c>
      <c r="L126" s="5" t="s">
        <v>152</v>
      </c>
    </row>
    <row r="127" spans="1:12">
      <c r="F127">
        <v>0.21</v>
      </c>
      <c r="G127">
        <v>0.21</v>
      </c>
      <c r="H127" s="5" t="s">
        <v>27</v>
      </c>
      <c r="I127" s="5" t="s">
        <v>153</v>
      </c>
      <c r="J127"/>
      <c r="K127" s="5" t="s">
        <v>154</v>
      </c>
      <c r="L127" s="5" t="s">
        <v>155</v>
      </c>
    </row>
    <row r="128" spans="1:12">
      <c r="A128" t="s">
        <v>68</v>
      </c>
      <c r="B128" t="s">
        <v>145</v>
      </c>
      <c r="C128">
        <v>-1</v>
      </c>
      <c r="D128">
        <f>AVERAGE(F128:F131)</f>
        <v>0.1225</v>
      </c>
      <c r="E128">
        <f>STDEV(F128:F131)</f>
        <v>3.3040379335998418E-2</v>
      </c>
      <c r="F128">
        <f>G128</f>
        <v>0.14000000000000001</v>
      </c>
      <c r="G128">
        <v>0.14000000000000001</v>
      </c>
      <c r="H128" s="5" t="s">
        <v>27</v>
      </c>
      <c r="I128"/>
      <c r="J128" s="13">
        <v>1833241</v>
      </c>
      <c r="K128"/>
      <c r="L128"/>
    </row>
    <row r="129" spans="1:12">
      <c r="F129">
        <v>0.1</v>
      </c>
      <c r="G129">
        <v>0.1</v>
      </c>
      <c r="H129" s="5" t="s">
        <v>27</v>
      </c>
      <c r="I129" s="5" t="s">
        <v>147</v>
      </c>
      <c r="J129"/>
      <c r="K129" s="5" t="s">
        <v>148</v>
      </c>
      <c r="L129"/>
    </row>
    <row r="130" spans="1:12">
      <c r="F130">
        <v>0.09</v>
      </c>
      <c r="G130">
        <v>0.09</v>
      </c>
      <c r="H130" s="5" t="s">
        <v>27</v>
      </c>
      <c r="I130" s="5" t="s">
        <v>149</v>
      </c>
      <c r="J130" s="13">
        <v>1429704</v>
      </c>
      <c r="K130"/>
      <c r="L130"/>
    </row>
    <row r="131" spans="1:12">
      <c r="F131">
        <v>0.16</v>
      </c>
      <c r="G131">
        <v>0.16</v>
      </c>
      <c r="H131" s="5" t="s">
        <v>27</v>
      </c>
      <c r="I131" s="5" t="s">
        <v>150</v>
      </c>
      <c r="J131"/>
      <c r="K131" s="5" t="s">
        <v>151</v>
      </c>
      <c r="L131" s="5" t="s">
        <v>152</v>
      </c>
    </row>
    <row r="132" spans="1:12">
      <c r="A132" t="s">
        <v>156</v>
      </c>
      <c r="B132" t="s">
        <v>145</v>
      </c>
      <c r="C132">
        <v>1</v>
      </c>
      <c r="H132"/>
      <c r="I132"/>
      <c r="J132"/>
      <c r="K132"/>
      <c r="L132"/>
    </row>
    <row r="133" spans="1:12">
      <c r="A133" t="s">
        <v>68</v>
      </c>
      <c r="B133" t="s">
        <v>157</v>
      </c>
      <c r="C133">
        <v>1</v>
      </c>
      <c r="H133"/>
      <c r="I133"/>
      <c r="J133"/>
      <c r="K133"/>
      <c r="L133"/>
    </row>
    <row r="134" spans="1:12">
      <c r="A134" t="s">
        <v>156</v>
      </c>
      <c r="B134" t="s">
        <v>157</v>
      </c>
      <c r="C134">
        <v>-1</v>
      </c>
      <c r="D134">
        <f>AVERAGE(F134:F136)</f>
        <v>1.2633333333333335E-2</v>
      </c>
      <c r="E134">
        <f>STDEV(F134:F136)</f>
        <v>1.9371714775242105E-2</v>
      </c>
      <c r="F134">
        <f>G134/1000</f>
        <v>3.5000000000000003E-2</v>
      </c>
      <c r="G134">
        <v>35</v>
      </c>
      <c r="H134" s="5" t="s">
        <v>36</v>
      </c>
      <c r="I134" s="5" t="s">
        <v>158</v>
      </c>
      <c r="J134"/>
      <c r="K134" s="5" t="s">
        <v>159</v>
      </c>
      <c r="L134" s="16"/>
    </row>
    <row r="135" spans="1:12">
      <c r="F135">
        <f>G135/1000</f>
        <v>1.6999999999999999E-3</v>
      </c>
      <c r="G135">
        <v>1.7</v>
      </c>
      <c r="H135" s="5" t="s">
        <v>36</v>
      </c>
      <c r="I135" s="5" t="s">
        <v>160</v>
      </c>
      <c r="J135" s="13">
        <v>17314096</v>
      </c>
      <c r="K135"/>
      <c r="L135"/>
    </row>
    <row r="136" spans="1:12">
      <c r="F136">
        <f>G136/1000</f>
        <v>1.1999999999999999E-3</v>
      </c>
      <c r="G136">
        <v>1.2</v>
      </c>
      <c r="H136" s="5" t="s">
        <v>36</v>
      </c>
      <c r="I136" s="5" t="s">
        <v>161</v>
      </c>
      <c r="J136" s="13">
        <v>15767255</v>
      </c>
      <c r="K136"/>
      <c r="L136"/>
    </row>
    <row r="137" spans="1:12">
      <c r="A137" t="s">
        <v>49</v>
      </c>
      <c r="B137" t="s">
        <v>162</v>
      </c>
      <c r="C137">
        <v>-1</v>
      </c>
      <c r="D137">
        <f>G137</f>
        <v>0.1</v>
      </c>
      <c r="G137">
        <v>0.1</v>
      </c>
      <c r="H137" s="5" t="s">
        <v>27</v>
      </c>
      <c r="I137" s="5" t="s">
        <v>163</v>
      </c>
      <c r="J137" s="13">
        <v>9927652</v>
      </c>
      <c r="K137" s="15"/>
      <c r="L137" s="5" t="s">
        <v>164</v>
      </c>
    </row>
    <row r="138" spans="1:12">
      <c r="A138" t="s">
        <v>87</v>
      </c>
      <c r="B138" t="s">
        <v>162</v>
      </c>
      <c r="C138">
        <v>1</v>
      </c>
      <c r="H138"/>
      <c r="I138"/>
      <c r="J138"/>
      <c r="K138"/>
      <c r="L138"/>
    </row>
    <row r="139" spans="1:12">
      <c r="A139" t="s">
        <v>30</v>
      </c>
      <c r="B139" t="s">
        <v>162</v>
      </c>
      <c r="C139">
        <v>-1</v>
      </c>
      <c r="D139">
        <f>AVERAGE(G139:G140)</f>
        <v>0.39500000000000002</v>
      </c>
      <c r="E139">
        <f>STDEV(G139:G140)</f>
        <v>0.2899137802864844</v>
      </c>
      <c r="G139">
        <v>0.19</v>
      </c>
      <c r="H139" s="5" t="s">
        <v>27</v>
      </c>
      <c r="I139" s="5" t="s">
        <v>163</v>
      </c>
      <c r="J139" s="13">
        <v>9927652</v>
      </c>
      <c r="K139" s="15"/>
      <c r="L139"/>
    </row>
    <row r="140" spans="1:12">
      <c r="G140">
        <v>0.6</v>
      </c>
      <c r="H140" s="5" t="s">
        <v>27</v>
      </c>
      <c r="I140" s="5" t="s">
        <v>165</v>
      </c>
      <c r="J140" s="13">
        <v>4560418</v>
      </c>
      <c r="K140" s="15"/>
      <c r="L140"/>
    </row>
    <row r="141" spans="1:12">
      <c r="A141" t="s">
        <v>49</v>
      </c>
      <c r="B141" t="s">
        <v>166</v>
      </c>
      <c r="C141">
        <v>1</v>
      </c>
      <c r="H141"/>
      <c r="I141"/>
      <c r="J141"/>
      <c r="K141"/>
      <c r="L141"/>
    </row>
    <row r="142" spans="1:12">
      <c r="A142" t="s">
        <v>132</v>
      </c>
      <c r="B142" t="s">
        <v>166</v>
      </c>
      <c r="C142">
        <v>-1</v>
      </c>
      <c r="D142">
        <f>F142</f>
        <v>0.45</v>
      </c>
      <c r="F142">
        <f>G142</f>
        <v>0.45</v>
      </c>
      <c r="G142">
        <v>0.45</v>
      </c>
      <c r="H142" s="5" t="s">
        <v>27</v>
      </c>
      <c r="I142" s="5" t="s">
        <v>167</v>
      </c>
      <c r="J142" s="13">
        <v>225306</v>
      </c>
      <c r="K142" s="15"/>
      <c r="L142"/>
    </row>
    <row r="143" spans="1:12">
      <c r="A143" t="s">
        <v>40</v>
      </c>
      <c r="B143" t="s">
        <v>166</v>
      </c>
      <c r="C143">
        <v>-1</v>
      </c>
      <c r="D143">
        <f>F143</f>
        <v>6.3E-2</v>
      </c>
      <c r="F143">
        <f>G143</f>
        <v>6.3E-2</v>
      </c>
      <c r="G143">
        <v>6.3E-2</v>
      </c>
      <c r="H143" s="5" t="s">
        <v>27</v>
      </c>
      <c r="I143" s="5" t="s">
        <v>167</v>
      </c>
      <c r="J143" s="13">
        <v>225306</v>
      </c>
      <c r="K143" s="15"/>
      <c r="L143"/>
    </row>
    <row r="144" spans="1:12">
      <c r="A144" t="s">
        <v>42</v>
      </c>
      <c r="B144" t="s">
        <v>166</v>
      </c>
      <c r="C144">
        <v>1</v>
      </c>
      <c r="H144"/>
      <c r="I144"/>
      <c r="J144"/>
      <c r="K144"/>
      <c r="L144"/>
    </row>
    <row r="145" spans="1:12">
      <c r="A145" t="s">
        <v>31</v>
      </c>
      <c r="B145" t="s">
        <v>166</v>
      </c>
      <c r="C145">
        <v>1</v>
      </c>
      <c r="H145"/>
      <c r="I145"/>
      <c r="J145"/>
      <c r="K145"/>
      <c r="L145"/>
    </row>
    <row r="146" spans="1:12">
      <c r="A146" t="s">
        <v>115</v>
      </c>
      <c r="B146" t="s">
        <v>168</v>
      </c>
      <c r="C146">
        <v>1</v>
      </c>
      <c r="D146">
        <f>F146</f>
        <v>0.05</v>
      </c>
      <c r="F146">
        <f>G146</f>
        <v>0.05</v>
      </c>
      <c r="G146">
        <v>0.05</v>
      </c>
      <c r="H146" s="5" t="s">
        <v>27</v>
      </c>
      <c r="I146" s="5" t="s">
        <v>169</v>
      </c>
      <c r="J146" s="13">
        <v>6991069</v>
      </c>
      <c r="K146" s="15"/>
      <c r="L146"/>
    </row>
    <row r="147" spans="1:12">
      <c r="A147" t="s">
        <v>117</v>
      </c>
      <c r="B147" t="s">
        <v>168</v>
      </c>
      <c r="C147">
        <v>-1</v>
      </c>
      <c r="D147">
        <f>F147</f>
        <v>0.06</v>
      </c>
      <c r="F147">
        <f>G147</f>
        <v>0.06</v>
      </c>
      <c r="G147">
        <v>0.06</v>
      </c>
      <c r="H147" s="5" t="s">
        <v>27</v>
      </c>
      <c r="I147" s="5" t="s">
        <v>169</v>
      </c>
      <c r="J147" s="13">
        <v>6991069</v>
      </c>
      <c r="K147" s="15"/>
      <c r="L147"/>
    </row>
    <row r="148" spans="1:12">
      <c r="A148" t="s">
        <v>49</v>
      </c>
      <c r="B148" t="s">
        <v>168</v>
      </c>
      <c r="C148">
        <v>1</v>
      </c>
      <c r="D148">
        <f>F148</f>
        <v>13</v>
      </c>
      <c r="F148">
        <f>G148</f>
        <v>13</v>
      </c>
      <c r="G148">
        <v>13</v>
      </c>
      <c r="H148" s="5" t="s">
        <v>27</v>
      </c>
      <c r="I148" s="5" t="s">
        <v>169</v>
      </c>
      <c r="J148" s="13">
        <v>6991069</v>
      </c>
      <c r="K148" s="15"/>
      <c r="L148"/>
    </row>
    <row r="149" spans="1:12">
      <c r="A149" t="s">
        <v>87</v>
      </c>
      <c r="B149" t="s">
        <v>168</v>
      </c>
      <c r="C149">
        <v>-1</v>
      </c>
      <c r="D149">
        <f>F149</f>
        <v>0.67</v>
      </c>
      <c r="F149">
        <f>G149</f>
        <v>0.67</v>
      </c>
      <c r="G149">
        <v>0.67</v>
      </c>
      <c r="H149" s="5" t="s">
        <v>27</v>
      </c>
      <c r="I149" s="5" t="s">
        <v>169</v>
      </c>
      <c r="J149" s="13">
        <v>6991069</v>
      </c>
      <c r="K149" s="15"/>
      <c r="L149"/>
    </row>
    <row r="150" spans="1:12">
      <c r="A150" t="s">
        <v>30</v>
      </c>
      <c r="B150" t="s">
        <v>168</v>
      </c>
      <c r="C150">
        <v>1</v>
      </c>
      <c r="D150">
        <f>F150</f>
        <v>7.0000000000000007E-2</v>
      </c>
      <c r="F150">
        <f>G150</f>
        <v>7.0000000000000007E-2</v>
      </c>
      <c r="G150">
        <v>7.0000000000000007E-2</v>
      </c>
      <c r="H150" s="5" t="s">
        <v>27</v>
      </c>
      <c r="I150" s="5" t="s">
        <v>169</v>
      </c>
      <c r="J150" s="13">
        <v>6991069</v>
      </c>
      <c r="K150" s="15"/>
      <c r="L150"/>
    </row>
    <row r="151" spans="1:12">
      <c r="A151" t="s">
        <v>170</v>
      </c>
      <c r="B151" t="s">
        <v>171</v>
      </c>
      <c r="C151">
        <v>1</v>
      </c>
      <c r="H151"/>
      <c r="I151"/>
      <c r="J151"/>
      <c r="K151"/>
      <c r="L151"/>
    </row>
    <row r="152" spans="1:12">
      <c r="A152" t="s">
        <v>40</v>
      </c>
      <c r="B152" t="s">
        <v>171</v>
      </c>
      <c r="C152">
        <v>1</v>
      </c>
      <c r="H152"/>
      <c r="I152"/>
      <c r="J152"/>
      <c r="K152"/>
      <c r="L152"/>
    </row>
    <row r="153" spans="1:12">
      <c r="A153" t="s">
        <v>42</v>
      </c>
      <c r="B153" t="s">
        <v>171</v>
      </c>
      <c r="C153">
        <v>-1</v>
      </c>
      <c r="H153"/>
      <c r="I153"/>
      <c r="J153"/>
      <c r="K153"/>
      <c r="L153"/>
    </row>
    <row r="154" spans="1:12">
      <c r="A154" t="s">
        <v>31</v>
      </c>
      <c r="B154" t="s">
        <v>171</v>
      </c>
      <c r="C154">
        <v>-1</v>
      </c>
      <c r="H154"/>
      <c r="I154"/>
      <c r="J154"/>
      <c r="K154"/>
      <c r="L154"/>
    </row>
    <row r="155" spans="1:12">
      <c r="A155" t="s">
        <v>71</v>
      </c>
      <c r="B155" t="s">
        <v>172</v>
      </c>
      <c r="C155">
        <v>-1</v>
      </c>
      <c r="D155">
        <f>AVERAGE(F155:F156)</f>
        <v>0.01</v>
      </c>
      <c r="E155">
        <f>STDEV(F155:F156)</f>
        <v>4.2426406871192823E-3</v>
      </c>
      <c r="F155">
        <f>G155/1000</f>
        <v>1.2999999999999999E-2</v>
      </c>
      <c r="G155">
        <v>13</v>
      </c>
      <c r="H155" s="5" t="s">
        <v>36</v>
      </c>
      <c r="I155" s="5" t="s">
        <v>173</v>
      </c>
      <c r="J155" s="13">
        <v>4301680</v>
      </c>
      <c r="K155" s="15"/>
      <c r="L155"/>
    </row>
    <row r="156" spans="1:12">
      <c r="F156">
        <f>G156</f>
        <v>7.0000000000000001E-3</v>
      </c>
      <c r="G156">
        <v>7.0000000000000001E-3</v>
      </c>
      <c r="H156" s="5" t="s">
        <v>27</v>
      </c>
      <c r="I156" s="5" t="s">
        <v>174</v>
      </c>
      <c r="J156" s="13">
        <v>7034777</v>
      </c>
      <c r="K156" s="15"/>
      <c r="L156"/>
    </row>
    <row r="157" spans="1:12">
      <c r="A157" t="s">
        <v>74</v>
      </c>
      <c r="B157" t="s">
        <v>172</v>
      </c>
      <c r="C157">
        <v>1</v>
      </c>
      <c r="D157">
        <f>AVERAGE(F157:F158)</f>
        <v>9.0000000000000011E-3</v>
      </c>
      <c r="E157">
        <f>STDEV(F157:F158)</f>
        <v>1.4142135623730952E-3</v>
      </c>
      <c r="F157">
        <f>G157/1000</f>
        <v>0.01</v>
      </c>
      <c r="G157">
        <v>10</v>
      </c>
      <c r="H157" s="5" t="s">
        <v>36</v>
      </c>
      <c r="I157" s="5" t="s">
        <v>173</v>
      </c>
      <c r="J157" s="13">
        <v>4301680</v>
      </c>
      <c r="K157" s="15"/>
      <c r="L157"/>
    </row>
    <row r="158" spans="1:12">
      <c r="F158">
        <f>G158</f>
        <v>8.0000000000000002E-3</v>
      </c>
      <c r="G158">
        <v>8.0000000000000002E-3</v>
      </c>
      <c r="H158" s="5" t="s">
        <v>27</v>
      </c>
      <c r="I158" s="5" t="s">
        <v>174</v>
      </c>
      <c r="J158" s="13">
        <v>7034777</v>
      </c>
      <c r="K158" s="15"/>
      <c r="L158"/>
    </row>
    <row r="159" spans="1:12">
      <c r="A159" t="s">
        <v>175</v>
      </c>
      <c r="B159" t="s">
        <v>172</v>
      </c>
      <c r="C159">
        <v>1</v>
      </c>
      <c r="D159">
        <f>AVERAGE(F159:F160)</f>
        <v>5.75</v>
      </c>
      <c r="E159">
        <f>STDEV(F159:F160)</f>
        <v>6.0104076400856536</v>
      </c>
      <c r="F159">
        <f>G159</f>
        <v>1.5</v>
      </c>
      <c r="G159">
        <v>1.5</v>
      </c>
      <c r="H159" s="5" t="s">
        <v>27</v>
      </c>
      <c r="I159" s="5" t="s">
        <v>173</v>
      </c>
      <c r="J159" s="13">
        <v>4301680</v>
      </c>
      <c r="K159" s="15"/>
      <c r="L159"/>
    </row>
    <row r="160" spans="1:12">
      <c r="F160">
        <f>G160</f>
        <v>10</v>
      </c>
      <c r="G160">
        <v>10</v>
      </c>
      <c r="H160" s="5" t="s">
        <v>27</v>
      </c>
      <c r="I160" s="5" t="s">
        <v>174</v>
      </c>
      <c r="J160" s="13">
        <v>7034777</v>
      </c>
      <c r="K160" s="15"/>
      <c r="L160"/>
    </row>
    <row r="161" spans="1:12">
      <c r="A161" t="s">
        <v>40</v>
      </c>
      <c r="B161" t="s">
        <v>172</v>
      </c>
      <c r="C161">
        <v>1</v>
      </c>
      <c r="D161">
        <f>AVERAGE(F161:F162)</f>
        <v>6.5000000000000002E-2</v>
      </c>
      <c r="E161">
        <f>STDEV(F161:F162)</f>
        <v>2.1213203435596444E-2</v>
      </c>
      <c r="F161">
        <f>G161/1000</f>
        <v>0.05</v>
      </c>
      <c r="G161">
        <v>50</v>
      </c>
      <c r="H161" s="5" t="s">
        <v>36</v>
      </c>
      <c r="I161" s="5" t="s">
        <v>173</v>
      </c>
      <c r="J161" s="13">
        <v>4301680</v>
      </c>
      <c r="K161" s="15"/>
      <c r="L161"/>
    </row>
    <row r="162" spans="1:12">
      <c r="F162">
        <f>G162</f>
        <v>0.08</v>
      </c>
      <c r="G162">
        <v>0.08</v>
      </c>
      <c r="H162" s="5" t="s">
        <v>27</v>
      </c>
      <c r="I162" s="5" t="s">
        <v>174</v>
      </c>
      <c r="J162" s="13">
        <v>7034777</v>
      </c>
      <c r="K162" s="15"/>
      <c r="L162"/>
    </row>
    <row r="163" spans="1:12">
      <c r="A163" t="s">
        <v>42</v>
      </c>
      <c r="B163" t="s">
        <v>172</v>
      </c>
      <c r="C163">
        <v>-1</v>
      </c>
      <c r="D163">
        <f>AVERAGE(F163:F164)</f>
        <v>6.25E-2</v>
      </c>
      <c r="E163">
        <f>STDEV(F163:F164)</f>
        <v>5.3033008588991085E-2</v>
      </c>
      <c r="F163">
        <f>G163</f>
        <v>0.1</v>
      </c>
      <c r="G163">
        <v>0.1</v>
      </c>
      <c r="H163" s="5" t="s">
        <v>27</v>
      </c>
      <c r="I163" s="5" t="s">
        <v>173</v>
      </c>
      <c r="J163" s="13">
        <v>4301680</v>
      </c>
      <c r="K163" s="15"/>
      <c r="L163"/>
    </row>
    <row r="164" spans="1:12">
      <c r="F164">
        <f>G164</f>
        <v>2.5000000000000001E-2</v>
      </c>
      <c r="G164">
        <v>2.5000000000000001E-2</v>
      </c>
      <c r="H164" s="5" t="s">
        <v>27</v>
      </c>
      <c r="I164" s="5" t="s">
        <v>174</v>
      </c>
      <c r="J164" s="13">
        <v>7034777</v>
      </c>
      <c r="K164" s="15"/>
      <c r="L164"/>
    </row>
    <row r="165" spans="1:12">
      <c r="A165" t="s">
        <v>175</v>
      </c>
      <c r="B165" t="s">
        <v>176</v>
      </c>
      <c r="C165">
        <v>-1</v>
      </c>
      <c r="H165"/>
      <c r="I165"/>
      <c r="J165"/>
      <c r="K165"/>
      <c r="L165"/>
    </row>
    <row r="166" spans="1:12">
      <c r="A166" t="s">
        <v>42</v>
      </c>
      <c r="B166" t="s">
        <v>176</v>
      </c>
      <c r="C166">
        <v>-1</v>
      </c>
      <c r="H166"/>
      <c r="I166"/>
      <c r="J166"/>
      <c r="K166"/>
      <c r="L166"/>
    </row>
    <row r="167" spans="1:12">
      <c r="A167" t="s">
        <v>40</v>
      </c>
      <c r="B167" t="s">
        <v>176</v>
      </c>
      <c r="C167">
        <v>1</v>
      </c>
      <c r="H167"/>
      <c r="I167"/>
      <c r="J167"/>
      <c r="K167"/>
      <c r="L167"/>
    </row>
    <row r="168" spans="1:12">
      <c r="A168" t="s">
        <v>177</v>
      </c>
      <c r="B168" t="s">
        <v>176</v>
      </c>
      <c r="C168">
        <v>1</v>
      </c>
      <c r="D168">
        <f>F168</f>
        <v>10.6</v>
      </c>
      <c r="F168">
        <f>G168</f>
        <v>10.6</v>
      </c>
      <c r="G168">
        <v>10.6</v>
      </c>
      <c r="H168" s="5" t="s">
        <v>27</v>
      </c>
      <c r="I168" s="5" t="s">
        <v>178</v>
      </c>
      <c r="J168" s="13">
        <v>9161610</v>
      </c>
      <c r="K168" s="15"/>
      <c r="L168"/>
    </row>
    <row r="169" spans="1:12">
      <c r="A169" t="s">
        <v>71</v>
      </c>
      <c r="B169" t="s">
        <v>179</v>
      </c>
      <c r="C169">
        <v>-1</v>
      </c>
      <c r="D169">
        <f>AVERAGE(F170:F170)</f>
        <v>4.4899999999999995E-2</v>
      </c>
      <c r="F169">
        <f>G169/1000</f>
        <v>9.4999999999999998E-3</v>
      </c>
      <c r="G169">
        <v>9.5</v>
      </c>
      <c r="H169" s="5" t="s">
        <v>36</v>
      </c>
      <c r="I169" s="5" t="s">
        <v>180</v>
      </c>
      <c r="J169" s="13">
        <v>21046341</v>
      </c>
      <c r="K169" s="15"/>
      <c r="L169" s="5" t="s">
        <v>181</v>
      </c>
    </row>
    <row r="170" spans="1:12">
      <c r="F170">
        <f>G170/1000</f>
        <v>4.4899999999999995E-2</v>
      </c>
      <c r="G170">
        <v>44.9</v>
      </c>
      <c r="H170" s="5" t="s">
        <v>36</v>
      </c>
      <c r="I170" s="5" t="s">
        <v>182</v>
      </c>
      <c r="J170" s="13">
        <v>20236319</v>
      </c>
      <c r="K170" s="15"/>
      <c r="L170" s="5" t="s">
        <v>183</v>
      </c>
    </row>
    <row r="171" spans="1:12">
      <c r="A171" t="s">
        <v>184</v>
      </c>
      <c r="B171" t="s">
        <v>179</v>
      </c>
      <c r="C171">
        <v>1</v>
      </c>
      <c r="D171">
        <f>F171</f>
        <v>0.31169999999999998</v>
      </c>
      <c r="F171">
        <f>G171/1000</f>
        <v>0.31169999999999998</v>
      </c>
      <c r="G171">
        <v>311.7</v>
      </c>
      <c r="H171" s="5" t="s">
        <v>36</v>
      </c>
      <c r="I171" s="5" t="s">
        <v>180</v>
      </c>
      <c r="J171" s="13">
        <v>21046341</v>
      </c>
      <c r="K171" s="15"/>
      <c r="L171" s="5" t="s">
        <v>181</v>
      </c>
    </row>
    <row r="172" spans="1:12">
      <c r="F172">
        <f>G172</f>
        <v>0.9</v>
      </c>
      <c r="G172">
        <v>0.9</v>
      </c>
      <c r="H172" s="5" t="s">
        <v>27</v>
      </c>
      <c r="I172" s="5" t="s">
        <v>182</v>
      </c>
      <c r="J172" s="13">
        <v>20236319</v>
      </c>
      <c r="K172" s="15"/>
      <c r="L172" s="5" t="s">
        <v>183</v>
      </c>
    </row>
    <row r="173" spans="1:12">
      <c r="A173" t="s">
        <v>74</v>
      </c>
      <c r="B173" t="s">
        <v>179</v>
      </c>
      <c r="C173">
        <v>1</v>
      </c>
      <c r="D173">
        <f>F174</f>
        <v>6.720000000000001E-2</v>
      </c>
      <c r="F173">
        <f>G173/1000</f>
        <v>3.27E-2</v>
      </c>
      <c r="G173">
        <v>32.700000000000003</v>
      </c>
      <c r="H173" s="5" t="s">
        <v>36</v>
      </c>
      <c r="I173" s="5" t="s">
        <v>180</v>
      </c>
      <c r="J173" s="13">
        <v>21046341</v>
      </c>
      <c r="K173" s="15"/>
      <c r="L173" s="5" t="s">
        <v>181</v>
      </c>
    </row>
    <row r="174" spans="1:12">
      <c r="F174">
        <f>G174/1000</f>
        <v>6.720000000000001E-2</v>
      </c>
      <c r="G174">
        <v>67.2</v>
      </c>
      <c r="H174" s="5" t="s">
        <v>36</v>
      </c>
      <c r="I174" s="5" t="s">
        <v>182</v>
      </c>
      <c r="J174" s="13">
        <v>20236319</v>
      </c>
      <c r="K174" s="15"/>
      <c r="L174" s="5" t="s">
        <v>185</v>
      </c>
    </row>
    <row r="175" spans="1:12">
      <c r="A175" t="s">
        <v>184</v>
      </c>
      <c r="B175" t="s">
        <v>186</v>
      </c>
      <c r="C175">
        <v>-1</v>
      </c>
      <c r="D175">
        <f>F175</f>
        <v>0.16</v>
      </c>
      <c r="F175">
        <f>G175</f>
        <v>0.16</v>
      </c>
      <c r="G175">
        <v>0.16</v>
      </c>
      <c r="H175" s="5" t="s">
        <v>27</v>
      </c>
      <c r="I175" s="5" t="s">
        <v>187</v>
      </c>
      <c r="J175" s="13">
        <v>3020034</v>
      </c>
      <c r="K175" s="15"/>
      <c r="L175"/>
    </row>
    <row r="176" spans="1:12">
      <c r="A176" t="s">
        <v>115</v>
      </c>
      <c r="B176" t="s">
        <v>186</v>
      </c>
      <c r="C176">
        <v>-1</v>
      </c>
      <c r="D176">
        <f>F176</f>
        <v>0.5</v>
      </c>
      <c r="F176">
        <f>G176</f>
        <v>0.5</v>
      </c>
      <c r="G176">
        <v>0.5</v>
      </c>
      <c r="H176" s="5" t="s">
        <v>27</v>
      </c>
      <c r="I176" s="5" t="s">
        <v>187</v>
      </c>
      <c r="J176" s="13">
        <v>3020034</v>
      </c>
      <c r="K176" s="15"/>
      <c r="L176"/>
    </row>
    <row r="177" spans="1:12">
      <c r="A177" t="s">
        <v>117</v>
      </c>
      <c r="B177" t="s">
        <v>186</v>
      </c>
      <c r="C177">
        <v>1</v>
      </c>
      <c r="D177">
        <f>F177</f>
        <v>7.0000000000000007E-2</v>
      </c>
      <c r="F177">
        <f>G177</f>
        <v>7.0000000000000007E-2</v>
      </c>
      <c r="G177">
        <v>7.0000000000000007E-2</v>
      </c>
      <c r="H177" s="5" t="s">
        <v>27</v>
      </c>
      <c r="I177" s="5" t="s">
        <v>187</v>
      </c>
      <c r="J177" s="13">
        <v>3020034</v>
      </c>
      <c r="K177"/>
      <c r="L177"/>
    </row>
    <row r="178" spans="1:12">
      <c r="A178" t="s">
        <v>188</v>
      </c>
      <c r="B178" t="s">
        <v>186</v>
      </c>
      <c r="C178">
        <v>1</v>
      </c>
      <c r="D178">
        <f>F179</f>
        <v>7</v>
      </c>
      <c r="G178">
        <v>7.2999999999999995E-2</v>
      </c>
      <c r="H178" s="5" t="s">
        <v>27</v>
      </c>
      <c r="I178"/>
      <c r="J178"/>
      <c r="K178"/>
      <c r="L178" s="5" t="s">
        <v>189</v>
      </c>
    </row>
    <row r="179" spans="1:12">
      <c r="F179">
        <f>G179</f>
        <v>7</v>
      </c>
      <c r="G179">
        <v>7</v>
      </c>
      <c r="H179" s="5" t="s">
        <v>27</v>
      </c>
      <c r="I179" s="5" t="s">
        <v>187</v>
      </c>
      <c r="J179" s="13">
        <v>3020034</v>
      </c>
      <c r="K179" s="15"/>
      <c r="L179"/>
    </row>
    <row r="180" spans="1:12">
      <c r="A180" t="s">
        <v>190</v>
      </c>
      <c r="B180" t="s">
        <v>191</v>
      </c>
      <c r="C180">
        <v>1</v>
      </c>
      <c r="D180">
        <f>F180</f>
        <v>8.7999999999999995E-2</v>
      </c>
      <c r="F180">
        <f>G180</f>
        <v>8.7999999999999995E-2</v>
      </c>
      <c r="G180">
        <v>8.7999999999999995E-2</v>
      </c>
      <c r="H180" s="5" t="s">
        <v>27</v>
      </c>
      <c r="I180" s="5" t="s">
        <v>192</v>
      </c>
      <c r="J180" s="13">
        <v>8485146</v>
      </c>
      <c r="K180"/>
      <c r="L180" s="5" t="s">
        <v>193</v>
      </c>
    </row>
    <row r="181" spans="1:12">
      <c r="A181" t="s">
        <v>156</v>
      </c>
      <c r="B181" t="s">
        <v>191</v>
      </c>
      <c r="C181">
        <v>-1</v>
      </c>
      <c r="D181">
        <f>AVERAGE(F181:F184)</f>
        <v>0.19825000000000001</v>
      </c>
      <c r="E181">
        <f>STDEV(F181:F184)</f>
        <v>7.1825598964900123E-2</v>
      </c>
      <c r="F181">
        <f>G181</f>
        <v>0.13300000000000001</v>
      </c>
      <c r="G181">
        <v>0.13300000000000001</v>
      </c>
      <c r="H181" s="5" t="s">
        <v>27</v>
      </c>
      <c r="I181" s="5" t="s">
        <v>192</v>
      </c>
      <c r="J181" s="13">
        <v>8485146</v>
      </c>
      <c r="K181"/>
      <c r="L181"/>
    </row>
    <row r="182" spans="1:12">
      <c r="F182">
        <f>G182</f>
        <v>0.17</v>
      </c>
      <c r="G182">
        <v>0.17</v>
      </c>
      <c r="H182" s="5" t="s">
        <v>27</v>
      </c>
      <c r="I182" s="5" t="s">
        <v>194</v>
      </c>
      <c r="J182"/>
      <c r="K182" s="5" t="s">
        <v>195</v>
      </c>
      <c r="L182" s="5" t="s">
        <v>196</v>
      </c>
    </row>
    <row r="183" spans="1:12">
      <c r="F183">
        <f>G183</f>
        <v>0.19</v>
      </c>
      <c r="G183">
        <v>0.19</v>
      </c>
      <c r="H183" s="5" t="s">
        <v>27</v>
      </c>
      <c r="I183" s="5" t="s">
        <v>197</v>
      </c>
      <c r="J183" s="13">
        <v>9878448</v>
      </c>
      <c r="K183"/>
      <c r="L183"/>
    </row>
    <row r="184" spans="1:12">
      <c r="F184">
        <f>G184/1000</f>
        <v>0.3</v>
      </c>
      <c r="G184">
        <v>300</v>
      </c>
      <c r="H184" s="5" t="s">
        <v>36</v>
      </c>
      <c r="I184" s="5" t="s">
        <v>198</v>
      </c>
      <c r="J184" s="13">
        <v>16236509</v>
      </c>
      <c r="K184"/>
      <c r="L184"/>
    </row>
    <row r="185" spans="1:12">
      <c r="H185"/>
      <c r="I185" s="5" t="s">
        <v>199</v>
      </c>
      <c r="J185"/>
      <c r="K185" s="5" t="s">
        <v>200</v>
      </c>
      <c r="L185" s="5" t="s">
        <v>201</v>
      </c>
    </row>
    <row r="186" spans="1:12">
      <c r="A186" t="s">
        <v>59</v>
      </c>
      <c r="B186" t="s">
        <v>191</v>
      </c>
      <c r="C186">
        <v>1</v>
      </c>
      <c r="D186">
        <f>F186</f>
        <v>8.7999999999999995E-2</v>
      </c>
      <c r="F186">
        <f>G186</f>
        <v>8.7999999999999995E-2</v>
      </c>
      <c r="G186">
        <v>8.7999999999999995E-2</v>
      </c>
      <c r="H186" s="5" t="s">
        <v>27</v>
      </c>
      <c r="I186" s="5" t="s">
        <v>192</v>
      </c>
      <c r="J186" s="13">
        <v>8485146</v>
      </c>
      <c r="K186"/>
      <c r="L186" s="5" t="s">
        <v>193</v>
      </c>
    </row>
    <row r="187" spans="1:12">
      <c r="A187" t="s">
        <v>190</v>
      </c>
      <c r="B187" t="s">
        <v>202</v>
      </c>
      <c r="C187">
        <v>1</v>
      </c>
      <c r="H187"/>
      <c r="I187"/>
      <c r="J187"/>
      <c r="K187"/>
      <c r="L187"/>
    </row>
    <row r="188" spans="1:12">
      <c r="A188" t="s">
        <v>59</v>
      </c>
      <c r="B188" t="s">
        <v>202</v>
      </c>
      <c r="C188">
        <v>-1</v>
      </c>
      <c r="D188">
        <f>F188</f>
        <v>1.03</v>
      </c>
      <c r="F188">
        <f>G188</f>
        <v>1.03</v>
      </c>
      <c r="G188">
        <v>1.03</v>
      </c>
      <c r="H188" s="5" t="s">
        <v>27</v>
      </c>
      <c r="I188" s="5" t="s">
        <v>203</v>
      </c>
      <c r="J188"/>
      <c r="K188" s="5" t="s">
        <v>204</v>
      </c>
      <c r="L188"/>
    </row>
    <row r="189" spans="1:12">
      <c r="A189" t="s">
        <v>59</v>
      </c>
      <c r="B189" t="s">
        <v>205</v>
      </c>
      <c r="C189">
        <v>-1</v>
      </c>
      <c r="D189">
        <f>F189</f>
        <v>0.89</v>
      </c>
      <c r="F189">
        <f>G189</f>
        <v>0.89</v>
      </c>
      <c r="G189">
        <v>0.89</v>
      </c>
      <c r="H189" s="5" t="s">
        <v>27</v>
      </c>
      <c r="I189" s="5" t="s">
        <v>206</v>
      </c>
      <c r="J189"/>
      <c r="K189" s="5" t="s">
        <v>207</v>
      </c>
      <c r="L189"/>
    </row>
    <row r="190" spans="1:12">
      <c r="A190" t="s">
        <v>40</v>
      </c>
      <c r="B190" t="s">
        <v>205</v>
      </c>
      <c r="C190">
        <v>-1</v>
      </c>
      <c r="D190">
        <f>F190</f>
        <v>4.4999999999999998E-2</v>
      </c>
      <c r="F190">
        <f>G190</f>
        <v>4.4999999999999998E-2</v>
      </c>
      <c r="G190">
        <v>4.4999999999999998E-2</v>
      </c>
      <c r="H190" s="5" t="s">
        <v>27</v>
      </c>
      <c r="I190" s="5" t="s">
        <v>206</v>
      </c>
      <c r="J190"/>
      <c r="K190" s="5" t="s">
        <v>207</v>
      </c>
      <c r="L190"/>
    </row>
    <row r="191" spans="1:12">
      <c r="A191" t="s">
        <v>42</v>
      </c>
      <c r="B191" t="s">
        <v>205</v>
      </c>
      <c r="C191">
        <v>1</v>
      </c>
      <c r="H191"/>
      <c r="I191"/>
      <c r="J191"/>
      <c r="K191"/>
      <c r="L191"/>
    </row>
    <row r="192" spans="1:12">
      <c r="A192" t="s">
        <v>208</v>
      </c>
      <c r="B192" t="s">
        <v>205</v>
      </c>
      <c r="C192">
        <v>1</v>
      </c>
      <c r="H192"/>
      <c r="I192"/>
      <c r="J192"/>
      <c r="K192"/>
      <c r="L192"/>
    </row>
    <row r="193" spans="1:12">
      <c r="A193" t="s">
        <v>208</v>
      </c>
      <c r="B193" t="s">
        <v>209</v>
      </c>
      <c r="C193">
        <v>-1</v>
      </c>
      <c r="H193"/>
      <c r="I193"/>
      <c r="J193"/>
      <c r="K193"/>
      <c r="L193"/>
    </row>
    <row r="194" spans="1:12">
      <c r="A194" t="s">
        <v>115</v>
      </c>
      <c r="B194" t="s">
        <v>209</v>
      </c>
      <c r="C194">
        <v>-1</v>
      </c>
      <c r="H194"/>
      <c r="I194"/>
      <c r="J194"/>
      <c r="K194"/>
      <c r="L194"/>
    </row>
    <row r="195" spans="1:12">
      <c r="A195" t="s">
        <v>117</v>
      </c>
      <c r="B195" t="s">
        <v>209</v>
      </c>
      <c r="C195">
        <v>1</v>
      </c>
      <c r="H195"/>
      <c r="I195"/>
      <c r="J195"/>
      <c r="K195"/>
      <c r="L195"/>
    </row>
    <row r="196" spans="1:12">
      <c r="A196" t="s">
        <v>210</v>
      </c>
      <c r="B196" t="s">
        <v>209</v>
      </c>
      <c r="C196">
        <v>1</v>
      </c>
      <c r="H196"/>
      <c r="I196"/>
      <c r="J196"/>
      <c r="K196"/>
      <c r="L196"/>
    </row>
    <row r="197" spans="1:12">
      <c r="A197" t="s">
        <v>210</v>
      </c>
      <c r="B197" t="s">
        <v>211</v>
      </c>
      <c r="C197">
        <v>-1</v>
      </c>
      <c r="H197"/>
      <c r="I197"/>
      <c r="J197"/>
      <c r="K197"/>
      <c r="L197"/>
    </row>
    <row r="198" spans="1:12">
      <c r="A198" t="s">
        <v>212</v>
      </c>
      <c r="B198" t="s">
        <v>211</v>
      </c>
      <c r="C198">
        <v>1</v>
      </c>
      <c r="H198"/>
      <c r="I198"/>
      <c r="J198"/>
      <c r="K198"/>
      <c r="L198"/>
    </row>
    <row r="199" spans="1:12">
      <c r="A199" t="s">
        <v>115</v>
      </c>
      <c r="B199" t="s">
        <v>213</v>
      </c>
      <c r="C199">
        <v>-2</v>
      </c>
      <c r="H199"/>
      <c r="I199"/>
      <c r="J199"/>
      <c r="K199"/>
      <c r="L199"/>
    </row>
    <row r="200" spans="1:12">
      <c r="A200" t="s">
        <v>117</v>
      </c>
      <c r="B200" t="s">
        <v>213</v>
      </c>
      <c r="C200">
        <v>2</v>
      </c>
      <c r="H200"/>
      <c r="I200"/>
      <c r="J200"/>
      <c r="K200"/>
      <c r="L200"/>
    </row>
    <row r="201" spans="1:12">
      <c r="A201" t="s">
        <v>40</v>
      </c>
      <c r="B201" t="s">
        <v>213</v>
      </c>
      <c r="C201">
        <v>1</v>
      </c>
      <c r="H201"/>
      <c r="I201"/>
      <c r="J201"/>
      <c r="K201"/>
      <c r="L201"/>
    </row>
    <row r="202" spans="1:12">
      <c r="A202" t="s">
        <v>42</v>
      </c>
      <c r="B202" t="s">
        <v>213</v>
      </c>
      <c r="C202">
        <v>-1</v>
      </c>
      <c r="H202"/>
      <c r="I202"/>
      <c r="J202"/>
      <c r="K202"/>
      <c r="L202"/>
    </row>
    <row r="203" spans="1:12">
      <c r="A203" t="s">
        <v>214</v>
      </c>
      <c r="B203" t="s">
        <v>213</v>
      </c>
      <c r="C203">
        <v>-1</v>
      </c>
      <c r="H203"/>
      <c r="I203"/>
      <c r="J203"/>
      <c r="K203"/>
      <c r="L203"/>
    </row>
    <row r="204" spans="1:12">
      <c r="A204" t="s">
        <v>115</v>
      </c>
      <c r="B204" t="s">
        <v>215</v>
      </c>
      <c r="C204">
        <v>-1</v>
      </c>
      <c r="H204"/>
      <c r="I204"/>
      <c r="J204"/>
      <c r="K204"/>
      <c r="L204"/>
    </row>
    <row r="205" spans="1:12">
      <c r="A205" t="s">
        <v>117</v>
      </c>
      <c r="B205" t="s">
        <v>215</v>
      </c>
      <c r="C205">
        <v>1</v>
      </c>
      <c r="H205"/>
      <c r="I205"/>
      <c r="J205"/>
      <c r="K205"/>
      <c r="L205"/>
    </row>
    <row r="206" spans="1:12">
      <c r="A206" t="s">
        <v>122</v>
      </c>
      <c r="B206" t="s">
        <v>215</v>
      </c>
      <c r="C206">
        <v>1</v>
      </c>
      <c r="H206"/>
      <c r="I206"/>
      <c r="J206"/>
      <c r="K206"/>
      <c r="L206"/>
    </row>
    <row r="207" spans="1:12">
      <c r="A207" t="s">
        <v>124</v>
      </c>
      <c r="B207" t="s">
        <v>215</v>
      </c>
      <c r="C207">
        <v>-1</v>
      </c>
      <c r="H207"/>
      <c r="I207"/>
      <c r="J207"/>
      <c r="K207"/>
      <c r="L207"/>
    </row>
    <row r="208" spans="1:12">
      <c r="A208" t="s">
        <v>214</v>
      </c>
      <c r="B208" t="s">
        <v>215</v>
      </c>
      <c r="C208">
        <v>-1</v>
      </c>
      <c r="H208"/>
      <c r="I208"/>
      <c r="J208"/>
      <c r="K208"/>
      <c r="L208"/>
    </row>
    <row r="209" spans="1:12">
      <c r="A209" t="s">
        <v>115</v>
      </c>
      <c r="B209" t="s">
        <v>216</v>
      </c>
      <c r="C209">
        <v>1</v>
      </c>
      <c r="H209"/>
      <c r="I209"/>
      <c r="J209"/>
      <c r="K209"/>
      <c r="L209"/>
    </row>
    <row r="210" spans="1:12">
      <c r="A210" t="s">
        <v>117</v>
      </c>
      <c r="B210" t="s">
        <v>216</v>
      </c>
      <c r="C210">
        <v>-1</v>
      </c>
      <c r="H210"/>
      <c r="I210"/>
      <c r="J210"/>
      <c r="K210"/>
      <c r="L210"/>
    </row>
    <row r="211" spans="1:12">
      <c r="A211" t="s">
        <v>217</v>
      </c>
      <c r="B211" t="s">
        <v>216</v>
      </c>
      <c r="C211">
        <v>1</v>
      </c>
      <c r="H211"/>
      <c r="I211"/>
      <c r="J211"/>
      <c r="K211"/>
      <c r="L211"/>
    </row>
    <row r="212" spans="1:12">
      <c r="A212" t="s">
        <v>122</v>
      </c>
      <c r="B212" t="s">
        <v>218</v>
      </c>
      <c r="C212">
        <v>-1</v>
      </c>
      <c r="H212"/>
      <c r="I212"/>
      <c r="J212"/>
      <c r="K212"/>
      <c r="L212"/>
    </row>
    <row r="213" spans="1:12">
      <c r="A213" t="s">
        <v>124</v>
      </c>
      <c r="B213" t="s">
        <v>218</v>
      </c>
      <c r="C213">
        <v>1</v>
      </c>
      <c r="H213"/>
      <c r="I213"/>
      <c r="J213"/>
      <c r="K213"/>
      <c r="L213"/>
    </row>
    <row r="214" spans="1:12">
      <c r="A214" t="s">
        <v>40</v>
      </c>
      <c r="B214" t="s">
        <v>218</v>
      </c>
      <c r="C214">
        <v>1</v>
      </c>
      <c r="H214"/>
      <c r="I214"/>
      <c r="J214"/>
      <c r="K214"/>
      <c r="L214"/>
    </row>
    <row r="215" spans="1:12">
      <c r="A215" t="s">
        <v>42</v>
      </c>
      <c r="B215" t="s">
        <v>218</v>
      </c>
      <c r="C215">
        <v>-1</v>
      </c>
      <c r="H215"/>
      <c r="I215"/>
      <c r="J215"/>
      <c r="K215"/>
      <c r="L215"/>
    </row>
    <row r="216" spans="1:12">
      <c r="A216" t="s">
        <v>30</v>
      </c>
      <c r="B216" t="s">
        <v>219</v>
      </c>
      <c r="C216">
        <v>1</v>
      </c>
      <c r="D216">
        <f>F216</f>
        <v>0.13500000000000001</v>
      </c>
      <c r="F216">
        <f>G216/1000</f>
        <v>0.13500000000000001</v>
      </c>
      <c r="G216">
        <v>135</v>
      </c>
      <c r="H216" s="5" t="s">
        <v>36</v>
      </c>
      <c r="I216" s="5" t="s">
        <v>220</v>
      </c>
      <c r="J216" s="13">
        <v>7811696</v>
      </c>
      <c r="K216"/>
      <c r="L216"/>
    </row>
    <row r="217" spans="1:12">
      <c r="A217" t="s">
        <v>212</v>
      </c>
      <c r="B217" t="s">
        <v>219</v>
      </c>
      <c r="C217">
        <v>-1</v>
      </c>
      <c r="D217">
        <f>AVERAGE(F217:F218)</f>
        <v>0.112</v>
      </c>
      <c r="E217">
        <f>STDEV(F217:F218)</f>
        <v>1.6970562748477143E-2</v>
      </c>
      <c r="F217">
        <f>G217*1000</f>
        <v>0.1</v>
      </c>
      <c r="G217">
        <f>1*10^(-4)</f>
        <v>1E-4</v>
      </c>
      <c r="H217" s="5" t="s">
        <v>83</v>
      </c>
      <c r="I217" s="5" t="s">
        <v>221</v>
      </c>
      <c r="J217" s="13">
        <v>4942326</v>
      </c>
      <c r="K217"/>
      <c r="L217"/>
    </row>
    <row r="218" spans="1:12">
      <c r="F218">
        <f>G218/1000</f>
        <v>0.124</v>
      </c>
      <c r="G218">
        <v>124</v>
      </c>
      <c r="H218" s="5" t="s">
        <v>36</v>
      </c>
      <c r="I218" s="5" t="s">
        <v>220</v>
      </c>
      <c r="J218" s="13">
        <v>7811696</v>
      </c>
      <c r="K218"/>
      <c r="L218"/>
    </row>
    <row r="219" spans="1:12">
      <c r="A219" t="s">
        <v>115</v>
      </c>
      <c r="B219" t="s">
        <v>222</v>
      </c>
      <c r="C219">
        <v>-1</v>
      </c>
      <c r="D219">
        <f>AVERAGE(F219:F220)</f>
        <v>0.22</v>
      </c>
      <c r="F219">
        <f>G219</f>
        <v>0.26</v>
      </c>
      <c r="G219">
        <v>0.26</v>
      </c>
      <c r="H219" s="5" t="s">
        <v>27</v>
      </c>
      <c r="I219" s="5" t="s">
        <v>223</v>
      </c>
      <c r="J219" s="13">
        <v>6349612</v>
      </c>
      <c r="K219" s="15"/>
      <c r="L219" s="5" t="s">
        <v>224</v>
      </c>
    </row>
    <row r="220" spans="1:12">
      <c r="F220">
        <f>G220</f>
        <v>0.18</v>
      </c>
      <c r="G220">
        <v>0.18</v>
      </c>
      <c r="H220" s="5" t="s">
        <v>27</v>
      </c>
      <c r="I220" s="5" t="s">
        <v>223</v>
      </c>
      <c r="J220" s="13">
        <v>6349612</v>
      </c>
      <c r="K220" s="15"/>
      <c r="L220" s="5" t="s">
        <v>225</v>
      </c>
    </row>
    <row r="221" spans="1:12">
      <c r="A221" t="s">
        <v>117</v>
      </c>
      <c r="B221" t="s">
        <v>222</v>
      </c>
      <c r="C221">
        <v>1</v>
      </c>
      <c r="D221">
        <f>F221</f>
        <v>22.45</v>
      </c>
      <c r="F221">
        <f>G221</f>
        <v>22.45</v>
      </c>
      <c r="G221">
        <v>22.45</v>
      </c>
      <c r="H221" s="5" t="s">
        <v>27</v>
      </c>
      <c r="I221" s="5" t="s">
        <v>223</v>
      </c>
      <c r="J221" s="13">
        <v>6349612</v>
      </c>
    </row>
    <row r="222" spans="1:12">
      <c r="A222" t="s">
        <v>30</v>
      </c>
      <c r="B222" t="s">
        <v>222</v>
      </c>
      <c r="C222">
        <v>-1</v>
      </c>
      <c r="D222">
        <f>F222</f>
        <v>0.31</v>
      </c>
      <c r="F222">
        <f>G222</f>
        <v>0.31</v>
      </c>
      <c r="G222">
        <v>0.31</v>
      </c>
      <c r="H222" s="5" t="s">
        <v>27</v>
      </c>
      <c r="I222" s="5" t="s">
        <v>223</v>
      </c>
      <c r="J222" s="13">
        <v>6349612</v>
      </c>
    </row>
    <row r="223" spans="1:12">
      <c r="A223" t="s">
        <v>31</v>
      </c>
      <c r="B223" t="s">
        <v>222</v>
      </c>
      <c r="C223">
        <v>1</v>
      </c>
      <c r="H223"/>
      <c r="I223"/>
      <c r="J223"/>
    </row>
    <row r="224" spans="1:12">
      <c r="A224" t="s">
        <v>226</v>
      </c>
      <c r="B224" t="s">
        <v>227</v>
      </c>
      <c r="C224">
        <v>1</v>
      </c>
      <c r="H224"/>
      <c r="I224"/>
      <c r="J224"/>
    </row>
    <row r="225" spans="1:10">
      <c r="A225" t="s">
        <v>177</v>
      </c>
      <c r="B225" t="s">
        <v>227</v>
      </c>
      <c r="C225">
        <v>-1</v>
      </c>
      <c r="H225"/>
      <c r="I225"/>
      <c r="J225"/>
    </row>
    <row r="226" spans="1:10">
      <c r="A226" t="s">
        <v>188</v>
      </c>
      <c r="B226" t="s">
        <v>228</v>
      </c>
      <c r="C226">
        <v>-1</v>
      </c>
      <c r="H226"/>
      <c r="I226"/>
      <c r="J226"/>
    </row>
    <row r="227" spans="1:10">
      <c r="A227" t="s">
        <v>229</v>
      </c>
      <c r="B227" t="s">
        <v>228</v>
      </c>
      <c r="C227">
        <v>1</v>
      </c>
      <c r="H227"/>
      <c r="I227"/>
      <c r="J227"/>
    </row>
    <row r="228" spans="1:10">
      <c r="A228" t="s">
        <v>230</v>
      </c>
      <c r="B228" t="s">
        <v>231</v>
      </c>
      <c r="C228">
        <v>1</v>
      </c>
      <c r="H228"/>
      <c r="I228"/>
      <c r="J228"/>
    </row>
    <row r="229" spans="1:10">
      <c r="A229" t="s">
        <v>232</v>
      </c>
      <c r="B229" t="s">
        <v>231</v>
      </c>
      <c r="C229">
        <v>1</v>
      </c>
      <c r="H229"/>
      <c r="I229"/>
      <c r="J229"/>
    </row>
    <row r="230" spans="1:10">
      <c r="A230" t="s">
        <v>170</v>
      </c>
      <c r="B230" t="s">
        <v>233</v>
      </c>
      <c r="C230">
        <v>-1</v>
      </c>
      <c r="H230"/>
      <c r="I230"/>
      <c r="J230"/>
    </row>
    <row r="231" spans="1:10">
      <c r="A231" t="s">
        <v>234</v>
      </c>
      <c r="B231" t="s">
        <v>233</v>
      </c>
      <c r="C231">
        <v>1</v>
      </c>
      <c r="H231"/>
      <c r="I231"/>
      <c r="J231"/>
    </row>
    <row r="232" spans="1:10">
      <c r="A232" t="s">
        <v>119</v>
      </c>
      <c r="B232" t="s">
        <v>235</v>
      </c>
      <c r="C232">
        <v>-1</v>
      </c>
      <c r="H232"/>
      <c r="I232"/>
      <c r="J232"/>
    </row>
    <row r="233" spans="1:10">
      <c r="A233" t="s">
        <v>236</v>
      </c>
      <c r="B233" t="s">
        <v>235</v>
      </c>
      <c r="C233">
        <v>1</v>
      </c>
      <c r="H233"/>
      <c r="I233"/>
      <c r="J233"/>
    </row>
    <row r="234" spans="1:10">
      <c r="A234" t="s">
        <v>75</v>
      </c>
      <c r="B234" t="s">
        <v>237</v>
      </c>
      <c r="C234">
        <v>-1</v>
      </c>
      <c r="H234"/>
      <c r="I234"/>
      <c r="J234"/>
    </row>
    <row r="235" spans="1:10">
      <c r="A235" t="s">
        <v>238</v>
      </c>
      <c r="B235" t="s">
        <v>237</v>
      </c>
      <c r="C235">
        <v>1</v>
      </c>
      <c r="H235"/>
      <c r="I235"/>
      <c r="J235"/>
    </row>
    <row r="236" spans="1:10">
      <c r="A236" t="s">
        <v>49</v>
      </c>
      <c r="B236" t="s">
        <v>239</v>
      </c>
      <c r="C236">
        <v>-1</v>
      </c>
      <c r="H236"/>
      <c r="I236"/>
      <c r="J236"/>
    </row>
    <row r="237" spans="1:10">
      <c r="A237" t="s">
        <v>240</v>
      </c>
      <c r="B237" t="s">
        <v>239</v>
      </c>
      <c r="C237">
        <v>1</v>
      </c>
      <c r="H237"/>
      <c r="I237"/>
      <c r="J237"/>
    </row>
    <row r="238" spans="1:10">
      <c r="A238" t="s">
        <v>115</v>
      </c>
      <c r="B238" t="s">
        <v>241</v>
      </c>
      <c r="C238">
        <v>2</v>
      </c>
      <c r="H238"/>
      <c r="I238"/>
      <c r="J238"/>
    </row>
    <row r="239" spans="1:10">
      <c r="A239" t="s">
        <v>117</v>
      </c>
      <c r="B239" t="s">
        <v>241</v>
      </c>
      <c r="C239">
        <v>-2</v>
      </c>
      <c r="D239">
        <f>F239</f>
        <v>2.8000000000000001E-2</v>
      </c>
      <c r="F239">
        <f>G239</f>
        <v>2.8000000000000001E-2</v>
      </c>
      <c r="G239">
        <v>2.8000000000000001E-2</v>
      </c>
      <c r="H239" s="5" t="s">
        <v>27</v>
      </c>
      <c r="I239" s="57" t="s">
        <v>242</v>
      </c>
      <c r="J239" s="56">
        <v>4319237</v>
      </c>
    </row>
    <row r="240" spans="1:10">
      <c r="A240" t="s">
        <v>30</v>
      </c>
      <c r="B240" t="s">
        <v>241</v>
      </c>
      <c r="C240">
        <v>1</v>
      </c>
      <c r="H240"/>
      <c r="I240" s="39"/>
      <c r="J240" s="39"/>
    </row>
    <row r="241" spans="1:12">
      <c r="A241" t="s">
        <v>31</v>
      </c>
      <c r="B241" t="s">
        <v>241</v>
      </c>
      <c r="C241">
        <v>-1</v>
      </c>
      <c r="D241">
        <f>F241</f>
        <v>8.3000000000000004E-2</v>
      </c>
      <c r="F241">
        <f>G241</f>
        <v>8.3000000000000004E-2</v>
      </c>
      <c r="G241">
        <v>8.3000000000000004E-2</v>
      </c>
      <c r="H241" s="5" t="s">
        <v>27</v>
      </c>
      <c r="I241" s="57" t="s">
        <v>242</v>
      </c>
      <c r="J241" s="56">
        <v>4319237</v>
      </c>
    </row>
    <row r="242" spans="1:12">
      <c r="A242" t="s">
        <v>45</v>
      </c>
      <c r="B242" t="s">
        <v>310</v>
      </c>
      <c r="C242">
        <v>-1</v>
      </c>
      <c r="D242">
        <f>F242</f>
        <v>0.04</v>
      </c>
      <c r="F242">
        <f>G242</f>
        <v>0.04</v>
      </c>
      <c r="G242">
        <v>0.04</v>
      </c>
      <c r="H242" s="21" t="s">
        <v>27</v>
      </c>
      <c r="I242" s="57" t="s">
        <v>311</v>
      </c>
      <c r="J242" s="39">
        <v>6326623</v>
      </c>
      <c r="K242" s="3"/>
      <c r="L242" t="s">
        <v>312</v>
      </c>
    </row>
    <row r="243" spans="1:12">
      <c r="A243" t="s">
        <v>313</v>
      </c>
      <c r="B243" t="s">
        <v>310</v>
      </c>
      <c r="C243">
        <v>1</v>
      </c>
      <c r="H243" s="21"/>
      <c r="I243" s="57"/>
      <c r="J243" s="39"/>
      <c r="K243" s="3"/>
    </row>
    <row r="244" spans="1:12">
      <c r="A244" t="s">
        <v>313</v>
      </c>
      <c r="B244" t="s">
        <v>314</v>
      </c>
      <c r="C244">
        <v>-1</v>
      </c>
      <c r="D244">
        <f>F244</f>
        <v>0.35</v>
      </c>
      <c r="F244">
        <f>G244</f>
        <v>0.35</v>
      </c>
      <c r="G244">
        <v>0.35</v>
      </c>
      <c r="H244" s="21" t="s">
        <v>315</v>
      </c>
      <c r="I244" s="57" t="s">
        <v>316</v>
      </c>
      <c r="J244" s="39">
        <v>11094340</v>
      </c>
      <c r="K244" s="3"/>
    </row>
    <row r="245" spans="1:12">
      <c r="A245" t="s">
        <v>59</v>
      </c>
      <c r="B245" t="s">
        <v>314</v>
      </c>
      <c r="C245">
        <v>1</v>
      </c>
      <c r="H245" s="21"/>
      <c r="I245" s="21"/>
      <c r="J245" s="38"/>
      <c r="K245" s="3"/>
    </row>
    <row r="246" spans="1:12">
      <c r="A246" t="s">
        <v>31</v>
      </c>
      <c r="B246" t="s">
        <v>314</v>
      </c>
      <c r="C246">
        <v>1</v>
      </c>
      <c r="H246" s="21"/>
      <c r="I246" s="21"/>
      <c r="J246" s="21"/>
      <c r="K24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1"/>
  <sheetViews>
    <sheetView zoomScaleNormal="100" workbookViewId="0">
      <selection activeCell="A53" sqref="A53"/>
    </sheetView>
  </sheetViews>
  <sheetFormatPr defaultRowHeight="15"/>
  <cols>
    <col min="1" max="1" width="8.5703125"/>
    <col min="2" max="4" width="11.7109375"/>
    <col min="5" max="6" width="8.5703125"/>
    <col min="7" max="7" width="22" style="17"/>
    <col min="8" max="8" width="17.5703125" style="4"/>
    <col min="9" max="9" width="30.42578125" style="5"/>
    <col min="10" max="10" width="98.5703125" style="12"/>
    <col min="11" max="1025" width="8.5703125"/>
  </cols>
  <sheetData>
    <row r="1" spans="1:10" s="8" customFormat="1">
      <c r="A1" s="8" t="s">
        <v>13</v>
      </c>
      <c r="B1" s="8" t="s">
        <v>243</v>
      </c>
      <c r="C1" s="8" t="s">
        <v>16</v>
      </c>
      <c r="D1" s="8" t="s">
        <v>244</v>
      </c>
      <c r="E1" s="8" t="s">
        <v>18</v>
      </c>
      <c r="F1" s="8" t="s">
        <v>19</v>
      </c>
      <c r="G1" s="18" t="s">
        <v>20</v>
      </c>
      <c r="H1" s="9" t="s">
        <v>21</v>
      </c>
      <c r="I1" s="9" t="s">
        <v>22</v>
      </c>
      <c r="J1" s="9" t="s">
        <v>23</v>
      </c>
    </row>
    <row r="2" spans="1:10">
      <c r="A2" t="s">
        <v>25</v>
      </c>
      <c r="G2"/>
      <c r="H2"/>
      <c r="I2"/>
      <c r="J2"/>
    </row>
    <row r="3" spans="1:10">
      <c r="A3" t="s">
        <v>32</v>
      </c>
      <c r="B3">
        <f>AVERAGE(D3:D4)</f>
        <v>231</v>
      </c>
      <c r="C3">
        <f>STDEV(D3:D4)</f>
        <v>80.610173055266415</v>
      </c>
      <c r="D3">
        <f>E3</f>
        <v>174</v>
      </c>
      <c r="E3">
        <v>174</v>
      </c>
      <c r="F3" t="s">
        <v>245</v>
      </c>
      <c r="G3" s="19" t="s">
        <v>37</v>
      </c>
      <c r="H3" s="13">
        <v>22519976</v>
      </c>
      <c r="I3" s="5" t="s">
        <v>38</v>
      </c>
      <c r="J3" s="2" t="s">
        <v>246</v>
      </c>
    </row>
    <row r="4" spans="1:10">
      <c r="D4">
        <f>E4</f>
        <v>288</v>
      </c>
      <c r="E4">
        <v>288</v>
      </c>
      <c r="F4" t="s">
        <v>245</v>
      </c>
      <c r="G4" s="19" t="s">
        <v>37</v>
      </c>
      <c r="H4" s="13">
        <v>22519976</v>
      </c>
      <c r="I4" s="5" t="s">
        <v>38</v>
      </c>
      <c r="J4" s="2" t="s">
        <v>247</v>
      </c>
    </row>
    <row r="5" spans="1:10">
      <c r="A5" t="s">
        <v>44</v>
      </c>
      <c r="G5"/>
      <c r="H5"/>
      <c r="I5"/>
      <c r="J5"/>
    </row>
    <row r="6" spans="1:10">
      <c r="A6" t="s">
        <v>46</v>
      </c>
      <c r="B6">
        <f>AVERAGE(D6:D7)</f>
        <v>156.5</v>
      </c>
      <c r="C6">
        <f>STDEV(D6:D7)</f>
        <v>76.650375080621743</v>
      </c>
      <c r="D6">
        <f>E6</f>
        <v>102.30000000000001</v>
      </c>
      <c r="E6">
        <f>1.1*93</f>
        <v>102.30000000000001</v>
      </c>
      <c r="F6" t="s">
        <v>245</v>
      </c>
      <c r="G6" s="19" t="s">
        <v>47</v>
      </c>
      <c r="H6" s="13">
        <v>19686854</v>
      </c>
      <c r="I6"/>
      <c r="J6" s="2" t="s">
        <v>248</v>
      </c>
    </row>
    <row r="7" spans="1:10">
      <c r="D7">
        <f>E7</f>
        <v>210.7</v>
      </c>
      <c r="E7">
        <f>4.3*49</f>
        <v>210.7</v>
      </c>
      <c r="F7" t="s">
        <v>245</v>
      </c>
      <c r="G7" s="19" t="s">
        <v>47</v>
      </c>
      <c r="H7" s="13">
        <v>19686854</v>
      </c>
      <c r="I7"/>
      <c r="J7" s="2" t="s">
        <v>249</v>
      </c>
    </row>
    <row r="8" spans="1:10">
      <c r="A8" t="s">
        <v>51</v>
      </c>
      <c r="G8"/>
      <c r="H8"/>
      <c r="I8"/>
      <c r="J8"/>
    </row>
    <row r="9" spans="1:10">
      <c r="A9" t="s">
        <v>54</v>
      </c>
      <c r="B9">
        <f>D9</f>
        <v>2100</v>
      </c>
      <c r="D9">
        <f>E9</f>
        <v>2100</v>
      </c>
      <c r="E9">
        <v>2100</v>
      </c>
      <c r="F9" t="s">
        <v>245</v>
      </c>
      <c r="G9" s="19" t="s">
        <v>57</v>
      </c>
      <c r="H9" s="13">
        <v>12517338</v>
      </c>
      <c r="I9"/>
      <c r="J9" s="20" t="s">
        <v>56</v>
      </c>
    </row>
    <row r="10" spans="1:10">
      <c r="A10" t="s">
        <v>60</v>
      </c>
      <c r="G10"/>
      <c r="H10"/>
      <c r="I10"/>
      <c r="J10"/>
    </row>
    <row r="11" spans="1:10">
      <c r="A11" t="s">
        <v>64</v>
      </c>
      <c r="B11">
        <f>D11</f>
        <v>13</v>
      </c>
      <c r="D11">
        <f>E11</f>
        <v>13</v>
      </c>
      <c r="E11">
        <v>13</v>
      </c>
      <c r="F11" t="s">
        <v>245</v>
      </c>
      <c r="G11" s="19" t="s">
        <v>69</v>
      </c>
      <c r="H11" s="13">
        <v>21290439</v>
      </c>
      <c r="I11"/>
      <c r="J11"/>
    </row>
    <row r="12" spans="1:10">
      <c r="A12" t="s">
        <v>70</v>
      </c>
      <c r="C12" s="21"/>
      <c r="G12"/>
      <c r="H12"/>
      <c r="I12"/>
      <c r="J12"/>
    </row>
    <row r="13" spans="1:10">
      <c r="A13" t="s">
        <v>72</v>
      </c>
      <c r="B13">
        <f>AVERAGE(D13:D14)</f>
        <v>9550</v>
      </c>
      <c r="D13">
        <f>E13</f>
        <v>1100</v>
      </c>
      <c r="E13">
        <v>1100</v>
      </c>
      <c r="F13" t="s">
        <v>245</v>
      </c>
      <c r="G13" s="19" t="s">
        <v>73</v>
      </c>
      <c r="H13" s="13">
        <v>4615902</v>
      </c>
      <c r="I13"/>
      <c r="J13" s="2" t="s">
        <v>250</v>
      </c>
    </row>
    <row r="14" spans="1:10">
      <c r="D14">
        <f>E14</f>
        <v>18000</v>
      </c>
      <c r="E14">
        <f>1.8*10^4</f>
        <v>18000</v>
      </c>
      <c r="F14" t="s">
        <v>245</v>
      </c>
      <c r="G14" s="19" t="s">
        <v>76</v>
      </c>
      <c r="H14" s="13">
        <v>17341838</v>
      </c>
      <c r="I14"/>
      <c r="J14"/>
    </row>
    <row r="15" spans="1:10">
      <c r="A15" t="s">
        <v>77</v>
      </c>
      <c r="B15">
        <f>AVERAGE(D15:D16)</f>
        <v>33.394999999999996</v>
      </c>
      <c r="C15">
        <f>STDEV(D15:D16)</f>
        <v>6.3710320984908124</v>
      </c>
      <c r="D15">
        <f>E15</f>
        <v>37.9</v>
      </c>
      <c r="E15">
        <v>37.9</v>
      </c>
      <c r="F15" t="s">
        <v>245</v>
      </c>
      <c r="G15" s="19" t="s">
        <v>78</v>
      </c>
      <c r="H15" s="13">
        <v>17635929</v>
      </c>
      <c r="I15"/>
      <c r="J15"/>
    </row>
    <row r="16" spans="1:10">
      <c r="D16">
        <f>E16</f>
        <v>28.89</v>
      </c>
      <c r="E16">
        <v>28.89</v>
      </c>
      <c r="F16" t="s">
        <v>245</v>
      </c>
      <c r="G16" s="19" t="s">
        <v>79</v>
      </c>
      <c r="H16" s="13">
        <v>11583990</v>
      </c>
      <c r="I16"/>
      <c r="J16"/>
    </row>
    <row r="17" spans="1:10">
      <c r="A17" t="s">
        <v>80</v>
      </c>
      <c r="B17">
        <f>D17</f>
        <v>700</v>
      </c>
      <c r="D17">
        <f>E17/60</f>
        <v>700</v>
      </c>
      <c r="E17">
        <v>42000</v>
      </c>
      <c r="F17" t="s">
        <v>251</v>
      </c>
      <c r="G17" s="19" t="s">
        <v>252</v>
      </c>
      <c r="H17" s="2">
        <v>2200929</v>
      </c>
      <c r="I17" s="22"/>
      <c r="J17" s="2" t="s">
        <v>253</v>
      </c>
    </row>
    <row r="18" spans="1:10">
      <c r="A18" t="s">
        <v>88</v>
      </c>
      <c r="G18"/>
      <c r="H18"/>
      <c r="I18"/>
      <c r="J18"/>
    </row>
    <row r="19" spans="1:10">
      <c r="A19" t="s">
        <v>98</v>
      </c>
      <c r="B19">
        <f>AVERAGE(D19:D23)</f>
        <v>92.910666666666685</v>
      </c>
      <c r="C19">
        <f>STDEV(D19:D23)</f>
        <v>70.304515518010803</v>
      </c>
      <c r="D19">
        <f>E19/60</f>
        <v>198.33333333333334</v>
      </c>
      <c r="E19">
        <v>11900</v>
      </c>
      <c r="F19" t="s">
        <v>251</v>
      </c>
      <c r="G19" s="19" t="s">
        <v>252</v>
      </c>
      <c r="H19" s="2">
        <v>2200929</v>
      </c>
      <c r="I19" s="22"/>
      <c r="J19" s="2" t="s">
        <v>254</v>
      </c>
    </row>
    <row r="20" spans="1:10">
      <c r="D20">
        <f>E20</f>
        <v>76.2</v>
      </c>
      <c r="E20">
        <v>76.2</v>
      </c>
      <c r="F20" t="s">
        <v>245</v>
      </c>
      <c r="G20" s="19" t="s">
        <v>102</v>
      </c>
      <c r="H20"/>
      <c r="I20"/>
      <c r="J20"/>
    </row>
    <row r="21" spans="1:10">
      <c r="D21">
        <f>E21</f>
        <v>80.5</v>
      </c>
      <c r="E21">
        <v>80.5</v>
      </c>
      <c r="F21" t="s">
        <v>245</v>
      </c>
      <c r="G21" s="19" t="s">
        <v>107</v>
      </c>
      <c r="H21" s="13">
        <v>8639526</v>
      </c>
      <c r="I21"/>
      <c r="J21" s="2" t="s">
        <v>41</v>
      </c>
    </row>
    <row r="22" spans="1:10">
      <c r="D22">
        <f>E22</f>
        <v>3.22</v>
      </c>
      <c r="E22">
        <v>3.22</v>
      </c>
      <c r="F22" t="s">
        <v>245</v>
      </c>
      <c r="G22" s="19" t="s">
        <v>107</v>
      </c>
      <c r="H22" s="13">
        <v>8639526</v>
      </c>
      <c r="I22"/>
      <c r="J22" s="2" t="s">
        <v>106</v>
      </c>
    </row>
    <row r="23" spans="1:10">
      <c r="D23">
        <f>E23</f>
        <v>106.3</v>
      </c>
      <c r="E23">
        <v>106.3</v>
      </c>
      <c r="F23" t="s">
        <v>245</v>
      </c>
      <c r="G23" s="19" t="s">
        <v>104</v>
      </c>
      <c r="H23" s="13">
        <v>17401542</v>
      </c>
      <c r="I23"/>
      <c r="J23" s="2" t="s">
        <v>255</v>
      </c>
    </row>
    <row r="24" spans="1:10">
      <c r="A24" t="s">
        <v>109</v>
      </c>
      <c r="B24">
        <f>D24</f>
        <v>149</v>
      </c>
      <c r="D24">
        <f>E24</f>
        <v>149</v>
      </c>
      <c r="E24">
        <f>(145+153)/2</f>
        <v>149</v>
      </c>
      <c r="F24" t="s">
        <v>245</v>
      </c>
      <c r="G24" s="19" t="s">
        <v>111</v>
      </c>
      <c r="H24" s="13">
        <v>6380583</v>
      </c>
      <c r="I24"/>
      <c r="J24" s="20" t="s">
        <v>112</v>
      </c>
    </row>
    <row r="25" spans="1:10">
      <c r="A25" t="s">
        <v>116</v>
      </c>
      <c r="B25">
        <f>AVERAGE(D25:D26)</f>
        <v>61.533333333333331</v>
      </c>
      <c r="C25">
        <f>STDEV(D25:D26)</f>
        <v>23.758787847867989</v>
      </c>
      <c r="D25">
        <f>E25/60</f>
        <v>78.333333333333329</v>
      </c>
      <c r="E25">
        <v>4700</v>
      </c>
      <c r="F25" t="s">
        <v>251</v>
      </c>
      <c r="G25" s="19" t="s">
        <v>252</v>
      </c>
      <c r="H25" s="2">
        <v>2200929</v>
      </c>
      <c r="I25" s="22"/>
      <c r="J25" s="2" t="s">
        <v>256</v>
      </c>
    </row>
    <row r="26" spans="1:10">
      <c r="D26">
        <f>E26/60</f>
        <v>44.733333333333334</v>
      </c>
      <c r="E26">
        <v>2684</v>
      </c>
      <c r="F26" t="s">
        <v>251</v>
      </c>
      <c r="G26" s="19" t="s">
        <v>118</v>
      </c>
      <c r="H26" s="13">
        <v>10353839</v>
      </c>
      <c r="I26"/>
      <c r="J26" s="2" t="s">
        <v>257</v>
      </c>
    </row>
    <row r="27" spans="1:10">
      <c r="A27" t="s">
        <v>123</v>
      </c>
      <c r="B27">
        <f>AVERAGE(D27:D30)</f>
        <v>92</v>
      </c>
      <c r="C27">
        <f>STDEV(D27:D30)</f>
        <v>13.880441875771343</v>
      </c>
      <c r="D27">
        <f t="shared" ref="D27:D33" si="0">E27</f>
        <v>85</v>
      </c>
      <c r="E27">
        <v>85</v>
      </c>
      <c r="F27" t="s">
        <v>245</v>
      </c>
      <c r="G27" s="19" t="s">
        <v>127</v>
      </c>
      <c r="H27" s="13">
        <v>11803023</v>
      </c>
      <c r="I27"/>
      <c r="J27"/>
    </row>
    <row r="28" spans="1:10">
      <c r="D28">
        <f t="shared" si="0"/>
        <v>78</v>
      </c>
      <c r="E28">
        <v>78</v>
      </c>
      <c r="F28" t="s">
        <v>245</v>
      </c>
      <c r="G28" s="19" t="s">
        <v>258</v>
      </c>
      <c r="H28" s="13">
        <v>11259408</v>
      </c>
      <c r="I28"/>
      <c r="J28"/>
    </row>
    <row r="29" spans="1:10">
      <c r="D29">
        <f t="shared" si="0"/>
        <v>95</v>
      </c>
      <c r="E29">
        <v>95</v>
      </c>
      <c r="F29" t="s">
        <v>245</v>
      </c>
      <c r="G29" s="19" t="s">
        <v>259</v>
      </c>
      <c r="H29" s="2">
        <v>11803025</v>
      </c>
      <c r="I29" s="23"/>
      <c r="J29" s="2" t="s">
        <v>260</v>
      </c>
    </row>
    <row r="30" spans="1:10">
      <c r="D30">
        <f t="shared" si="0"/>
        <v>110</v>
      </c>
      <c r="E30">
        <v>110</v>
      </c>
      <c r="F30" t="s">
        <v>245</v>
      </c>
      <c r="G30" s="24" t="s">
        <v>126</v>
      </c>
      <c r="H30" s="2">
        <v>16484232</v>
      </c>
      <c r="I30" s="23"/>
      <c r="J30"/>
    </row>
    <row r="31" spans="1:10">
      <c r="A31" t="s">
        <v>128</v>
      </c>
      <c r="B31">
        <f>AVERAGE(D31:D33)</f>
        <v>219</v>
      </c>
      <c r="C31">
        <f>STDEV(D31:D33)</f>
        <v>37.722672227720032</v>
      </c>
      <c r="D31">
        <f t="shared" si="0"/>
        <v>177</v>
      </c>
      <c r="E31">
        <v>177</v>
      </c>
      <c r="F31" t="s">
        <v>245</v>
      </c>
      <c r="G31" s="19" t="s">
        <v>127</v>
      </c>
      <c r="H31" s="13">
        <v>11803023</v>
      </c>
      <c r="I31"/>
      <c r="J31"/>
    </row>
    <row r="32" spans="1:10">
      <c r="D32">
        <f t="shared" si="0"/>
        <v>230</v>
      </c>
      <c r="E32">
        <v>230</v>
      </c>
      <c r="F32" t="s">
        <v>245</v>
      </c>
      <c r="G32" s="19" t="s">
        <v>261</v>
      </c>
      <c r="H32" s="13">
        <v>16829675</v>
      </c>
      <c r="I32"/>
      <c r="J32"/>
    </row>
    <row r="33" spans="1:16">
      <c r="D33">
        <f t="shared" si="0"/>
        <v>250</v>
      </c>
      <c r="E33">
        <v>250</v>
      </c>
      <c r="F33" t="s">
        <v>245</v>
      </c>
      <c r="G33" s="24" t="s">
        <v>126</v>
      </c>
      <c r="H33" s="2">
        <v>16484232</v>
      </c>
      <c r="I33" s="23"/>
      <c r="J33"/>
    </row>
    <row r="34" spans="1:16">
      <c r="A34" t="s">
        <v>129</v>
      </c>
      <c r="B34">
        <f>D34</f>
        <v>300</v>
      </c>
      <c r="D34">
        <v>300</v>
      </c>
      <c r="E34">
        <f>D34*60</f>
        <v>18000</v>
      </c>
      <c r="F34" t="s">
        <v>251</v>
      </c>
      <c r="G34"/>
      <c r="H34"/>
      <c r="I34"/>
      <c r="J34" s="2" t="s">
        <v>262</v>
      </c>
    </row>
    <row r="35" spans="1:16">
      <c r="D35">
        <v>51.7</v>
      </c>
      <c r="E35">
        <v>3100</v>
      </c>
      <c r="F35" t="s">
        <v>263</v>
      </c>
      <c r="G35" s="24" t="s">
        <v>131</v>
      </c>
      <c r="H35" s="2">
        <v>8203917</v>
      </c>
      <c r="I35" s="23"/>
      <c r="J35" s="2" t="s">
        <v>264</v>
      </c>
    </row>
    <row r="36" spans="1:16">
      <c r="A36" t="s">
        <v>134</v>
      </c>
      <c r="B36">
        <f>AVERAGE(D36:D37)</f>
        <v>289.5</v>
      </c>
      <c r="C36">
        <f>STDEV(D36:D37)</f>
        <v>368.40263299819128</v>
      </c>
      <c r="D36">
        <f>E36/60</f>
        <v>550</v>
      </c>
      <c r="E36">
        <v>33000</v>
      </c>
      <c r="F36" t="s">
        <v>251</v>
      </c>
      <c r="G36" s="19" t="s">
        <v>252</v>
      </c>
      <c r="H36" s="2">
        <v>2200929</v>
      </c>
      <c r="I36" s="22"/>
      <c r="J36" s="2" t="s">
        <v>265</v>
      </c>
    </row>
    <row r="37" spans="1:16">
      <c r="D37">
        <f>E37</f>
        <v>29</v>
      </c>
      <c r="E37">
        <v>29</v>
      </c>
      <c r="F37" t="s">
        <v>245</v>
      </c>
      <c r="G37"/>
      <c r="H37" s="2">
        <v>7647229</v>
      </c>
      <c r="I37" s="23"/>
      <c r="J37" s="2" t="s">
        <v>266</v>
      </c>
    </row>
    <row r="38" spans="1:16">
      <c r="G38"/>
      <c r="H38" s="2">
        <v>10206992</v>
      </c>
      <c r="I38" s="23"/>
      <c r="J38" s="2" t="s">
        <v>267</v>
      </c>
    </row>
    <row r="39" spans="1:16">
      <c r="A39" t="s">
        <v>138</v>
      </c>
      <c r="B39">
        <f>AVERAGE(E39:E41)</f>
        <v>490.33333333333331</v>
      </c>
      <c r="C39">
        <f>STDEV(E39:E41)</f>
        <v>443.57900461285732</v>
      </c>
      <c r="E39">
        <v>42</v>
      </c>
      <c r="F39" t="s">
        <v>245</v>
      </c>
      <c r="G39"/>
      <c r="H39"/>
      <c r="I39"/>
      <c r="J39" s="2" t="s">
        <v>268</v>
      </c>
    </row>
    <row r="40" spans="1:16">
      <c r="E40">
        <v>500</v>
      </c>
      <c r="F40" t="s">
        <v>245</v>
      </c>
      <c r="G40"/>
      <c r="H40"/>
      <c r="I40"/>
      <c r="J40" s="2" t="s">
        <v>269</v>
      </c>
    </row>
    <row r="41" spans="1:16">
      <c r="E41">
        <v>929</v>
      </c>
      <c r="F41" t="s">
        <v>245</v>
      </c>
      <c r="G41"/>
      <c r="H41"/>
      <c r="I41"/>
      <c r="J41" s="2" t="s">
        <v>270</v>
      </c>
    </row>
    <row r="42" spans="1:16">
      <c r="A42" t="s">
        <v>145</v>
      </c>
      <c r="B42">
        <f>AVERAGE(D42:D45)</f>
        <v>112.005</v>
      </c>
      <c r="C42">
        <f>STDEV(D42:D45)</f>
        <v>38.65916148426745</v>
      </c>
      <c r="D42">
        <v>88</v>
      </c>
      <c r="E42">
        <v>88</v>
      </c>
      <c r="F42" t="s">
        <v>245</v>
      </c>
      <c r="G42" s="19" t="s">
        <v>271</v>
      </c>
      <c r="H42" s="13"/>
      <c r="I42" s="20" t="s">
        <v>148</v>
      </c>
      <c r="J42"/>
    </row>
    <row r="43" spans="1:16">
      <c r="D43">
        <v>110.7</v>
      </c>
      <c r="E43">
        <v>110.7</v>
      </c>
      <c r="F43" t="s">
        <v>245</v>
      </c>
      <c r="G43" s="19" t="s">
        <v>272</v>
      </c>
      <c r="H43" s="13">
        <v>1429704</v>
      </c>
      <c r="I43"/>
      <c r="J43"/>
    </row>
    <row r="44" spans="1:16">
      <c r="D44">
        <v>167</v>
      </c>
      <c r="E44">
        <v>167</v>
      </c>
      <c r="F44" t="s">
        <v>245</v>
      </c>
      <c r="G44" s="19" t="s">
        <v>273</v>
      </c>
      <c r="H44"/>
      <c r="I44" s="5" t="s">
        <v>151</v>
      </c>
      <c r="J44" s="2" t="s">
        <v>152</v>
      </c>
    </row>
    <row r="45" spans="1:16">
      <c r="D45">
        <v>82.32</v>
      </c>
      <c r="E45">
        <f>392*0.21</f>
        <v>82.32</v>
      </c>
      <c r="F45" t="s">
        <v>245</v>
      </c>
      <c r="G45" s="19" t="s">
        <v>153</v>
      </c>
      <c r="H45"/>
      <c r="I45" s="5" t="s">
        <v>154</v>
      </c>
      <c r="J45" s="2" t="s">
        <v>155</v>
      </c>
    </row>
    <row r="46" spans="1:16">
      <c r="A46" t="s">
        <v>157</v>
      </c>
      <c r="B46">
        <f>AVERAGE(D46:D47)</f>
        <v>22</v>
      </c>
      <c r="C46">
        <f>STDEV(D46:D47)</f>
        <v>2.8284271247461903</v>
      </c>
      <c r="D46">
        <f>E46</f>
        <v>24</v>
      </c>
      <c r="E46">
        <v>24</v>
      </c>
      <c r="F46" t="s">
        <v>245</v>
      </c>
      <c r="G46" s="19" t="s">
        <v>160</v>
      </c>
      <c r="H46" s="13">
        <v>17314096</v>
      </c>
      <c r="I46"/>
      <c r="J46"/>
    </row>
    <row r="47" spans="1:16">
      <c r="D47">
        <f>E47</f>
        <v>20</v>
      </c>
      <c r="E47">
        <v>20</v>
      </c>
      <c r="F47" t="s">
        <v>245</v>
      </c>
      <c r="G47" s="19" t="s">
        <v>161</v>
      </c>
      <c r="H47" s="13">
        <v>15767255</v>
      </c>
      <c r="I47"/>
      <c r="J47"/>
    </row>
    <row r="48" spans="1:16">
      <c r="A48" t="s">
        <v>162</v>
      </c>
      <c r="B48">
        <f>D48</f>
        <v>150</v>
      </c>
      <c r="D48">
        <f>E48/60</f>
        <v>150</v>
      </c>
      <c r="E48">
        <f>9*10^3</f>
        <v>9000</v>
      </c>
      <c r="F48" t="s">
        <v>251</v>
      </c>
      <c r="G48" s="5" t="s">
        <v>163</v>
      </c>
      <c r="H48" s="2">
        <v>9927652</v>
      </c>
      <c r="I48" s="23"/>
      <c r="J48" s="25"/>
      <c r="P48" t="s">
        <v>274</v>
      </c>
    </row>
    <row r="49" spans="1:10">
      <c r="A49" t="s">
        <v>166</v>
      </c>
      <c r="G49"/>
      <c r="H49" s="26"/>
      <c r="I49" s="27"/>
      <c r="J49"/>
    </row>
    <row r="50" spans="1:10">
      <c r="A50" t="s">
        <v>168</v>
      </c>
      <c r="B50">
        <f>D50</f>
        <v>0.66666666666666663</v>
      </c>
      <c r="D50">
        <f>E50/60</f>
        <v>0.66666666666666663</v>
      </c>
      <c r="E50">
        <v>40</v>
      </c>
      <c r="F50" t="s">
        <v>251</v>
      </c>
      <c r="G50" s="19" t="s">
        <v>275</v>
      </c>
      <c r="H50" s="2">
        <v>23683699</v>
      </c>
      <c r="I50" s="23"/>
      <c r="J50" s="2" t="s">
        <v>276</v>
      </c>
    </row>
    <row r="51" spans="1:10">
      <c r="A51" t="s">
        <v>171</v>
      </c>
      <c r="B51">
        <f>D51</f>
        <v>96.666666666666671</v>
      </c>
      <c r="D51">
        <f>E51/60</f>
        <v>96.666666666666671</v>
      </c>
      <c r="E51">
        <v>5800</v>
      </c>
      <c r="F51" t="s">
        <v>251</v>
      </c>
      <c r="G51" s="19" t="s">
        <v>277</v>
      </c>
      <c r="H51" s="13">
        <v>2200929</v>
      </c>
      <c r="I51"/>
      <c r="J51"/>
    </row>
    <row r="52" spans="1:10">
      <c r="A52" s="28"/>
      <c r="C52" s="28"/>
      <c r="E52" s="28"/>
      <c r="F52" s="28"/>
      <c r="G52" s="29"/>
      <c r="H52"/>
      <c r="I52"/>
      <c r="J52" s="20"/>
    </row>
    <row r="53" spans="1:10">
      <c r="A53" t="s">
        <v>172</v>
      </c>
      <c r="B53">
        <v>15.7</v>
      </c>
      <c r="D53">
        <v>15.7</v>
      </c>
      <c r="E53">
        <v>15.7</v>
      </c>
      <c r="F53" t="s">
        <v>245</v>
      </c>
      <c r="G53" t="s">
        <v>278</v>
      </c>
      <c r="H53" s="30">
        <v>23237860</v>
      </c>
      <c r="I53" t="s">
        <v>279</v>
      </c>
      <c r="J53" t="s">
        <v>280</v>
      </c>
    </row>
    <row r="54" spans="1:10">
      <c r="A54" t="s">
        <v>176</v>
      </c>
      <c r="G54"/>
      <c r="H54"/>
      <c r="I54"/>
      <c r="J54"/>
    </row>
    <row r="55" spans="1:10">
      <c r="A55" t="s">
        <v>179</v>
      </c>
      <c r="B55">
        <f>AVERAGE(D55:D56)</f>
        <v>74.7</v>
      </c>
      <c r="D55">
        <f>E55</f>
        <v>119.8</v>
      </c>
      <c r="E55">
        <v>119.8</v>
      </c>
      <c r="F55" t="s">
        <v>245</v>
      </c>
      <c r="G55" s="5" t="s">
        <v>180</v>
      </c>
      <c r="H55" s="2">
        <v>21046341</v>
      </c>
      <c r="I55" s="22"/>
      <c r="J55" s="20" t="s">
        <v>281</v>
      </c>
    </row>
    <row r="56" spans="1:10">
      <c r="D56">
        <f>E56</f>
        <v>29.6</v>
      </c>
      <c r="E56">
        <v>29.6</v>
      </c>
      <c r="F56" t="s">
        <v>245</v>
      </c>
      <c r="G56" s="5" t="s">
        <v>182</v>
      </c>
      <c r="H56" s="2">
        <v>20236319</v>
      </c>
      <c r="I56" s="22"/>
      <c r="J56" s="20" t="s">
        <v>282</v>
      </c>
    </row>
    <row r="57" spans="1:10">
      <c r="A57" t="s">
        <v>186</v>
      </c>
      <c r="G57"/>
      <c r="H57"/>
      <c r="I57"/>
      <c r="J57" s="20"/>
    </row>
    <row r="58" spans="1:10">
      <c r="A58" t="s">
        <v>191</v>
      </c>
      <c r="B58">
        <f>AVERAGE(D58:D59)</f>
        <v>9.3333333333333321</v>
      </c>
      <c r="C58">
        <f>STDEV(D58:D59)</f>
        <v>1.6499158227686215</v>
      </c>
      <c r="D58">
        <f>E58/60</f>
        <v>10.5</v>
      </c>
      <c r="E58">
        <v>630</v>
      </c>
      <c r="F58" t="s">
        <v>251</v>
      </c>
      <c r="G58" s="19" t="s">
        <v>194</v>
      </c>
      <c r="H58"/>
      <c r="I58" s="5" t="s">
        <v>195</v>
      </c>
      <c r="J58" s="13"/>
    </row>
    <row r="59" spans="1:10">
      <c r="D59">
        <f>E59/60</f>
        <v>8.1666666666666661</v>
      </c>
      <c r="E59">
        <v>490</v>
      </c>
      <c r="F59" t="s">
        <v>251</v>
      </c>
      <c r="G59" s="19" t="s">
        <v>197</v>
      </c>
      <c r="H59" s="13">
        <v>9878448</v>
      </c>
      <c r="I59"/>
      <c r="J59" s="13"/>
    </row>
    <row r="60" spans="1:10">
      <c r="A60" t="s">
        <v>202</v>
      </c>
      <c r="B60">
        <f>D60</f>
        <v>9000</v>
      </c>
      <c r="D60">
        <f>E60/60</f>
        <v>9000</v>
      </c>
      <c r="E60">
        <f>5.4*10^5</f>
        <v>540000</v>
      </c>
      <c r="F60" t="s">
        <v>251</v>
      </c>
      <c r="G60" s="19" t="s">
        <v>203</v>
      </c>
      <c r="H60"/>
      <c r="I60" s="5" t="s">
        <v>204</v>
      </c>
      <c r="J60"/>
    </row>
    <row r="61" spans="1:10">
      <c r="A61" t="s">
        <v>283</v>
      </c>
      <c r="G61"/>
      <c r="H61"/>
      <c r="I61"/>
      <c r="J61"/>
    </row>
    <row r="62" spans="1:10">
      <c r="A62" t="s">
        <v>205</v>
      </c>
      <c r="B62">
        <f>D62</f>
        <v>268</v>
      </c>
      <c r="D62">
        <f>E62</f>
        <v>268</v>
      </c>
      <c r="E62">
        <v>268</v>
      </c>
      <c r="F62" t="s">
        <v>245</v>
      </c>
      <c r="G62" s="19" t="s">
        <v>206</v>
      </c>
      <c r="H62"/>
      <c r="I62" s="5" t="s">
        <v>207</v>
      </c>
      <c r="J62"/>
    </row>
    <row r="63" spans="1:10">
      <c r="A63" t="s">
        <v>209</v>
      </c>
      <c r="G63"/>
      <c r="H63"/>
      <c r="I63"/>
      <c r="J63"/>
    </row>
    <row r="64" spans="1:10">
      <c r="A64" t="s">
        <v>211</v>
      </c>
      <c r="G64"/>
      <c r="H64"/>
      <c r="I64"/>
      <c r="J64"/>
    </row>
    <row r="65" spans="1:10">
      <c r="A65" t="s">
        <v>213</v>
      </c>
      <c r="G65"/>
      <c r="H65"/>
      <c r="I65"/>
      <c r="J65"/>
    </row>
    <row r="66" spans="1:10">
      <c r="A66" t="s">
        <v>215</v>
      </c>
      <c r="G66"/>
      <c r="H66"/>
      <c r="I66"/>
      <c r="J66"/>
    </row>
    <row r="67" spans="1:10">
      <c r="A67" t="s">
        <v>216</v>
      </c>
      <c r="G67"/>
      <c r="H67"/>
      <c r="I67"/>
      <c r="J67"/>
    </row>
    <row r="68" spans="1:10">
      <c r="A68" t="s">
        <v>218</v>
      </c>
      <c r="G68"/>
      <c r="H68"/>
      <c r="I68"/>
      <c r="J68"/>
    </row>
    <row r="69" spans="1:10">
      <c r="A69" t="s">
        <v>219</v>
      </c>
      <c r="B69">
        <f>D69</f>
        <v>220</v>
      </c>
      <c r="D69">
        <f>E69/60</f>
        <v>220</v>
      </c>
      <c r="E69">
        <v>13200</v>
      </c>
      <c r="F69" t="s">
        <v>251</v>
      </c>
      <c r="G69" s="19" t="s">
        <v>252</v>
      </c>
      <c r="H69" s="2">
        <v>2200929</v>
      </c>
      <c r="I69" s="22"/>
      <c r="J69" s="2" t="s">
        <v>284</v>
      </c>
    </row>
    <row r="70" spans="1:10">
      <c r="A70" t="s">
        <v>222</v>
      </c>
      <c r="B70">
        <f>AVERAGE(D70:D73)</f>
        <v>623.75</v>
      </c>
      <c r="C70">
        <f>STDEV(D70:D73)</f>
        <v>241.01012350029958</v>
      </c>
      <c r="D70">
        <f>E70/60</f>
        <v>348.33333333333331</v>
      </c>
      <c r="E70">
        <v>20900</v>
      </c>
      <c r="F70" t="s">
        <v>251</v>
      </c>
      <c r="G70" s="19" t="s">
        <v>252</v>
      </c>
      <c r="H70" s="2">
        <v>2200929</v>
      </c>
      <c r="I70" s="22"/>
      <c r="J70" s="2" t="s">
        <v>285</v>
      </c>
    </row>
    <row r="71" spans="1:10">
      <c r="D71">
        <f>E71/60</f>
        <v>496.66666666666669</v>
      </c>
      <c r="E71">
        <v>29800</v>
      </c>
      <c r="F71" t="s">
        <v>251</v>
      </c>
      <c r="G71" s="19" t="s">
        <v>252</v>
      </c>
      <c r="H71" s="2">
        <v>2200929</v>
      </c>
      <c r="I71" s="22"/>
      <c r="J71" s="2" t="s">
        <v>285</v>
      </c>
    </row>
    <row r="72" spans="1:10">
      <c r="D72">
        <f>E72/60</f>
        <v>800</v>
      </c>
      <c r="E72">
        <f>4.8*10^4</f>
        <v>48000</v>
      </c>
      <c r="F72" t="s">
        <v>251</v>
      </c>
      <c r="G72" s="19" t="s">
        <v>223</v>
      </c>
      <c r="H72" s="13">
        <v>6349612</v>
      </c>
      <c r="J72" s="2" t="s">
        <v>224</v>
      </c>
    </row>
    <row r="73" spans="1:10">
      <c r="D73">
        <f>E73/60</f>
        <v>850</v>
      </c>
      <c r="E73">
        <f>5.1*10^4</f>
        <v>51000</v>
      </c>
      <c r="F73" t="s">
        <v>251</v>
      </c>
      <c r="G73" s="19" t="s">
        <v>223</v>
      </c>
      <c r="H73" s="13">
        <v>6349612</v>
      </c>
      <c r="J73" s="2" t="s">
        <v>225</v>
      </c>
    </row>
    <row r="74" spans="1:10">
      <c r="A74" t="s">
        <v>227</v>
      </c>
    </row>
    <row r="75" spans="1:10">
      <c r="A75" t="s">
        <v>228</v>
      </c>
    </row>
    <row r="76" spans="1:10">
      <c r="A76" t="s">
        <v>231</v>
      </c>
    </row>
    <row r="77" spans="1:10">
      <c r="A77" t="s">
        <v>233</v>
      </c>
    </row>
    <row r="78" spans="1:10">
      <c r="A78" t="s">
        <v>235</v>
      </c>
    </row>
    <row r="79" spans="1:10">
      <c r="A79" t="s">
        <v>237</v>
      </c>
    </row>
    <row r="80" spans="1:10">
      <c r="A80" t="s">
        <v>239</v>
      </c>
    </row>
    <row r="81" spans="1:1">
      <c r="A81" t="s">
        <v>241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 activeCell="K19" sqref="K19"/>
    </sheetView>
  </sheetViews>
  <sheetFormatPr defaultRowHeight="15"/>
  <cols>
    <col min="1" max="1" width="9.140625" style="43"/>
    <col min="2" max="2" width="11.42578125" style="43" bestFit="1" customWidth="1"/>
    <col min="3" max="3" width="9.140625" style="43"/>
    <col min="4" max="4" width="11.42578125" style="43" bestFit="1" customWidth="1"/>
    <col min="5" max="5" width="12" style="43" bestFit="1" customWidth="1"/>
    <col min="6" max="6" width="8.42578125" style="43" customWidth="1"/>
    <col min="7" max="7" width="14.5703125" style="44" customWidth="1"/>
    <col min="8" max="9" width="11.5703125" style="45" customWidth="1"/>
    <col min="10" max="11" width="5.7109375" style="45" customWidth="1"/>
    <col min="12" max="12" width="99.7109375" style="43" bestFit="1" customWidth="1"/>
    <col min="13" max="16384" width="9.140625" style="43"/>
  </cols>
  <sheetData>
    <row r="1" spans="1:12" s="40" customFormat="1">
      <c r="A1" s="40" t="s">
        <v>13</v>
      </c>
      <c r="B1" s="40" t="s">
        <v>243</v>
      </c>
      <c r="C1" s="40" t="s">
        <v>318</v>
      </c>
      <c r="D1" s="40" t="s">
        <v>244</v>
      </c>
      <c r="E1" s="40" t="s">
        <v>18</v>
      </c>
      <c r="F1" s="40" t="s">
        <v>307</v>
      </c>
      <c r="G1" s="41" t="s">
        <v>319</v>
      </c>
      <c r="H1" s="42" t="s">
        <v>21</v>
      </c>
      <c r="I1" s="42" t="s">
        <v>320</v>
      </c>
      <c r="J1" s="42"/>
      <c r="K1" s="42"/>
    </row>
    <row r="2" spans="1:12">
      <c r="A2" s="43" t="s">
        <v>72</v>
      </c>
      <c r="B2" s="43">
        <f>D2</f>
        <v>380</v>
      </c>
      <c r="D2" s="43">
        <f>E2</f>
        <v>380</v>
      </c>
      <c r="E2" s="43">
        <v>380</v>
      </c>
      <c r="F2" s="43" t="s">
        <v>245</v>
      </c>
      <c r="G2" s="44" t="s">
        <v>73</v>
      </c>
      <c r="H2" s="54">
        <v>4615902</v>
      </c>
      <c r="I2" s="54"/>
    </row>
    <row r="3" spans="1:12">
      <c r="A3" s="43" t="s">
        <v>116</v>
      </c>
      <c r="B3" s="43">
        <f>D3</f>
        <v>44.733333333333334</v>
      </c>
      <c r="D3" s="48">
        <f>E3/60</f>
        <v>44.733333333333334</v>
      </c>
      <c r="E3" s="48">
        <v>2684</v>
      </c>
      <c r="F3" s="48" t="s">
        <v>251</v>
      </c>
      <c r="G3" s="49" t="s">
        <v>118</v>
      </c>
      <c r="H3" s="55">
        <v>10353839</v>
      </c>
      <c r="I3" s="55"/>
      <c r="J3" s="50"/>
      <c r="K3" s="50"/>
      <c r="L3" s="48"/>
    </row>
    <row r="4" spans="1:12">
      <c r="A4" s="43" t="s">
        <v>123</v>
      </c>
      <c r="B4" s="43">
        <f>D4</f>
        <v>1.7</v>
      </c>
      <c r="D4" s="43">
        <v>1.7</v>
      </c>
      <c r="H4" s="54"/>
      <c r="I4" s="54">
        <v>707540</v>
      </c>
    </row>
    <row r="5" spans="1:12">
      <c r="A5" s="43" t="s">
        <v>134</v>
      </c>
      <c r="B5" s="43">
        <f>AVERAGE(D5:D7)</f>
        <v>979.66666666666663</v>
      </c>
      <c r="C5" s="43">
        <f>STDEV(D5:D7)</f>
        <v>112.21556635927681</v>
      </c>
      <c r="D5" s="48">
        <v>931</v>
      </c>
      <c r="H5" s="54"/>
      <c r="I5" s="54">
        <v>689763</v>
      </c>
      <c r="J5" s="47"/>
      <c r="K5" s="47"/>
    </row>
    <row r="6" spans="1:12">
      <c r="D6" s="43">
        <f>E6*1000</f>
        <v>900</v>
      </c>
      <c r="E6" s="43">
        <v>0.9</v>
      </c>
      <c r="F6" s="43" t="s">
        <v>321</v>
      </c>
      <c r="H6" s="54">
        <v>7647229</v>
      </c>
      <c r="I6" s="54"/>
      <c r="J6" s="51"/>
      <c r="K6" s="51"/>
    </row>
    <row r="7" spans="1:12">
      <c r="D7" s="43">
        <f>E7</f>
        <v>1108</v>
      </c>
      <c r="E7" s="43">
        <v>1108</v>
      </c>
      <c r="F7" s="43" t="s">
        <v>245</v>
      </c>
      <c r="H7" s="54">
        <v>10206992</v>
      </c>
      <c r="I7" s="54"/>
      <c r="J7" s="51"/>
      <c r="K7" s="51"/>
    </row>
    <row r="8" spans="1:12">
      <c r="A8" s="43" t="s">
        <v>168</v>
      </c>
      <c r="B8" s="43">
        <f>D8</f>
        <v>0.66666666666666663</v>
      </c>
      <c r="D8" s="43">
        <f>E8/60</f>
        <v>0.66666666666666663</v>
      </c>
      <c r="E8" s="43">
        <v>40</v>
      </c>
      <c r="F8" s="43" t="s">
        <v>251</v>
      </c>
      <c r="H8" s="54">
        <v>23683699</v>
      </c>
      <c r="I8" s="54"/>
      <c r="J8" s="51"/>
    </row>
    <row r="9" spans="1:12">
      <c r="A9" s="43" t="s">
        <v>172</v>
      </c>
      <c r="B9" s="43">
        <f>D9</f>
        <v>15.7</v>
      </c>
      <c r="D9" s="43">
        <v>15.7</v>
      </c>
      <c r="H9" s="54"/>
      <c r="I9" s="54">
        <v>724721</v>
      </c>
      <c r="L9" s="51"/>
    </row>
    <row r="10" spans="1:12">
      <c r="A10" s="43" t="s">
        <v>179</v>
      </c>
      <c r="B10" s="43">
        <f>AVERAGE(D10:D11)</f>
        <v>321.55</v>
      </c>
      <c r="C10" s="43">
        <f>STDEV(D10:D11)</f>
        <v>132.86536418495223</v>
      </c>
      <c r="D10" s="43">
        <f>E10</f>
        <v>415.5</v>
      </c>
      <c r="E10" s="43">
        <v>415.5</v>
      </c>
      <c r="F10" s="43" t="s">
        <v>245</v>
      </c>
      <c r="H10" s="54">
        <v>21046341</v>
      </c>
      <c r="I10" s="54"/>
      <c r="J10" s="47"/>
      <c r="K10" s="47"/>
      <c r="L10" s="52"/>
    </row>
    <row r="11" spans="1:12">
      <c r="D11" s="43">
        <f>E11</f>
        <v>227.6</v>
      </c>
      <c r="E11" s="43">
        <v>227.6</v>
      </c>
      <c r="F11" s="43" t="s">
        <v>245</v>
      </c>
      <c r="H11" s="54">
        <v>20236319</v>
      </c>
      <c r="I11" s="54"/>
      <c r="J11" s="47"/>
      <c r="K11" s="47"/>
      <c r="L11" s="52"/>
    </row>
    <row r="12" spans="1:12">
      <c r="A12" s="43" t="s">
        <v>314</v>
      </c>
      <c r="B12" s="43">
        <f>D12</f>
        <v>1.21E-2</v>
      </c>
      <c r="D12" s="43">
        <v>1.21E-2</v>
      </c>
      <c r="G12" s="43"/>
      <c r="H12" s="54"/>
      <c r="I12" s="54">
        <v>653924</v>
      </c>
      <c r="L12" s="46"/>
    </row>
    <row r="20" spans="8:11">
      <c r="H20" s="53"/>
      <c r="I20" s="53"/>
      <c r="J20" s="47"/>
      <c r="K20" s="47"/>
    </row>
    <row r="21" spans="8:11">
      <c r="H21" s="53"/>
      <c r="I21" s="53"/>
      <c r="J21" s="47"/>
      <c r="K21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Normal="100" workbookViewId="0">
      <selection activeCell="E8" sqref="E8"/>
    </sheetView>
  </sheetViews>
  <sheetFormatPr defaultRowHeight="15"/>
  <cols>
    <col min="1" max="1" width="16.140625"/>
    <col min="2" max="2" width="15.28515625"/>
    <col min="3" max="3" width="11.7109375"/>
    <col min="4" max="4" width="16.28515625"/>
    <col min="5" max="5" width="8.5703125"/>
    <col min="6" max="6" width="18.140625"/>
    <col min="7" max="8" width="9.85546875"/>
    <col min="9" max="10" width="13.7109375"/>
    <col min="11" max="11" width="31"/>
    <col min="12" max="1024" width="8.5703125"/>
  </cols>
  <sheetData>
    <row r="1" spans="1:12" s="31" customFormat="1">
      <c r="B1" s="31" t="s">
        <v>286</v>
      </c>
      <c r="C1" s="31">
        <v>298</v>
      </c>
      <c r="D1" s="31" t="s">
        <v>287</v>
      </c>
      <c r="E1" s="31">
        <f>8.314/1000</f>
        <v>8.3140000000000002E-3</v>
      </c>
    </row>
    <row r="2" spans="1:12" s="8" customFormat="1">
      <c r="A2" s="8" t="s">
        <v>288</v>
      </c>
      <c r="B2" s="8" t="s">
        <v>289</v>
      </c>
      <c r="C2" s="8" t="s">
        <v>290</v>
      </c>
      <c r="D2" s="8" t="s">
        <v>291</v>
      </c>
    </row>
    <row r="3" spans="1:12">
      <c r="A3" s="2" t="s">
        <v>138</v>
      </c>
      <c r="B3">
        <f>C3</f>
        <v>0.3610088185249633</v>
      </c>
      <c r="C3">
        <f>EXP(-D3/(C$1*$E$1))</f>
        <v>0.3610088185249633</v>
      </c>
      <c r="D3">
        <v>2.5242813995695901</v>
      </c>
    </row>
    <row r="4" spans="1:12">
      <c r="A4" s="2" t="s">
        <v>191</v>
      </c>
      <c r="B4">
        <f>C4</f>
        <v>2.0553135426943018E-4</v>
      </c>
      <c r="C4">
        <f>EXP(-D4/(C$1*$E$1))</f>
        <v>2.0553135426943018E-4</v>
      </c>
      <c r="D4">
        <v>21.034368154923101</v>
      </c>
    </row>
    <row r="5" spans="1:12">
      <c r="A5" s="2" t="s">
        <v>202</v>
      </c>
      <c r="B5">
        <f>C5</f>
        <v>9.1705756905601845</v>
      </c>
      <c r="C5">
        <f>EXP(-D5/(C$1*$E$1))</f>
        <v>9.1705756905601845</v>
      </c>
      <c r="D5">
        <v>-5.4902997107513203</v>
      </c>
    </row>
    <row r="6" spans="1:12">
      <c r="A6" s="2" t="s">
        <v>205</v>
      </c>
      <c r="B6">
        <f>C6</f>
        <v>9.2574229729610547E-2</v>
      </c>
      <c r="C6">
        <f>EXP(-D6/(C$1*$E$1))</f>
        <v>9.2574229729610547E-2</v>
      </c>
      <c r="D6">
        <v>5.8959882727613202</v>
      </c>
    </row>
    <row r="7" spans="1:12">
      <c r="A7" s="2" t="s">
        <v>209</v>
      </c>
      <c r="B7">
        <f>C7</f>
        <v>1738.9274058850674</v>
      </c>
      <c r="C7">
        <f>EXP(-D7/(C$1*$E$1))</f>
        <v>1738.9274058850674</v>
      </c>
      <c r="D7">
        <v>-18.485223580754798</v>
      </c>
      <c r="G7" s="32"/>
      <c r="L7" s="33"/>
    </row>
    <row r="8" spans="1:12">
      <c r="A8" s="2" t="s">
        <v>211</v>
      </c>
      <c r="B8">
        <f>C8</f>
        <v>0.18397694168226231</v>
      </c>
      <c r="C8">
        <f>EXP(-D8/(C$1*$E$1))</f>
        <v>0.18397694168226231</v>
      </c>
      <c r="D8">
        <v>4.1943927484156003</v>
      </c>
      <c r="G8" s="32"/>
    </row>
    <row r="9" spans="1:12">
      <c r="A9" s="2" t="s">
        <v>219</v>
      </c>
      <c r="B9">
        <f>C9</f>
        <v>5.208438580471153</v>
      </c>
      <c r="C9">
        <f>EXP(-D9/(C$1*$E$1))</f>
        <v>5.208438580471153</v>
      </c>
      <c r="D9">
        <v>-4.0886878031003304</v>
      </c>
    </row>
    <row r="10" spans="1:12">
      <c r="A10" s="2" t="s">
        <v>51</v>
      </c>
      <c r="B10">
        <f>C10</f>
        <v>3.9024420290252486</v>
      </c>
      <c r="C10">
        <f>EXP(-D10/(C$1*$E$1))</f>
        <v>3.9024420290252486</v>
      </c>
      <c r="D10">
        <v>-3.3734682748831801</v>
      </c>
    </row>
    <row r="11" spans="1:12">
      <c r="A11" s="2" t="s">
        <v>54</v>
      </c>
      <c r="B11">
        <f>C11</f>
        <v>2.207101038519395</v>
      </c>
      <c r="C11">
        <f>EXP(-D11/(C$1*$E$1))</f>
        <v>2.207101038519395</v>
      </c>
      <c r="D11">
        <v>-1.96144397094173</v>
      </c>
    </row>
    <row r="12" spans="1:12">
      <c r="A12" s="2" t="s">
        <v>60</v>
      </c>
      <c r="B12">
        <f>C12</f>
        <v>4.6289921564534957</v>
      </c>
      <c r="C12">
        <f>EXP(-D12/(C$1*$E$1))</f>
        <v>4.6289921564534957</v>
      </c>
      <c r="D12">
        <v>-3.7964806161768401</v>
      </c>
    </row>
    <row r="13" spans="1:12">
      <c r="A13" s="2" t="s">
        <v>64</v>
      </c>
      <c r="B13">
        <f>C13</f>
        <v>1.3418230221045817</v>
      </c>
      <c r="C13">
        <f>EXP(-D13/(C$1*$E$1))</f>
        <v>1.3418230221045817</v>
      </c>
      <c r="D13">
        <v>-0.72847839820985905</v>
      </c>
    </row>
    <row r="14" spans="1:12">
      <c r="A14" s="2" t="s">
        <v>70</v>
      </c>
      <c r="B14">
        <f>C14</f>
        <v>57.198354861490252</v>
      </c>
      <c r="C14">
        <f>EXP(-D14/(C$1*$E$1))</f>
        <v>57.198354861490252</v>
      </c>
      <c r="D14">
        <v>-10.025557376255099</v>
      </c>
    </row>
    <row r="15" spans="1:12">
      <c r="A15" s="2" t="s">
        <v>88</v>
      </c>
      <c r="B15">
        <f>C15</f>
        <v>4.5907562025568352E-2</v>
      </c>
      <c r="C15">
        <f>EXP(-D15/(C$1*$E$1))</f>
        <v>4.5907562025568352E-2</v>
      </c>
      <c r="D15">
        <v>7.6337100826401096</v>
      </c>
    </row>
    <row r="16" spans="1:12">
      <c r="A16" s="2" t="s">
        <v>116</v>
      </c>
      <c r="B16">
        <f>C16</f>
        <v>0.44833937120099221</v>
      </c>
      <c r="C16">
        <f>EXP(-D16/(C$1*$E$1))</f>
        <v>0.44833937120099221</v>
      </c>
      <c r="D16">
        <v>1.9875201714139601</v>
      </c>
    </row>
    <row r="17" spans="1:13">
      <c r="A17" s="2" t="s">
        <v>129</v>
      </c>
      <c r="B17">
        <f>C17</f>
        <v>4.0268704691323975</v>
      </c>
      <c r="C17">
        <f>EXP(-D17/(C$1*$E$1))</f>
        <v>4.0268704691323975</v>
      </c>
      <c r="D17">
        <v>-3.45123182052291</v>
      </c>
    </row>
    <row r="18" spans="1:13">
      <c r="A18" s="2" t="s">
        <v>134</v>
      </c>
      <c r="B18">
        <f>C18</f>
        <v>6.0760197700556732E-6</v>
      </c>
      <c r="C18">
        <f>EXP(-D18/(C$1*$E$1))</f>
        <v>6.0760197700556732E-6</v>
      </c>
      <c r="D18">
        <v>29.758515485988099</v>
      </c>
    </row>
    <row r="19" spans="1:13">
      <c r="A19" s="2" t="s">
        <v>171</v>
      </c>
      <c r="B19">
        <f>C19</f>
        <v>52000.60751308372</v>
      </c>
      <c r="C19">
        <f>EXP(-D19/(C$1*$E$1))</f>
        <v>52000.60751308372</v>
      </c>
      <c r="D19">
        <v>-26.903980809557201</v>
      </c>
    </row>
    <row r="20" spans="1:13">
      <c r="A20" s="2" t="s">
        <v>172</v>
      </c>
      <c r="B20">
        <f>C20</f>
        <v>8.3365007186343677E-4</v>
      </c>
      <c r="C20">
        <f>EXP(-D20/(C$1*$E$1))</f>
        <v>8.3365007186343677E-4</v>
      </c>
      <c r="D20">
        <v>17.565234334067799</v>
      </c>
    </row>
    <row r="21" spans="1:13">
      <c r="A21" s="2" t="s">
        <v>176</v>
      </c>
      <c r="B21">
        <f>C21</f>
        <v>4993.0347207748537</v>
      </c>
      <c r="C21">
        <f>EXP(-D21/(C$1*$E$1))</f>
        <v>4993.0347207748537</v>
      </c>
      <c r="D21">
        <v>-21.098505567258702</v>
      </c>
    </row>
    <row r="22" spans="1:13">
      <c r="A22" s="39" t="s">
        <v>314</v>
      </c>
      <c r="B22">
        <f>C22</f>
        <v>1.9186663414343112E-3</v>
      </c>
      <c r="C22">
        <f>EXP(-D22/(C$1*$E$1))</f>
        <v>1.9186663414343112E-3</v>
      </c>
      <c r="D22">
        <v>15.5</v>
      </c>
    </row>
    <row r="23" spans="1:13">
      <c r="M23" s="3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2"/>
  <sheetViews>
    <sheetView workbookViewId="0">
      <selection activeCell="C13" sqref="C13"/>
    </sheetView>
  </sheetViews>
  <sheetFormatPr defaultRowHeight="15"/>
  <cols>
    <col min="1" max="1" width="9.140625" style="58"/>
    <col min="2" max="2" width="47.28515625" style="58" bestFit="1" customWidth="1"/>
    <col min="3" max="16384" width="9.140625" style="58"/>
  </cols>
  <sheetData>
    <row r="1" spans="1:3">
      <c r="A1" s="58" t="s">
        <v>324</v>
      </c>
      <c r="B1" s="58" t="s">
        <v>325</v>
      </c>
      <c r="C1" s="58" t="s">
        <v>326</v>
      </c>
    </row>
    <row r="2" spans="1:3">
      <c r="A2" s="58" t="s">
        <v>25</v>
      </c>
      <c r="B2" s="59">
        <v>1</v>
      </c>
      <c r="C2" s="58">
        <v>255.84800000000001</v>
      </c>
    </row>
    <row r="3" spans="1:3">
      <c r="A3" s="58" t="s">
        <v>32</v>
      </c>
      <c r="B3" s="60">
        <v>1</v>
      </c>
      <c r="C3" s="58">
        <v>55.7</v>
      </c>
    </row>
    <row r="4" spans="1:3">
      <c r="A4" s="58" t="s">
        <v>44</v>
      </c>
      <c r="B4" s="60">
        <v>1</v>
      </c>
      <c r="C4" s="58">
        <v>36.31</v>
      </c>
    </row>
    <row r="5" spans="1:3">
      <c r="A5" s="58" t="s">
        <v>46</v>
      </c>
      <c r="B5" s="60">
        <v>1</v>
      </c>
      <c r="C5" s="58">
        <v>102.96</v>
      </c>
    </row>
    <row r="6" spans="1:3">
      <c r="A6" s="58" t="s">
        <v>51</v>
      </c>
      <c r="B6" s="58">
        <v>2</v>
      </c>
      <c r="C6" s="58">
        <v>49.107999999999997</v>
      </c>
    </row>
    <row r="7" spans="1:3">
      <c r="A7" s="58" t="s">
        <v>54</v>
      </c>
      <c r="B7" s="60">
        <v>2</v>
      </c>
      <c r="C7" s="58">
        <v>38.933</v>
      </c>
    </row>
    <row r="8" spans="1:3">
      <c r="A8" s="58" t="s">
        <v>60</v>
      </c>
      <c r="B8" s="58">
        <v>2</v>
      </c>
      <c r="C8" s="58">
        <v>146.08600000000001</v>
      </c>
    </row>
    <row r="9" spans="1:3">
      <c r="A9" s="58" t="s">
        <v>64</v>
      </c>
      <c r="B9" s="58">
        <v>2</v>
      </c>
      <c r="C9" s="58">
        <v>70.438000000000002</v>
      </c>
    </row>
    <row r="10" spans="1:3">
      <c r="A10" s="58" t="s">
        <v>70</v>
      </c>
      <c r="B10" s="58">
        <v>2</v>
      </c>
      <c r="C10" s="58">
        <v>146.08600000000001</v>
      </c>
    </row>
    <row r="11" spans="1:3">
      <c r="A11" s="58" t="s">
        <v>72</v>
      </c>
      <c r="B11" s="58">
        <v>2</v>
      </c>
      <c r="C11" s="58">
        <v>170.714</v>
      </c>
    </row>
    <row r="12" spans="1:3">
      <c r="A12" s="58" t="s">
        <v>77</v>
      </c>
      <c r="B12" s="58">
        <v>1</v>
      </c>
      <c r="C12" s="58">
        <v>282.88</v>
      </c>
    </row>
    <row r="13" spans="1:3">
      <c r="A13" s="58" t="s">
        <v>80</v>
      </c>
      <c r="B13" s="60">
        <v>3</v>
      </c>
      <c r="C13" s="58">
        <v>288.06</v>
      </c>
    </row>
    <row r="14" spans="1:3">
      <c r="A14" s="58" t="s">
        <v>88</v>
      </c>
      <c r="B14" s="58">
        <v>2</v>
      </c>
      <c r="C14" s="58">
        <v>191.17500000000001</v>
      </c>
    </row>
    <row r="15" spans="1:3">
      <c r="A15" s="58" t="s">
        <v>98</v>
      </c>
      <c r="B15" s="60">
        <v>2</v>
      </c>
      <c r="C15" s="58">
        <v>91.52</v>
      </c>
    </row>
    <row r="16" spans="1:3">
      <c r="A16" s="58" t="s">
        <v>109</v>
      </c>
      <c r="B16" s="58">
        <v>2</v>
      </c>
      <c r="C16" s="58">
        <v>2418.36</v>
      </c>
    </row>
    <row r="17" spans="1:3">
      <c r="A17" s="58" t="s">
        <v>116</v>
      </c>
      <c r="B17" s="58">
        <v>2</v>
      </c>
      <c r="C17" s="58">
        <v>142.34</v>
      </c>
    </row>
    <row r="18" spans="1:3">
      <c r="A18" s="58" t="s">
        <v>123</v>
      </c>
      <c r="B18" s="58">
        <v>3</v>
      </c>
      <c r="C18" s="58">
        <f>355.077</f>
        <v>355.077</v>
      </c>
    </row>
    <row r="19" spans="1:3">
      <c r="A19" s="58" t="s">
        <v>317</v>
      </c>
      <c r="B19" s="58">
        <v>1</v>
      </c>
      <c r="C19" s="58">
        <v>121.217</v>
      </c>
    </row>
    <row r="20" spans="1:3">
      <c r="A20" s="58" t="s">
        <v>129</v>
      </c>
      <c r="B20" s="58">
        <v>2</v>
      </c>
      <c r="C20" s="58">
        <v>120</v>
      </c>
    </row>
    <row r="21" spans="1:3">
      <c r="A21" s="58" t="s">
        <v>134</v>
      </c>
      <c r="B21" s="60">
        <v>2</v>
      </c>
      <c r="C21" s="58">
        <v>64.674000000000007</v>
      </c>
    </row>
    <row r="22" spans="1:3">
      <c r="A22" s="58" t="s">
        <v>138</v>
      </c>
      <c r="B22" s="60">
        <v>2</v>
      </c>
      <c r="C22" s="58">
        <v>123.06</v>
      </c>
    </row>
    <row r="23" spans="1:3">
      <c r="A23" s="58" t="s">
        <v>145</v>
      </c>
      <c r="B23" s="60">
        <v>1</v>
      </c>
      <c r="C23" s="58">
        <v>139.36000000000001</v>
      </c>
    </row>
    <row r="24" spans="1:3">
      <c r="A24" s="58" t="s">
        <v>157</v>
      </c>
      <c r="B24" s="58">
        <v>4</v>
      </c>
      <c r="C24" s="58">
        <v>147.33600000000001</v>
      </c>
    </row>
    <row r="25" spans="1:3">
      <c r="A25" s="58" t="s">
        <v>162</v>
      </c>
      <c r="B25" s="60">
        <v>2</v>
      </c>
      <c r="C25" s="58">
        <v>396.24</v>
      </c>
    </row>
    <row r="26" spans="1:3">
      <c r="A26" s="58" t="s">
        <v>166</v>
      </c>
      <c r="B26" s="58">
        <v>4</v>
      </c>
      <c r="C26" s="58">
        <v>252.78800000000001</v>
      </c>
    </row>
    <row r="27" spans="1:3">
      <c r="A27" s="58" t="s">
        <v>168</v>
      </c>
      <c r="B27" s="58">
        <v>1</v>
      </c>
      <c r="C27" s="58">
        <v>59.643000000000001</v>
      </c>
    </row>
    <row r="28" spans="1:3">
      <c r="A28" s="58" t="s">
        <v>171</v>
      </c>
      <c r="B28" s="58">
        <v>4</v>
      </c>
      <c r="C28" s="58">
        <v>146.13999999999999</v>
      </c>
    </row>
    <row r="29" spans="1:3">
      <c r="A29" s="58" t="s">
        <v>172</v>
      </c>
      <c r="B29" s="58">
        <v>40</v>
      </c>
      <c r="C29" s="58">
        <v>3845.08</v>
      </c>
    </row>
    <row r="30" spans="1:3">
      <c r="A30" s="58" t="s">
        <v>176</v>
      </c>
      <c r="B30" s="58">
        <v>40</v>
      </c>
      <c r="C30" s="58">
        <v>3845.08</v>
      </c>
    </row>
    <row r="31" spans="1:3">
      <c r="A31" s="58" t="s">
        <v>179</v>
      </c>
      <c r="B31" s="58">
        <v>6</v>
      </c>
      <c r="C31" s="58">
        <v>463.03199999999998</v>
      </c>
    </row>
    <row r="32" spans="1:3">
      <c r="A32" s="58" t="s">
        <v>186</v>
      </c>
      <c r="B32" s="58">
        <v>1</v>
      </c>
      <c r="C32" s="58">
        <v>43.29</v>
      </c>
    </row>
    <row r="33" spans="1:3">
      <c r="A33" s="58" t="s">
        <v>191</v>
      </c>
      <c r="B33" s="58">
        <v>2</v>
      </c>
      <c r="C33" s="58">
        <v>78.293999999999997</v>
      </c>
    </row>
    <row r="34" spans="1:3">
      <c r="A34" s="58" t="s">
        <v>310</v>
      </c>
      <c r="B34" s="58">
        <v>1</v>
      </c>
      <c r="C34" s="58">
        <v>64.599999999999994</v>
      </c>
    </row>
    <row r="35" spans="1:3">
      <c r="A35" s="58" t="s">
        <v>314</v>
      </c>
      <c r="B35" s="58">
        <v>3</v>
      </c>
      <c r="C35" s="58">
        <v>66.900000000000006</v>
      </c>
    </row>
    <row r="36" spans="1:3">
      <c r="A36" s="58" t="s">
        <v>202</v>
      </c>
      <c r="B36" s="60">
        <v>1</v>
      </c>
      <c r="C36" s="58">
        <v>53.94</v>
      </c>
    </row>
    <row r="37" spans="1:3">
      <c r="A37" s="58" t="s">
        <v>283</v>
      </c>
    </row>
    <row r="38" spans="1:3">
      <c r="A38" s="58" t="s">
        <v>205</v>
      </c>
      <c r="B38" s="58">
        <v>4</v>
      </c>
      <c r="C38" s="58">
        <v>142.12</v>
      </c>
    </row>
    <row r="39" spans="1:3">
      <c r="A39" s="58" t="s">
        <v>209</v>
      </c>
      <c r="B39" s="58">
        <v>1</v>
      </c>
      <c r="C39" s="58">
        <v>41.12</v>
      </c>
    </row>
    <row r="40" spans="1:3">
      <c r="A40" s="58" t="s">
        <v>211</v>
      </c>
      <c r="B40" s="58">
        <v>2</v>
      </c>
      <c r="C40" s="58">
        <v>57.112000000000002</v>
      </c>
    </row>
    <row r="41" spans="1:3">
      <c r="A41" s="58" t="s">
        <v>213</v>
      </c>
      <c r="B41" s="59">
        <v>1</v>
      </c>
      <c r="C41" s="58">
        <v>1214.355</v>
      </c>
    </row>
    <row r="42" spans="1:3">
      <c r="A42" s="58" t="s">
        <v>216</v>
      </c>
    </row>
    <row r="43" spans="1:3">
      <c r="A43" s="58" t="s">
        <v>219</v>
      </c>
      <c r="B43" s="58">
        <v>2</v>
      </c>
      <c r="C43" s="58">
        <v>91.3</v>
      </c>
    </row>
    <row r="44" spans="1:3">
      <c r="A44" s="58" t="s">
        <v>222</v>
      </c>
      <c r="B44" s="58">
        <v>4</v>
      </c>
      <c r="C44" s="58">
        <v>200</v>
      </c>
    </row>
    <row r="45" spans="1:3">
      <c r="A45" s="58" t="s">
        <v>228</v>
      </c>
      <c r="B45" s="58">
        <v>2</v>
      </c>
      <c r="C45" s="58">
        <v>118.39400000000001</v>
      </c>
    </row>
    <row r="46" spans="1:3">
      <c r="A46" s="58" t="s">
        <v>231</v>
      </c>
      <c r="B46" s="58">
        <v>3</v>
      </c>
      <c r="C46" s="58">
        <v>133.54499999999999</v>
      </c>
    </row>
    <row r="47" spans="1:3">
      <c r="A47" s="58" t="s">
        <v>233</v>
      </c>
      <c r="B47" s="58">
        <v>1</v>
      </c>
      <c r="C47" s="58">
        <v>59.167999999999999</v>
      </c>
    </row>
    <row r="48" spans="1:3">
      <c r="A48" s="58" t="s">
        <v>235</v>
      </c>
      <c r="B48" s="58">
        <v>1</v>
      </c>
      <c r="C48" s="58">
        <v>45.436</v>
      </c>
    </row>
    <row r="49" spans="1:3">
      <c r="A49" s="58" t="s">
        <v>237</v>
      </c>
      <c r="B49" s="58">
        <v>5</v>
      </c>
      <c r="C49" s="58">
        <v>154.95500000000001</v>
      </c>
    </row>
    <row r="50" spans="1:3">
      <c r="A50" s="58" t="s">
        <v>241</v>
      </c>
      <c r="B50" s="60">
        <v>2</v>
      </c>
      <c r="C50" s="58">
        <v>174.86</v>
      </c>
    </row>
    <row r="51" spans="1:3">
      <c r="A51" s="58" t="s">
        <v>327</v>
      </c>
      <c r="B51" s="59">
        <v>1</v>
      </c>
      <c r="C51" s="58">
        <v>673.94</v>
      </c>
    </row>
    <row r="52" spans="1:3">
      <c r="A52" s="58" t="s">
        <v>328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"/>
  <sheetViews>
    <sheetView zoomScaleNormal="100" workbookViewId="0">
      <selection activeCell="B3" sqref="B3"/>
    </sheetView>
  </sheetViews>
  <sheetFormatPr defaultRowHeight="15"/>
  <cols>
    <col min="1" max="1" width="10.5703125"/>
    <col min="2" max="2" width="8.5703125"/>
    <col min="3" max="3" width="6.28515625"/>
    <col min="4" max="4" width="17"/>
    <col min="5" max="5" width="10.42578125"/>
    <col min="6" max="6" width="8.42578125"/>
    <col min="7" max="7" width="21.7109375" style="3"/>
    <col min="8" max="8" width="35.5703125" style="3"/>
    <col min="9" max="1025" width="8.5703125"/>
  </cols>
  <sheetData>
    <row r="1" spans="1:10" s="34" customFormat="1">
      <c r="A1" s="34" t="s">
        <v>12</v>
      </c>
      <c r="B1" s="34" t="s">
        <v>13</v>
      </c>
      <c r="C1" s="34" t="s">
        <v>14</v>
      </c>
      <c r="D1" s="35" t="s">
        <v>293</v>
      </c>
      <c r="E1" s="35" t="s">
        <v>18</v>
      </c>
      <c r="F1" s="34" t="s">
        <v>19</v>
      </c>
      <c r="G1" s="10" t="s">
        <v>294</v>
      </c>
      <c r="H1" s="34" t="s">
        <v>292</v>
      </c>
    </row>
    <row r="2" spans="1:10">
      <c r="A2" t="s">
        <v>71</v>
      </c>
      <c r="B2" t="s">
        <v>283</v>
      </c>
      <c r="C2">
        <v>-1</v>
      </c>
      <c r="D2" s="36">
        <f>E2*1000</f>
        <v>0.60599999999999998</v>
      </c>
      <c r="E2" s="36">
        <v>6.0599999999999998E-4</v>
      </c>
      <c r="G2" s="5" t="s">
        <v>295</v>
      </c>
      <c r="H2"/>
      <c r="I2" s="5"/>
    </row>
    <row r="3" spans="1:10">
      <c r="A3" s="5"/>
      <c r="G3" s="5"/>
      <c r="H3"/>
      <c r="I3" s="5"/>
      <c r="J3" s="5"/>
    </row>
    <row r="4" spans="1:10">
      <c r="A4" t="s">
        <v>97</v>
      </c>
      <c r="B4" t="s">
        <v>283</v>
      </c>
      <c r="C4">
        <v>-1</v>
      </c>
      <c r="D4" s="36">
        <f>E4*1000</f>
        <v>0.443</v>
      </c>
      <c r="E4" s="36">
        <v>4.4299999999999998E-4</v>
      </c>
      <c r="G4" s="5" t="s">
        <v>295</v>
      </c>
      <c r="H4"/>
      <c r="I4" s="5"/>
    </row>
    <row r="5" spans="1:10">
      <c r="A5" s="5"/>
      <c r="G5" s="5"/>
      <c r="H5"/>
      <c r="I5" s="5"/>
      <c r="J5" s="5"/>
    </row>
    <row r="6" spans="1:10">
      <c r="A6" t="s">
        <v>296</v>
      </c>
      <c r="B6" t="s">
        <v>283</v>
      </c>
      <c r="C6">
        <v>1</v>
      </c>
      <c r="G6" s="5"/>
      <c r="H6" s="5" t="s">
        <v>297</v>
      </c>
      <c r="I6" s="5"/>
    </row>
    <row r="7" spans="1:10">
      <c r="A7" t="s">
        <v>49</v>
      </c>
      <c r="B7" t="s">
        <v>283</v>
      </c>
      <c r="C7">
        <v>1</v>
      </c>
      <c r="G7" s="5"/>
      <c r="H7" s="5" t="s">
        <v>297</v>
      </c>
      <c r="I7" s="5"/>
    </row>
    <row r="8" spans="1:10">
      <c r="A8" t="s">
        <v>74</v>
      </c>
      <c r="B8" t="s">
        <v>283</v>
      </c>
      <c r="C8">
        <v>1</v>
      </c>
      <c r="D8" s="36">
        <f>E8*1000</f>
        <v>1.3699999999999999</v>
      </c>
      <c r="E8" s="36">
        <v>1.3699999999999999E-3</v>
      </c>
      <c r="F8" t="s">
        <v>83</v>
      </c>
      <c r="G8" s="5" t="s">
        <v>295</v>
      </c>
      <c r="H8"/>
      <c r="I8" s="5"/>
    </row>
    <row r="9" spans="1:10">
      <c r="A9" t="s">
        <v>63</v>
      </c>
      <c r="B9" t="s">
        <v>283</v>
      </c>
      <c r="C9">
        <v>-1</v>
      </c>
      <c r="D9" s="36">
        <f>E9*1000</f>
        <v>2.6599999999999999E-2</v>
      </c>
      <c r="E9" s="36">
        <v>2.6599999999999999E-5</v>
      </c>
      <c r="F9" t="s">
        <v>83</v>
      </c>
      <c r="G9" s="5" t="s">
        <v>298</v>
      </c>
      <c r="H9" s="5"/>
      <c r="I9" s="5"/>
    </row>
    <row r="10" spans="1:10">
      <c r="A10" t="s">
        <v>24</v>
      </c>
      <c r="B10" t="s">
        <v>283</v>
      </c>
      <c r="C10">
        <v>-1</v>
      </c>
      <c r="D10" s="36">
        <f>E10*1000</f>
        <v>8.75</v>
      </c>
      <c r="E10" s="36">
        <v>8.7500000000000008E-3</v>
      </c>
      <c r="F10" t="s">
        <v>83</v>
      </c>
      <c r="G10" s="5" t="s">
        <v>295</v>
      </c>
      <c r="H10" s="5" t="s">
        <v>299</v>
      </c>
      <c r="I10" s="5"/>
    </row>
    <row r="11" spans="1:10">
      <c r="A11" t="s">
        <v>40</v>
      </c>
      <c r="B11" t="s">
        <v>283</v>
      </c>
      <c r="C11">
        <v>1</v>
      </c>
      <c r="D11" s="36">
        <f>E11*1000</f>
        <v>2.5500000000000003</v>
      </c>
      <c r="E11" s="36">
        <v>2.5500000000000002E-3</v>
      </c>
      <c r="F11" t="s">
        <v>83</v>
      </c>
      <c r="G11" s="5" t="s">
        <v>295</v>
      </c>
      <c r="H11"/>
      <c r="I11" s="5"/>
    </row>
    <row r="12" spans="1:10">
      <c r="A12" t="s">
        <v>42</v>
      </c>
      <c r="B12" t="s">
        <v>283</v>
      </c>
      <c r="C12">
        <v>-1</v>
      </c>
      <c r="D12" s="36">
        <f>E12*1000</f>
        <v>8.3199999999999996E-2</v>
      </c>
      <c r="E12" s="36">
        <v>8.3200000000000003E-5</v>
      </c>
      <c r="F12" t="s">
        <v>83</v>
      </c>
      <c r="G12" s="5" t="s">
        <v>295</v>
      </c>
      <c r="H12"/>
      <c r="I12" s="5"/>
    </row>
    <row r="13" spans="1:10">
      <c r="A13" t="s">
        <v>230</v>
      </c>
      <c r="B13" t="s">
        <v>283</v>
      </c>
      <c r="C13">
        <v>-1</v>
      </c>
      <c r="D13" s="36">
        <v>0.01</v>
      </c>
      <c r="G13" s="5"/>
      <c r="H13" s="5" t="s">
        <v>300</v>
      </c>
      <c r="I13" s="5"/>
    </row>
    <row r="14" spans="1:10">
      <c r="A14" t="s">
        <v>87</v>
      </c>
      <c r="B14" t="s">
        <v>283</v>
      </c>
      <c r="C14">
        <v>-1</v>
      </c>
      <c r="D14" s="36">
        <f>E14</f>
        <v>4.0000000000000001E-3</v>
      </c>
      <c r="E14" s="36">
        <v>4.0000000000000001E-3</v>
      </c>
      <c r="F14" t="s">
        <v>27</v>
      </c>
      <c r="G14" s="5" t="s">
        <v>301</v>
      </c>
      <c r="H14"/>
      <c r="I14" s="5"/>
    </row>
    <row r="15" spans="1:10">
      <c r="A15" t="s">
        <v>30</v>
      </c>
      <c r="B15" t="s">
        <v>283</v>
      </c>
      <c r="C15">
        <v>-1</v>
      </c>
      <c r="D15" s="36">
        <f>E15*1000</f>
        <v>0.184</v>
      </c>
      <c r="E15" s="36">
        <v>1.84E-4</v>
      </c>
      <c r="F15" t="s">
        <v>83</v>
      </c>
      <c r="G15" s="5" t="s">
        <v>295</v>
      </c>
      <c r="H15"/>
      <c r="I15" s="5"/>
    </row>
    <row r="16" spans="1:10">
      <c r="A16" t="s">
        <v>31</v>
      </c>
      <c r="B16" t="s">
        <v>283</v>
      </c>
      <c r="C16">
        <v>-1</v>
      </c>
      <c r="D16" s="36">
        <f>E16</f>
        <v>0.39</v>
      </c>
      <c r="E16" s="36">
        <v>0.39</v>
      </c>
      <c r="F16" t="s">
        <v>27</v>
      </c>
      <c r="G16" s="5"/>
      <c r="H16"/>
      <c r="I16" s="5"/>
    </row>
    <row r="17" spans="1:9">
      <c r="A17" t="s">
        <v>53</v>
      </c>
      <c r="B17" t="s">
        <v>283</v>
      </c>
      <c r="C17">
        <v>-1</v>
      </c>
      <c r="D17" s="36">
        <f>E17*1000</f>
        <v>1.32</v>
      </c>
      <c r="E17" s="36">
        <v>1.32E-3</v>
      </c>
      <c r="F17" t="s">
        <v>83</v>
      </c>
      <c r="G17" s="5" t="s">
        <v>295</v>
      </c>
      <c r="H17" s="5" t="s">
        <v>302</v>
      </c>
      <c r="I17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9"/>
  <sheetViews>
    <sheetView zoomScaleNormal="100" workbookViewId="0">
      <selection activeCell="D11" sqref="D11"/>
    </sheetView>
  </sheetViews>
  <sheetFormatPr defaultRowHeight="15"/>
  <cols>
    <col min="1" max="3" width="9.7109375"/>
    <col min="4" max="4" width="23.85546875"/>
    <col min="5" max="5" width="10.85546875"/>
    <col min="6" max="6" width="13.42578125"/>
    <col min="7" max="7" width="4.7109375"/>
    <col min="8" max="8" width="14.42578125"/>
    <col min="9" max="1025" width="8.5703125"/>
  </cols>
  <sheetData>
    <row r="1" spans="1:10" s="6" customFormat="1">
      <c r="A1" s="61" t="s">
        <v>303</v>
      </c>
      <c r="B1" s="61"/>
      <c r="C1" s="61"/>
      <c r="D1" s="6" t="s">
        <v>304</v>
      </c>
      <c r="E1" s="6" t="s">
        <v>305</v>
      </c>
      <c r="F1" s="37" t="s">
        <v>306</v>
      </c>
      <c r="G1" s="6" t="s">
        <v>307</v>
      </c>
      <c r="H1" s="6" t="s">
        <v>294</v>
      </c>
    </row>
    <row r="2" spans="1:10">
      <c r="A2" t="s">
        <v>117</v>
      </c>
      <c r="B2" t="s">
        <v>115</v>
      </c>
      <c r="D2">
        <f>(F2+F3)*1000</f>
        <v>10.184999999999999</v>
      </c>
      <c r="E2" t="s">
        <v>117</v>
      </c>
      <c r="F2" s="36">
        <v>9.6299999999999997E-3</v>
      </c>
      <c r="G2" t="s">
        <v>83</v>
      </c>
      <c r="H2" t="s">
        <v>295</v>
      </c>
    </row>
    <row r="3" spans="1:10">
      <c r="E3" t="s">
        <v>115</v>
      </c>
      <c r="F3" s="36">
        <v>5.5500000000000005E-4</v>
      </c>
      <c r="G3" t="s">
        <v>83</v>
      </c>
      <c r="H3" t="s">
        <v>295</v>
      </c>
      <c r="J3" s="32"/>
    </row>
    <row r="4" spans="1:10">
      <c r="E4" t="s">
        <v>308</v>
      </c>
      <c r="F4" s="36">
        <v>2.81E-4</v>
      </c>
      <c r="G4" t="s">
        <v>83</v>
      </c>
      <c r="H4" t="s">
        <v>295</v>
      </c>
      <c r="J4" s="32"/>
    </row>
    <row r="5" spans="1:10">
      <c r="A5" t="s">
        <v>40</v>
      </c>
      <c r="B5" t="s">
        <v>42</v>
      </c>
      <c r="D5">
        <f>(F5+F6)*1000</f>
        <v>2.6332</v>
      </c>
      <c r="E5" t="s">
        <v>40</v>
      </c>
      <c r="F5" s="36">
        <v>2.5500000000000002E-3</v>
      </c>
      <c r="G5" t="s">
        <v>83</v>
      </c>
      <c r="H5" t="s">
        <v>295</v>
      </c>
    </row>
    <row r="6" spans="1:10">
      <c r="E6" t="s">
        <v>42</v>
      </c>
      <c r="F6" s="36">
        <v>8.3200000000000003E-5</v>
      </c>
      <c r="G6" t="s">
        <v>83</v>
      </c>
      <c r="H6" t="s">
        <v>295</v>
      </c>
    </row>
    <row r="7" spans="1:10">
      <c r="A7" t="s">
        <v>74</v>
      </c>
      <c r="B7" t="s">
        <v>114</v>
      </c>
      <c r="C7" t="s">
        <v>71</v>
      </c>
      <c r="D7">
        <f>(F7+F8+F9)*1000</f>
        <v>2.2090000000000001</v>
      </c>
      <c r="E7" t="s">
        <v>74</v>
      </c>
      <c r="F7" s="36">
        <f>0.00137</f>
        <v>1.3699999999999999E-3</v>
      </c>
      <c r="G7" t="s">
        <v>83</v>
      </c>
      <c r="H7" t="s">
        <v>295</v>
      </c>
    </row>
    <row r="8" spans="1:10">
      <c r="E8" t="s">
        <v>114</v>
      </c>
      <c r="F8" s="36">
        <v>2.33E-4</v>
      </c>
      <c r="G8" t="s">
        <v>83</v>
      </c>
      <c r="H8" t="s">
        <v>295</v>
      </c>
    </row>
    <row r="9" spans="1:10">
      <c r="E9" t="s">
        <v>71</v>
      </c>
      <c r="F9" s="36">
        <v>6.0599999999999998E-4</v>
      </c>
      <c r="G9" t="s">
        <v>83</v>
      </c>
      <c r="H9" t="s">
        <v>295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Affinities (K_M)</vt:lpstr>
      <vt:lpstr>Turnover numbers (k_cat)</vt:lpstr>
      <vt:lpstr>Turnover numbers reverse</vt:lpstr>
      <vt:lpstr>Equilibrium constants (K_eq)</vt:lpstr>
      <vt:lpstr>Weights</vt:lpstr>
      <vt:lpstr>Biomass reaction</vt:lpstr>
      <vt:lpstr>Conserved moieties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Meike</cp:lastModifiedBy>
  <cp:revision>3</cp:revision>
  <dcterms:created xsi:type="dcterms:W3CDTF">2006-09-16T00:00:00Z</dcterms:created>
  <dcterms:modified xsi:type="dcterms:W3CDTF">2016-10-25T08:40:01Z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