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3320" yWindow="0" windowWidth="33620" windowHeight="17880" tabRatio="711" activeTab="1"/>
  </bookViews>
  <sheets>
    <sheet name="studyNameList" sheetId="1" r:id="rId1"/>
    <sheet name="studySubList" sheetId="2" r:id="rId2"/>
    <sheet name="siteList" sheetId="3" r:id="rId3"/>
    <sheet name="pivotTable" sheetId="6" r:id="rId4"/>
    <sheet name="calculations" sheetId="5" r:id="rId5"/>
    <sheet name="Table S1" sheetId="7" r:id="rId6"/>
    <sheet name="studyNameList metadata" sheetId="8" r:id="rId7"/>
  </sheets>
  <calcPr calcId="140001" concurrentCalc="0"/>
  <pivotCaches>
    <pivotCache cacheId="9" r:id="rId8"/>
    <pivotCache cacheId="10" r:id="rId9"/>
    <pivotCache cacheId="1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79" i="2" l="1"/>
  <c r="AA79" i="2"/>
  <c r="AE79" i="2"/>
  <c r="AJ79" i="2"/>
  <c r="AI79" i="2"/>
  <c r="AQ78" i="2"/>
  <c r="AE78" i="2"/>
  <c r="AQ77" i="2"/>
  <c r="AA77" i="2"/>
  <c r="AE77" i="2"/>
  <c r="AQ76" i="2"/>
  <c r="AE76" i="2"/>
  <c r="R66" i="3"/>
  <c r="R74" i="3"/>
  <c r="AE9" i="2"/>
  <c r="AJ9" i="2"/>
  <c r="AE8" i="2"/>
  <c r="AJ8" i="2"/>
  <c r="W153" i="3"/>
  <c r="W152" i="3"/>
  <c r="W151" i="3"/>
  <c r="W149" i="3"/>
  <c r="W148" i="3"/>
  <c r="W147" i="3"/>
  <c r="W146" i="3"/>
  <c r="W145" i="3"/>
  <c r="AJ71" i="2"/>
  <c r="AI69" i="2"/>
  <c r="AA21" i="2"/>
  <c r="AE21" i="2"/>
  <c r="AJ21" i="2"/>
  <c r="AA20" i="2"/>
  <c r="AJ20" i="2"/>
  <c r="AA28" i="2"/>
  <c r="AJ28" i="2"/>
  <c r="AI66" i="2"/>
  <c r="AJ68" i="2"/>
  <c r="AJ4" i="2"/>
  <c r="AA3" i="2"/>
  <c r="AE3" i="2"/>
  <c r="AJ3" i="2"/>
  <c r="AO3" i="2"/>
  <c r="V10" i="3"/>
  <c r="V9" i="3"/>
  <c r="V8" i="3"/>
  <c r="AE33" i="2"/>
  <c r="AR12" i="2"/>
  <c r="AR3" i="2"/>
  <c r="T179" i="3"/>
  <c r="T180" i="3"/>
  <c r="T181" i="3"/>
  <c r="T182" i="3"/>
  <c r="T177" i="3"/>
  <c r="T178" i="3"/>
  <c r="T175" i="3"/>
  <c r="T176" i="3"/>
  <c r="T133" i="3"/>
  <c r="T132" i="3"/>
  <c r="T61" i="3"/>
  <c r="T60" i="3"/>
  <c r="T37" i="3"/>
  <c r="T36" i="3"/>
  <c r="T29" i="3"/>
  <c r="T7" i="3"/>
  <c r="T6" i="3"/>
  <c r="T5" i="3"/>
  <c r="T4" i="3"/>
  <c r="T3" i="3"/>
  <c r="T2" i="3"/>
  <c r="T190" i="3"/>
  <c r="T189" i="3"/>
  <c r="T188" i="3"/>
  <c r="T187" i="3"/>
  <c r="T186" i="3"/>
  <c r="T185" i="3"/>
  <c r="T184" i="3"/>
  <c r="T183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89" i="3"/>
  <c r="R169" i="3"/>
  <c r="R172" i="3"/>
  <c r="R168" i="3"/>
  <c r="R170" i="3"/>
  <c r="R171" i="3"/>
  <c r="AE75" i="2"/>
  <c r="G63" i="1"/>
  <c r="R38" i="3"/>
  <c r="AR74" i="2"/>
  <c r="AJ74" i="2"/>
  <c r="AE74" i="2"/>
  <c r="AR73" i="2"/>
  <c r="AJ73" i="2"/>
  <c r="AE73" i="2"/>
  <c r="AJ72" i="2"/>
  <c r="AE72" i="2"/>
  <c r="AR72" i="2"/>
  <c r="G62" i="1"/>
  <c r="G61" i="1"/>
  <c r="R33" i="3"/>
  <c r="R34" i="3"/>
  <c r="R35" i="3"/>
  <c r="AQ70" i="2"/>
  <c r="AE70" i="2"/>
  <c r="R134" i="3"/>
  <c r="R136" i="3"/>
  <c r="R135" i="3"/>
  <c r="R137" i="3"/>
  <c r="R139" i="3"/>
  <c r="G60" i="1"/>
  <c r="R131" i="3"/>
  <c r="AQ69" i="2"/>
  <c r="AN69" i="2"/>
  <c r="AE69" i="2"/>
  <c r="AE63" i="2"/>
  <c r="G59" i="1"/>
  <c r="R63" i="3"/>
  <c r="R138" i="3"/>
  <c r="AQ68" i="2"/>
  <c r="G58" i="1"/>
  <c r="R62" i="3"/>
  <c r="AQ67" i="2"/>
  <c r="AO56" i="2"/>
  <c r="AA67" i="2"/>
  <c r="AE67" i="2"/>
  <c r="G57" i="1"/>
  <c r="R28" i="3"/>
  <c r="R27" i="3"/>
  <c r="R26" i="3"/>
  <c r="AQ66" i="2"/>
  <c r="G56" i="1"/>
  <c r="R22" i="3"/>
  <c r="R21" i="3"/>
  <c r="R24" i="3"/>
  <c r="R23" i="3"/>
  <c r="AQ65" i="2"/>
  <c r="AE65" i="2"/>
  <c r="G55" i="1"/>
  <c r="R15" i="3"/>
  <c r="AQ64" i="2"/>
  <c r="AC64" i="2"/>
  <c r="AE64" i="2"/>
  <c r="G54" i="1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2" i="2"/>
  <c r="R160" i="3"/>
  <c r="R161" i="3"/>
  <c r="R162" i="3"/>
  <c r="R163" i="3"/>
  <c r="R164" i="3"/>
  <c r="AJ63" i="2"/>
  <c r="AI63" i="2"/>
  <c r="G53" i="1"/>
  <c r="R87" i="3"/>
  <c r="R88" i="3"/>
  <c r="R53" i="3"/>
  <c r="G2" i="1"/>
  <c r="G12" i="1"/>
  <c r="G3" i="1"/>
  <c r="G46" i="1"/>
  <c r="G47" i="1"/>
  <c r="G48" i="1"/>
  <c r="G13" i="1"/>
  <c r="G4" i="1"/>
  <c r="G5" i="1"/>
  <c r="G49" i="1"/>
  <c r="G50" i="1"/>
  <c r="G51" i="1"/>
  <c r="G52" i="1"/>
  <c r="G6" i="1"/>
  <c r="G7" i="1"/>
  <c r="G8" i="1"/>
  <c r="G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0" i="1"/>
  <c r="G44" i="1"/>
  <c r="G45" i="1"/>
  <c r="G11" i="1"/>
  <c r="AE22" i="2"/>
  <c r="AN8" i="2"/>
  <c r="AO8" i="2"/>
  <c r="AN10" i="2"/>
  <c r="AA30" i="2"/>
  <c r="AN30" i="2"/>
  <c r="E3" i="5"/>
  <c r="E4" i="5"/>
  <c r="E2" i="5"/>
  <c r="AO57" i="2"/>
  <c r="AO58" i="2"/>
  <c r="AO59" i="2"/>
  <c r="AO55" i="2"/>
  <c r="AO39" i="2"/>
  <c r="AN53" i="2"/>
  <c r="AN52" i="2"/>
  <c r="AA40" i="2"/>
  <c r="AN40" i="2"/>
  <c r="AI40" i="2"/>
  <c r="AE40" i="2"/>
  <c r="AJ38" i="2"/>
  <c r="AO38" i="2"/>
  <c r="AN36" i="2"/>
  <c r="AO35" i="2"/>
  <c r="AN35" i="2"/>
  <c r="AN33" i="2"/>
  <c r="AO29" i="2"/>
  <c r="AO28" i="2"/>
  <c r="AA26" i="2"/>
  <c r="AE26" i="2"/>
  <c r="AJ26" i="2"/>
  <c r="AO26" i="2"/>
  <c r="AJ27" i="2"/>
  <c r="AO27" i="2"/>
  <c r="AI25" i="2"/>
  <c r="AO25" i="2"/>
  <c r="AN25" i="2"/>
  <c r="AJ25" i="2"/>
  <c r="AO10" i="2"/>
  <c r="AA12" i="2"/>
  <c r="AE12" i="2"/>
  <c r="AJ12" i="2"/>
  <c r="AO12" i="2"/>
  <c r="AE7" i="2"/>
  <c r="AJ7" i="2"/>
  <c r="R9" i="3"/>
  <c r="R10" i="3"/>
  <c r="R14" i="3"/>
  <c r="R16" i="3"/>
  <c r="R17" i="3"/>
  <c r="R18" i="3"/>
  <c r="R19" i="3"/>
  <c r="R20" i="3"/>
  <c r="R25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67" i="3"/>
  <c r="R68" i="3"/>
  <c r="R69" i="3"/>
  <c r="R70" i="3"/>
  <c r="R71" i="3"/>
  <c r="R72" i="3"/>
  <c r="R73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83" i="3"/>
  <c r="R184" i="3"/>
  <c r="R185" i="3"/>
  <c r="R186" i="3"/>
  <c r="R187" i="3"/>
  <c r="R188" i="3"/>
  <c r="R189" i="3"/>
  <c r="R190" i="3"/>
  <c r="R2" i="3"/>
  <c r="R3" i="3"/>
  <c r="R4" i="3"/>
  <c r="R5" i="3"/>
  <c r="R6" i="3"/>
  <c r="R7" i="3"/>
  <c r="R29" i="3"/>
  <c r="R36" i="3"/>
  <c r="R37" i="3"/>
  <c r="R52" i="3"/>
  <c r="R54" i="3"/>
  <c r="R56" i="3"/>
  <c r="R59" i="3"/>
  <c r="R55" i="3"/>
  <c r="R57" i="3"/>
  <c r="R58" i="3"/>
  <c r="R60" i="3"/>
  <c r="R61" i="3"/>
  <c r="R64" i="3"/>
  <c r="R65" i="3"/>
  <c r="R75" i="3"/>
  <c r="R76" i="3"/>
  <c r="R77" i="3"/>
  <c r="R78" i="3"/>
  <c r="R79" i="3"/>
  <c r="R80" i="3"/>
  <c r="R81" i="3"/>
  <c r="R82" i="3"/>
  <c r="R83" i="3"/>
  <c r="R84" i="3"/>
  <c r="R85" i="3"/>
  <c r="R123" i="3"/>
  <c r="R122" i="3"/>
  <c r="R124" i="3"/>
  <c r="R125" i="3"/>
  <c r="R126" i="3"/>
  <c r="R127" i="3"/>
  <c r="R128" i="3"/>
  <c r="R129" i="3"/>
  <c r="R130" i="3"/>
  <c r="R132" i="3"/>
  <c r="R133" i="3"/>
  <c r="R140" i="3"/>
  <c r="R141" i="3"/>
  <c r="R142" i="3"/>
  <c r="R143" i="3"/>
  <c r="R144" i="3"/>
  <c r="R165" i="3"/>
  <c r="R166" i="3"/>
  <c r="R167" i="3"/>
  <c r="R173" i="3"/>
  <c r="R174" i="3"/>
  <c r="R176" i="3"/>
  <c r="R175" i="3"/>
  <c r="R178" i="3"/>
  <c r="R177" i="3"/>
  <c r="R182" i="3"/>
  <c r="R181" i="3"/>
  <c r="R180" i="3"/>
  <c r="R179" i="3"/>
  <c r="R191" i="3"/>
  <c r="R192" i="3"/>
  <c r="R193" i="3"/>
  <c r="R194" i="3"/>
  <c r="R195" i="3"/>
  <c r="R197" i="3"/>
  <c r="R198" i="3"/>
  <c r="R196" i="3"/>
  <c r="R202" i="3"/>
  <c r="R86" i="3"/>
  <c r="R13" i="3"/>
  <c r="R11" i="3"/>
  <c r="R12" i="3"/>
  <c r="R199" i="3"/>
  <c r="R200" i="3"/>
  <c r="R201" i="3"/>
  <c r="R32" i="3"/>
  <c r="R31" i="3"/>
  <c r="R30" i="3"/>
  <c r="R8" i="3"/>
  <c r="AI20" i="2"/>
  <c r="AE20" i="2"/>
  <c r="AE58" i="2"/>
  <c r="AE57" i="2"/>
  <c r="AE43" i="2"/>
  <c r="AJ16" i="2"/>
  <c r="AE16" i="2"/>
  <c r="AA16" i="2"/>
  <c r="AA15" i="2"/>
  <c r="AE15" i="2"/>
  <c r="AE10" i="2"/>
  <c r="AE6" i="2"/>
  <c r="AE62" i="2"/>
  <c r="AE61" i="2"/>
  <c r="AE59" i="2"/>
  <c r="AE56" i="2"/>
  <c r="AA55" i="2"/>
  <c r="AE55" i="2"/>
  <c r="AR55" i="2"/>
  <c r="AJ54" i="2"/>
  <c r="AE54" i="2"/>
  <c r="AE53" i="2"/>
  <c r="AE52" i="2"/>
  <c r="AE51" i="2"/>
  <c r="AA51" i="2"/>
  <c r="AJ51" i="2"/>
  <c r="AE50" i="2"/>
  <c r="AI49" i="2"/>
  <c r="AE49" i="2"/>
  <c r="AA48" i="2"/>
  <c r="AE48" i="2"/>
  <c r="AE47" i="2"/>
  <c r="AI47" i="2"/>
  <c r="AE46" i="2"/>
  <c r="AI46" i="2"/>
  <c r="AE45" i="2"/>
  <c r="AI45" i="2"/>
  <c r="AE44" i="2"/>
  <c r="AI44" i="2"/>
  <c r="AE42" i="2"/>
  <c r="AE39" i="2"/>
  <c r="AE38" i="2"/>
  <c r="AE37" i="2"/>
  <c r="AE36" i="2"/>
  <c r="AE35" i="2"/>
  <c r="AE34" i="2"/>
  <c r="AF33" i="2"/>
  <c r="AF32" i="2"/>
  <c r="AA32" i="2"/>
  <c r="AE32" i="2"/>
  <c r="AE31" i="2"/>
  <c r="AE30" i="2"/>
  <c r="AI30" i="2"/>
  <c r="AE29" i="2"/>
  <c r="AE28" i="2"/>
  <c r="AI14" i="2"/>
  <c r="AE25" i="2"/>
  <c r="AE24" i="2"/>
  <c r="AE23" i="2"/>
  <c r="AJ23" i="2"/>
  <c r="AE19" i="2"/>
  <c r="AE18" i="2"/>
  <c r="AI15" i="2"/>
  <c r="AA14" i="2"/>
  <c r="AA13" i="2"/>
  <c r="AJ13" i="2"/>
  <c r="AE14" i="2"/>
  <c r="AE13" i="2"/>
  <c r="AE11" i="2"/>
  <c r="AJ11" i="2"/>
  <c r="AI5" i="2"/>
  <c r="AA62" i="2"/>
  <c r="AA54" i="2"/>
</calcChain>
</file>

<file path=xl/sharedStrings.xml><?xml version="1.0" encoding="utf-8"?>
<sst xmlns="http://schemas.openxmlformats.org/spreadsheetml/2006/main" count="5988" uniqueCount="825">
  <si>
    <t>studyName</t>
  </si>
  <si>
    <t>Bebars</t>
  </si>
  <si>
    <t>Beukema</t>
  </si>
  <si>
    <t>Birkeland</t>
  </si>
  <si>
    <t>Elahi</t>
  </si>
  <si>
    <t>Frid2009</t>
  </si>
  <si>
    <t>Goodwin</t>
  </si>
  <si>
    <t>IMOS</t>
  </si>
  <si>
    <t>KFMP</t>
  </si>
  <si>
    <t>SBC</t>
  </si>
  <si>
    <t>SeaBrook</t>
  </si>
  <si>
    <t>Collector</t>
  </si>
  <si>
    <t>coral</t>
  </si>
  <si>
    <t>plant</t>
  </si>
  <si>
    <t>algae</t>
  </si>
  <si>
    <t>fish</t>
  </si>
  <si>
    <t>inverts</t>
  </si>
  <si>
    <t>Lat</t>
  </si>
  <si>
    <t>Long</t>
  </si>
  <si>
    <t>Loc</t>
  </si>
  <si>
    <t>Notes</t>
  </si>
  <si>
    <t>Vis</t>
  </si>
  <si>
    <t>Trwl</t>
  </si>
  <si>
    <t>Line</t>
  </si>
  <si>
    <t>Drdg</t>
  </si>
  <si>
    <t>Trp</t>
  </si>
  <si>
    <t>Source</t>
  </si>
  <si>
    <t>PltSz</t>
  </si>
  <si>
    <t>Bebars.etal.1997</t>
  </si>
  <si>
    <t>Oceanologica Acta 20:421-436</t>
  </si>
  <si>
    <t>Table 2</t>
  </si>
  <si>
    <t>RE</t>
  </si>
  <si>
    <t>DataThief</t>
  </si>
  <si>
    <t>No</t>
  </si>
  <si>
    <t>Figure 4.23</t>
  </si>
  <si>
    <t>Yes</t>
  </si>
  <si>
    <t>Waddell.2005</t>
  </si>
  <si>
    <t>NOAA Technical Memorandum NOS NCCOS 11</t>
  </si>
  <si>
    <t>Personal communication</t>
  </si>
  <si>
    <t>https://sbc.lternet.edu</t>
  </si>
  <si>
    <t>Beukema.Dekker.2011</t>
  </si>
  <si>
    <t>Helgoland Marine Research 65:155-164</t>
  </si>
  <si>
    <t>Figure 1b</t>
  </si>
  <si>
    <t>NA</t>
  </si>
  <si>
    <t>Nile Delta, Egypt</t>
  </si>
  <si>
    <t>Invasion</t>
  </si>
  <si>
    <t>St. John, US Virgin Islands</t>
  </si>
  <si>
    <t>San Juan Island, Washington, United States</t>
  </si>
  <si>
    <t>Balgzand, Wadden Sea, The Netherlands</t>
  </si>
  <si>
    <t>Lameshur Bay, St. John, US Virgin Islands</t>
  </si>
  <si>
    <t>San Juan Islands, Washington, United States</t>
  </si>
  <si>
    <t>Frid.etal.2009</t>
  </si>
  <si>
    <t>Journal of Marine Systems 77: 227-236</t>
  </si>
  <si>
    <t>Central western North Sea</t>
  </si>
  <si>
    <t>Figure 9.29</t>
  </si>
  <si>
    <t>Hanalei Bay, Kauai, Hawaii, United States</t>
  </si>
  <si>
    <t>Friedlander.Beets.2008</t>
  </si>
  <si>
    <t>NOAA Technical Memorandum NOS NCCOS 70</t>
  </si>
  <si>
    <t>Goodwin Islands National Estuarine Research Reserve, Chesapeake Bay, Virigina, United States</t>
  </si>
  <si>
    <t>MIO</t>
  </si>
  <si>
    <t>https://imos.aodn.org.au</t>
  </si>
  <si>
    <t>Figure 5</t>
  </si>
  <si>
    <t>Seabrook, New Hampshire, United States</t>
  </si>
  <si>
    <t>Santa Barbara, California, United States</t>
  </si>
  <si>
    <t>NIOZ Report 2009-5</t>
  </si>
  <si>
    <t>North Sea, The Netherlands</t>
  </si>
  <si>
    <t>Edmunds</t>
  </si>
  <si>
    <t>IMOS National Reference Station Network</t>
  </si>
  <si>
    <t>Kushner.etal.2013</t>
  </si>
  <si>
    <t>Ecology 94:2655</t>
  </si>
  <si>
    <t>Channel Islands, California, United States</t>
  </si>
  <si>
    <t>Australia (9 stations spanning the coast)</t>
  </si>
  <si>
    <t>Figure 2</t>
  </si>
  <si>
    <t>Aqua Report 4 2014</t>
  </si>
  <si>
    <t>Figure 17</t>
  </si>
  <si>
    <t>Figure 10</t>
  </si>
  <si>
    <t>SW Baltic Sea</t>
  </si>
  <si>
    <t>Kattegatt, North Sea</t>
  </si>
  <si>
    <t>zooplankton</t>
  </si>
  <si>
    <t>Sys</t>
  </si>
  <si>
    <t>coral reef</t>
  </si>
  <si>
    <t>intertidal mudflat</t>
  </si>
  <si>
    <t>seagrass</t>
  </si>
  <si>
    <t>pelagic</t>
  </si>
  <si>
    <t>soft bottom subtidal</t>
  </si>
  <si>
    <t>hard bottom subtidal</t>
  </si>
  <si>
    <t>BeetsFried03</t>
  </si>
  <si>
    <t>FriedHawaii</t>
  </si>
  <si>
    <t>SwedMacro</t>
  </si>
  <si>
    <t>SwedFishTrap</t>
  </si>
  <si>
    <t>SwedFishTrawl</t>
  </si>
  <si>
    <t>Daan.Mulder.2009</t>
  </si>
  <si>
    <t>studySub</t>
  </si>
  <si>
    <t>Elahi_Qmob</t>
  </si>
  <si>
    <t>Elahi_Qsess</t>
  </si>
  <si>
    <t>Elahi_Tmob</t>
  </si>
  <si>
    <t>FriedBeets08</t>
  </si>
  <si>
    <t>Good_epif</t>
  </si>
  <si>
    <t>Good_pred</t>
  </si>
  <si>
    <t>SBCfish</t>
  </si>
  <si>
    <t>SeaAlgae</t>
  </si>
  <si>
    <t>SeaFauna</t>
  </si>
  <si>
    <t>μm</t>
  </si>
  <si>
    <t>site</t>
  </si>
  <si>
    <t>ABUR</t>
  </si>
  <si>
    <t>AHND</t>
  </si>
  <si>
    <t>AQUE</t>
  </si>
  <si>
    <t>B17_sha</t>
  </si>
  <si>
    <t>B19_mid</t>
  </si>
  <si>
    <t>B31_mid</t>
  </si>
  <si>
    <t>B35_sha</t>
  </si>
  <si>
    <t>BULL</t>
  </si>
  <si>
    <t>Cabritte</t>
  </si>
  <si>
    <t>CARP</t>
  </si>
  <si>
    <t>coastal</t>
  </si>
  <si>
    <t>Dogger Bank</t>
  </si>
  <si>
    <t>EastTektite</t>
  </si>
  <si>
    <t>Edkou</t>
  </si>
  <si>
    <t>Esperance</t>
  </si>
  <si>
    <t>Europa</t>
  </si>
  <si>
    <t>FourSites</t>
  </si>
  <si>
    <t>GOLB</t>
  </si>
  <si>
    <t>HanaleiBay</t>
  </si>
  <si>
    <t>IVEE</t>
  </si>
  <si>
    <t>Kangaroo Island</t>
  </si>
  <si>
    <t>KFMP1</t>
  </si>
  <si>
    <t>KFMP10</t>
  </si>
  <si>
    <t>KFMP11</t>
  </si>
  <si>
    <t>KFMP12</t>
  </si>
  <si>
    <t>KFMP13</t>
  </si>
  <si>
    <t>KFMP14</t>
  </si>
  <si>
    <t>KFMP15</t>
  </si>
  <si>
    <t>KFMP16</t>
  </si>
  <si>
    <t>KFMP2</t>
  </si>
  <si>
    <t>KFMP21</t>
  </si>
  <si>
    <t>KFMP22</t>
  </si>
  <si>
    <t>KFMP23</t>
  </si>
  <si>
    <t>KFMP24</t>
  </si>
  <si>
    <t>KFMP25</t>
  </si>
  <si>
    <t>KFMP26</t>
  </si>
  <si>
    <t>KFMP27</t>
  </si>
  <si>
    <t>KFMP28</t>
  </si>
  <si>
    <t>KFMP29</t>
  </si>
  <si>
    <t>KFMP3</t>
  </si>
  <si>
    <t>KFMP30</t>
  </si>
  <si>
    <t>KFMP31</t>
  </si>
  <si>
    <t>KFMP32</t>
  </si>
  <si>
    <t>KFMP33</t>
  </si>
  <si>
    <t>KFMP34</t>
  </si>
  <si>
    <t>KFMP35</t>
  </si>
  <si>
    <t>KFMP36</t>
  </si>
  <si>
    <t>KFMP37</t>
  </si>
  <si>
    <t>KFMP4</t>
  </si>
  <si>
    <t>KFMP5</t>
  </si>
  <si>
    <t>KFMP6</t>
  </si>
  <si>
    <t>KFMP7</t>
  </si>
  <si>
    <t>KFMP8</t>
  </si>
  <si>
    <t>KFMP9</t>
  </si>
  <si>
    <t>Kvado_deep</t>
  </si>
  <si>
    <t>Kvado_shall</t>
  </si>
  <si>
    <t>M1</t>
  </si>
  <si>
    <t>Manzalah</t>
  </si>
  <si>
    <t>Maria Island</t>
  </si>
  <si>
    <t>MBL</t>
  </si>
  <si>
    <t>MOHK</t>
  </si>
  <si>
    <t>NAPL</t>
  </si>
  <si>
    <t>NeptunesTable</t>
  </si>
  <si>
    <t>Nile</t>
  </si>
  <si>
    <t>North Stradbroke</t>
  </si>
  <si>
    <t>offshore</t>
  </si>
  <si>
    <t>ON</t>
  </si>
  <si>
    <t>Oyster grounds</t>
  </si>
  <si>
    <t>PG</t>
  </si>
  <si>
    <t>Port Hacking</t>
  </si>
  <si>
    <t>recipient</t>
  </si>
  <si>
    <t>referens</t>
  </si>
  <si>
    <t>Rottnest Island</t>
  </si>
  <si>
    <t>SC</t>
  </si>
  <si>
    <t>SCDI</t>
  </si>
  <si>
    <t>SCTW</t>
  </si>
  <si>
    <t>Simp_deep</t>
  </si>
  <si>
    <t>Simp_shall</t>
  </si>
  <si>
    <t>Usto</t>
  </si>
  <si>
    <t>Varo</t>
  </si>
  <si>
    <t>Wadden15</t>
  </si>
  <si>
    <t>WestLittleLameshur</t>
  </si>
  <si>
    <t>WhitePoint</t>
  </si>
  <si>
    <t>Yawzi</t>
  </si>
  <si>
    <t>Yongala</t>
  </si>
  <si>
    <t>Event</t>
  </si>
  <si>
    <t>EventPred</t>
  </si>
  <si>
    <t>yes</t>
  </si>
  <si>
    <t>negative</t>
  </si>
  <si>
    <t>neutral</t>
  </si>
  <si>
    <t>no</t>
  </si>
  <si>
    <t>San Miguel Island</t>
  </si>
  <si>
    <t>Santa Cruz Island</t>
  </si>
  <si>
    <t>Anacapa Island</t>
  </si>
  <si>
    <t>MPA</t>
  </si>
  <si>
    <t>positive</t>
  </si>
  <si>
    <t>Santa Barbara Island</t>
  </si>
  <si>
    <t>Santa Rosa Island</t>
  </si>
  <si>
    <t>notes</t>
  </si>
  <si>
    <t>EventDate1</t>
  </si>
  <si>
    <t>EventDate2</t>
  </si>
  <si>
    <t>Driver</t>
  </si>
  <si>
    <t>NuclearPlant</t>
  </si>
  <si>
    <t>orig.order</t>
  </si>
  <si>
    <t>Four USVI sites: Yawzi Point, Tektite, Newfound Bay West, Haulover Bay West</t>
  </si>
  <si>
    <t>Methods</t>
  </si>
  <si>
    <t>Fisheries landings</t>
  </si>
  <si>
    <t>km</t>
  </si>
  <si>
    <t>Most (12) sites were 1-km long transects where 50 bottom samples of nearly 20dm2 each were taken at distance intervals of 20m, together 0.95m2 per site</t>
  </si>
  <si>
    <t>PltN</t>
  </si>
  <si>
    <t>SiteN</t>
  </si>
  <si>
    <t>S is the average site-scale richness for 15 sites at each time point</t>
  </si>
  <si>
    <t>m2</t>
  </si>
  <si>
    <t>4 photoquadrats per time point</t>
  </si>
  <si>
    <t>mixed</t>
  </si>
  <si>
    <t>At one site (M1), 5 van Veen grabs from 1978 - 2005; 72-78 data were not used because &gt; 5 samples were taken</t>
  </si>
  <si>
    <t>Stationary visual census technique;  all fish species observed within a 7.5m radius cylinder for 5 minutes</t>
  </si>
  <si>
    <t>m3</t>
  </si>
  <si>
    <t>22 belt transects (25 x 5m) throughout Hanalei Bay</t>
  </si>
  <si>
    <t>Two 50m transects, with 5 sampling spots along each transect; Cores were 12cm diameter by 50cm long</t>
  </si>
  <si>
    <t>Two 50m transects, with 5 sampling spots along each transect; 52 cm wide dip net swept along 5m</t>
  </si>
  <si>
    <t>going from cm3 to m3 is factor of 10^4</t>
  </si>
  <si>
    <t>doing from dm3 to m3 is a factor of 10^2</t>
  </si>
  <si>
    <t>Douglass.etal.2010</t>
  </si>
  <si>
    <t>Edmunds.2013</t>
  </si>
  <si>
    <t>Elahi.etal.2013</t>
  </si>
  <si>
    <t>SppList</t>
  </si>
  <si>
    <t>Closed</t>
  </si>
  <si>
    <t>Open</t>
  </si>
  <si>
    <t>Roving diver fish counts (RDFC); One permanent 100m transect per site (10 m on both sides), over 30 minutes</t>
  </si>
  <si>
    <t>Drop net with 60cm diameter mesh, weighted to fall at 1m/s; pulls closed at end of fall so only samples on the way down</t>
  </si>
  <si>
    <t>Generic richness, thus less likely to be affected by improvements in taxonomy</t>
  </si>
  <si>
    <t>40m long x 2 m wide transects</t>
  </si>
  <si>
    <t>2--8</t>
  </si>
  <si>
    <t>m</t>
  </si>
  <si>
    <t>Reed</t>
  </si>
  <si>
    <t>5 randomly selected quadrats were scraped of all macroalgae and associated macrofauna</t>
  </si>
  <si>
    <t>Seabrook Operational Report, 2011</t>
  </si>
  <si>
    <t>PressPulse</t>
  </si>
  <si>
    <t>Pulse</t>
  </si>
  <si>
    <t>Press</t>
  </si>
  <si>
    <t>Prediction</t>
  </si>
  <si>
    <t>None</t>
  </si>
  <si>
    <t>http://www.sodra.com/en/Sustainability/</t>
  </si>
  <si>
    <t>PulpMill</t>
  </si>
  <si>
    <t>Climate</t>
  </si>
  <si>
    <t>Trophic</t>
  </si>
  <si>
    <t>Taxon</t>
  </si>
  <si>
    <t>Figure 2e</t>
  </si>
  <si>
    <t>PK</t>
  </si>
  <si>
    <t>marine.mammals</t>
  </si>
  <si>
    <t>phytoplankton</t>
  </si>
  <si>
    <t>mesh.size</t>
  </si>
  <si>
    <t>mesh.size.units</t>
  </si>
  <si>
    <t>mobile.inverts</t>
  </si>
  <si>
    <t>sessile.inverts</t>
  </si>
  <si>
    <t>Barrett</t>
  </si>
  <si>
    <t>Barrett.etal.2007</t>
  </si>
  <si>
    <t>JEMBE 345:141-157</t>
  </si>
  <si>
    <t>Figure 5, 9, 12</t>
  </si>
  <si>
    <t>ARW</t>
  </si>
  <si>
    <t>Tasman Sea</t>
  </si>
  <si>
    <t>At each site, 4 x 500m2 transects; multiple sites within and outside of reserves at each geographic location (here called sites)</t>
  </si>
  <si>
    <t>Gov_fished</t>
  </si>
  <si>
    <t>Gov_mpa</t>
  </si>
  <si>
    <t>Maria_fished</t>
  </si>
  <si>
    <t>Maria_mpa</t>
  </si>
  <si>
    <t>Tinder_fished</t>
  </si>
  <si>
    <t>Tinder_mpa</t>
  </si>
  <si>
    <t>Carballo</t>
  </si>
  <si>
    <t>Carballo.etal.2008</t>
  </si>
  <si>
    <t>Marine Ecology 29: 216-236</t>
  </si>
  <si>
    <t>Mazatlan Bay, Mexico</t>
  </si>
  <si>
    <t>sponges</t>
  </si>
  <si>
    <t>Venados</t>
  </si>
  <si>
    <t>Dittmann</t>
  </si>
  <si>
    <t>Dittmann.1998</t>
  </si>
  <si>
    <t>Hydrobiologia 383: 41-47</t>
  </si>
  <si>
    <t>Table 3</t>
  </si>
  <si>
    <t>Hinchinbrook Channel, Queensland, Australia</t>
  </si>
  <si>
    <t>flatworms</t>
  </si>
  <si>
    <t>platyhelminthes</t>
  </si>
  <si>
    <t>Two sites.  At each site, 8-10 5cm2 cores were taken to 5cm depth; randomly placed within sites</t>
  </si>
  <si>
    <t>cm3</t>
  </si>
  <si>
    <t>8--10</t>
  </si>
  <si>
    <t>HCA</t>
  </si>
  <si>
    <t>HCB</t>
  </si>
  <si>
    <t>Porcupine Abyssal Plain</t>
  </si>
  <si>
    <t>Gooday</t>
  </si>
  <si>
    <t>Gooday.etal.2010</t>
  </si>
  <si>
    <t>Deep-Sea Research II 57:1362-1382</t>
  </si>
  <si>
    <t>Table 4</t>
  </si>
  <si>
    <t>Gooday_split</t>
  </si>
  <si>
    <t>Gooday_whole</t>
  </si>
  <si>
    <t>foraminifera</t>
  </si>
  <si>
    <t>protist</t>
  </si>
  <si>
    <t xml:space="preserve">Porcupine Abyssal Plain is 55km2; 1-2 samples were taken per time point </t>
  </si>
  <si>
    <t xml:space="preserve">Porcupine Abyssal Plain is 55km2; 1-3 samples were taken per time point </t>
  </si>
  <si>
    <t>cm2</t>
  </si>
  <si>
    <t>1--2</t>
  </si>
  <si>
    <t>1--3</t>
  </si>
  <si>
    <t>PAP</t>
  </si>
  <si>
    <t>Greenwood</t>
  </si>
  <si>
    <t>Greenwood.etal.2002</t>
  </si>
  <si>
    <t>Journal of Fish Biology 61:90-104</t>
  </si>
  <si>
    <t>Forth Estuary, Scotland</t>
  </si>
  <si>
    <t>mm</t>
  </si>
  <si>
    <t>Three stations; each sample was 0.8 km trawl with a 2m Aggasiz trawl; trawling was undertaken at high water and low water in 5 months of the year; giving a total of 30 trawls per year except in 1986 (24)</t>
  </si>
  <si>
    <t>Forth</t>
  </si>
  <si>
    <t>Hall</t>
  </si>
  <si>
    <t>Hall.etal.1996</t>
  </si>
  <si>
    <t>ICES Journal of Marine Science 53: 1014-1023</t>
  </si>
  <si>
    <t>Table 1</t>
  </si>
  <si>
    <t>Tyne Estuary, UK</t>
  </si>
  <si>
    <t>PollutionCessation</t>
  </si>
  <si>
    <t>NorthShields</t>
  </si>
  <si>
    <t>SouthShields</t>
  </si>
  <si>
    <t>Howdon</t>
  </si>
  <si>
    <t>Quayside</t>
  </si>
  <si>
    <t>Scotswood</t>
  </si>
  <si>
    <t>Hawkins</t>
  </si>
  <si>
    <t>Hawkins.etal.2006</t>
  </si>
  <si>
    <t>Biological Conservation 127:487-499</t>
  </si>
  <si>
    <t>Soufriere Bay, St. Lucia</t>
  </si>
  <si>
    <t>15 minute visual censuses (cylinder with 10m diameter and 5m height above reef) were conducted at sites inside and outside of new reserves within Soufriere Bay; these data treated as plot scale because the data presented are averages per fished and reserve sites</t>
  </si>
  <si>
    <t>fished</t>
  </si>
  <si>
    <t>reserve</t>
  </si>
  <si>
    <t>IbarraObando</t>
  </si>
  <si>
    <t>Ibarra-Obando.etal.2010</t>
  </si>
  <si>
    <t>Estuaries and Coasts 33:753-768</t>
  </si>
  <si>
    <t>salt marsh</t>
  </si>
  <si>
    <t>Estero de Punta Banda, Baja California, Mexico</t>
  </si>
  <si>
    <t>grasses</t>
  </si>
  <si>
    <t>20 0.25m2 quadrats in tidal non-tidal (dike) sites</t>
  </si>
  <si>
    <t>Non-tidal</t>
  </si>
  <si>
    <t>Tidal</t>
  </si>
  <si>
    <t>DikeConstruction</t>
  </si>
  <si>
    <t>Nikolskaya Inlet, Kandalaksha Gulf, White Sea, Russia</t>
  </si>
  <si>
    <t>Ivanov</t>
  </si>
  <si>
    <t>Ivanov.etal.2013</t>
  </si>
  <si>
    <t>Hydrobiologia 706: 191-204</t>
  </si>
  <si>
    <t>Three Van Veen grabs per year</t>
  </si>
  <si>
    <t>Farm</t>
  </si>
  <si>
    <t>NoFarm</t>
  </si>
  <si>
    <t>Organic enrichment from mussel farm</t>
  </si>
  <si>
    <t>Removal of mussel farm</t>
  </si>
  <si>
    <t>Jones</t>
  </si>
  <si>
    <t>Jones.West.2005</t>
  </si>
  <si>
    <t>Estuarine, Coastal and Shelf Science 64: 277-288</t>
  </si>
  <si>
    <t>Figure 3</t>
  </si>
  <si>
    <t>AH</t>
  </si>
  <si>
    <t>Southeast Australia</t>
  </si>
  <si>
    <t>Six lakes were sampled quarterly for three years; four random sites chosen randomly at three locations (Lake entrance, central basin, back shore)</t>
  </si>
  <si>
    <t>km2</t>
  </si>
  <si>
    <t>Burrill</t>
  </si>
  <si>
    <t>Coila</t>
  </si>
  <si>
    <t>Conjola</t>
  </si>
  <si>
    <t>Illawarra</t>
  </si>
  <si>
    <t>StGeorges</t>
  </si>
  <si>
    <t>Wallaga</t>
  </si>
  <si>
    <t>Keller</t>
  </si>
  <si>
    <t>Keller.etal.2011</t>
  </si>
  <si>
    <t>Fishery Bulletin 110:205-222</t>
  </si>
  <si>
    <t>Figure 7</t>
  </si>
  <si>
    <t>TI</t>
  </si>
  <si>
    <t>Washington State, USA</t>
  </si>
  <si>
    <t>cm</t>
  </si>
  <si>
    <t>deep</t>
  </si>
  <si>
    <t>mid</t>
  </si>
  <si>
    <t>shallow</t>
  </si>
  <si>
    <t>Kilfoyle</t>
  </si>
  <si>
    <t>Kilfoyle.etal.2013</t>
  </si>
  <si>
    <t>Ocean and Coastal Management 75:53-62</t>
  </si>
  <si>
    <t>Table 1 and 2</t>
  </si>
  <si>
    <t>JD</t>
  </si>
  <si>
    <t>Hollywood Beach, FL, USA</t>
  </si>
  <si>
    <t>30 m belt transect at each site (60m2)</t>
  </si>
  <si>
    <t>natural</t>
  </si>
  <si>
    <t>boulder</t>
  </si>
  <si>
    <t>Artificial reef</t>
  </si>
  <si>
    <t>Masuda</t>
  </si>
  <si>
    <t>Masuda.2008</t>
  </si>
  <si>
    <t>Environmental Biology of Fishes 82:387-399</t>
  </si>
  <si>
    <t>Wakasa Bay, Nagahama, Kyoto, Japan</t>
  </si>
  <si>
    <t>3 200 m belt transects at one site</t>
  </si>
  <si>
    <t>Wakasa</t>
  </si>
  <si>
    <t>McClanahan</t>
  </si>
  <si>
    <t>McClanahan.Maina.2003</t>
  </si>
  <si>
    <t>Ecosystems 6:551-563</t>
  </si>
  <si>
    <t>Mombasa</t>
  </si>
  <si>
    <t>Diani</t>
  </si>
  <si>
    <t>Kanamai</t>
  </si>
  <si>
    <t>Vipingo</t>
  </si>
  <si>
    <t>1998 El Nino</t>
  </si>
  <si>
    <t>Mombasa, Kenya, Africa</t>
  </si>
  <si>
    <t>McLusky</t>
  </si>
  <si>
    <t>McLusky.Martins.1998</t>
  </si>
  <si>
    <t>Marine Pollution Bulletin 36:791-798</t>
  </si>
  <si>
    <t>Kinneil, Forth Estuary, Scotland</t>
  </si>
  <si>
    <t>At each of 90 stations, 2 cores were taken</t>
  </si>
  <si>
    <t>Kinneil</t>
  </si>
  <si>
    <t>Miller</t>
  </si>
  <si>
    <t>Miller.Shanks.2005</t>
  </si>
  <si>
    <t>Marine Ecology Progress Series 305:177-191</t>
  </si>
  <si>
    <t>Coos Bay, Oregon, USA</t>
  </si>
  <si>
    <t>Entrance</t>
  </si>
  <si>
    <t>Noble</t>
  </si>
  <si>
    <t>Noble.etal.2013</t>
  </si>
  <si>
    <t>PLOS One 8(1) e54069</t>
  </si>
  <si>
    <t>Saba, Caribbean Sea</t>
  </si>
  <si>
    <t>closed</t>
  </si>
  <si>
    <t>open</t>
  </si>
  <si>
    <t>Robinson</t>
  </si>
  <si>
    <t>Robinson.Yakimishyn.2013</t>
  </si>
  <si>
    <t>Canadian Journal Fisheries and Aquatic Sciences 70:775-784</t>
  </si>
  <si>
    <t>Vancouver Island, British Columbia, Canada</t>
  </si>
  <si>
    <t>9.2 m long beach seine with 4 mm stretch mesh and a 3.1 m drop. Triplicate beach seines we used so plot area calculated as 9.2(length)*3.1(drop?)* 3(nets)</t>
  </si>
  <si>
    <t>BM</t>
  </si>
  <si>
    <t>CA</t>
  </si>
  <si>
    <t>HI</t>
  </si>
  <si>
    <t>RI</t>
  </si>
  <si>
    <t>T</t>
  </si>
  <si>
    <t>Sheaves</t>
  </si>
  <si>
    <t>Sheaves.Johhnston.2010</t>
  </si>
  <si>
    <t>Aquatic Conservation: Marine and Freshwater Ecosystems 20:348-356</t>
  </si>
  <si>
    <t>MH</t>
  </si>
  <si>
    <t>Townsville, Australia</t>
  </si>
  <si>
    <t>At least 30 replicate net samples were collected from each lake per time point</t>
  </si>
  <si>
    <t>Curralea</t>
  </si>
  <si>
    <t>Keyatta</t>
  </si>
  <si>
    <t>Shimanaga</t>
  </si>
  <si>
    <t>Shimanaga.etal.2004</t>
  </si>
  <si>
    <t>Marine Biology 144:1097-1110</t>
  </si>
  <si>
    <t>Sagami Bay, Japan</t>
  </si>
  <si>
    <t>benthic copepods</t>
  </si>
  <si>
    <t>Upper cm of core was sampled for benthic copepods; 2-3 cores per time point</t>
  </si>
  <si>
    <t>Sagami</t>
  </si>
  <si>
    <t>Somerfield</t>
  </si>
  <si>
    <t>Somerfield.etal.2008</t>
  </si>
  <si>
    <t>Coral Reefs 27:951-965</t>
  </si>
  <si>
    <t>Florida Keys, Florida, USA</t>
  </si>
  <si>
    <t>SomerfieldPatch</t>
  </si>
  <si>
    <t>SomerfieldDeep</t>
  </si>
  <si>
    <t>SomerfieldShallow</t>
  </si>
  <si>
    <t>SomerfieldHard</t>
  </si>
  <si>
    <t>2-4 'stations' (transects) per site, 40 sites across the keys</t>
  </si>
  <si>
    <t>2--4</t>
  </si>
  <si>
    <t>Keys</t>
  </si>
  <si>
    <t>Sonnewald</t>
  </si>
  <si>
    <t>Sonnewald.Turkay.2012</t>
  </si>
  <si>
    <t>Helgoland Marine Research 66:63-75</t>
  </si>
  <si>
    <t>Dogger Bank, North Sea</t>
  </si>
  <si>
    <t>Dogger</t>
  </si>
  <si>
    <t>37 stations were sampled in Dogger bank; 2m beam trawl for one nautical mile (1852 m)</t>
  </si>
  <si>
    <t>Svensson</t>
  </si>
  <si>
    <t>Svensson.etal.2009</t>
  </si>
  <si>
    <t>AMBIO 38:72-78</t>
  </si>
  <si>
    <t>Hon Ong, Vietnam</t>
  </si>
  <si>
    <t>C1_9m</t>
  </si>
  <si>
    <t>C1_3m</t>
  </si>
  <si>
    <t>C2_9m</t>
  </si>
  <si>
    <t>C2_3m</t>
  </si>
  <si>
    <t>WIBP_9m</t>
  </si>
  <si>
    <t>WIBP_3m</t>
  </si>
  <si>
    <t>WIB_9m</t>
  </si>
  <si>
    <t>WIB_3m</t>
  </si>
  <si>
    <t>Touzri</t>
  </si>
  <si>
    <t>Touzri.etal.2012</t>
  </si>
  <si>
    <t>Marine Ecology 33:393-406</t>
  </si>
  <si>
    <t>Figure 5, 6</t>
  </si>
  <si>
    <t>Bizerte, Tunisia</t>
  </si>
  <si>
    <t>Bay</t>
  </si>
  <si>
    <t>Lagoon</t>
  </si>
  <si>
    <t>Valdes</t>
  </si>
  <si>
    <t>Valdes.Moral.1998</t>
  </si>
  <si>
    <t>ICES Journal of Marine Science 55:783-792</t>
  </si>
  <si>
    <t>Figure 4, 5</t>
  </si>
  <si>
    <t>Bay of Biscay, Spain</t>
  </si>
  <si>
    <t>neritic</t>
  </si>
  <si>
    <t>oceanic</t>
  </si>
  <si>
    <t>Warwick</t>
  </si>
  <si>
    <t>Warwick.etal.2002</t>
  </si>
  <si>
    <t>Marine Ecology Progress Series 234:1-13</t>
  </si>
  <si>
    <t>Figure 9, 11, 12</t>
  </si>
  <si>
    <t>Tees Bay, United Kingdom</t>
  </si>
  <si>
    <t>WarwickBay</t>
  </si>
  <si>
    <t>WarwickEst</t>
  </si>
  <si>
    <t xml:space="preserve">Six sampling areas (here called sites) in Tees Bay, with three sites per area, and 5 replicate grabs per site.  0.1 m2 day grab </t>
  </si>
  <si>
    <t xml:space="preserve">Two sampling areas, with 4-8 sites per area, and 1 replicate grab per site.  0.1 m2 day grab </t>
  </si>
  <si>
    <t>4--8</t>
  </si>
  <si>
    <t>far146</t>
  </si>
  <si>
    <t>near23</t>
  </si>
  <si>
    <t>outer</t>
  </si>
  <si>
    <t>inner</t>
  </si>
  <si>
    <t>Yildiz</t>
  </si>
  <si>
    <t>Yildiz.Feyzioglu.2014</t>
  </si>
  <si>
    <t>Turkish Journal of Zoology 38:179-190</t>
  </si>
  <si>
    <t>Trabzon, Black Sea</t>
  </si>
  <si>
    <t>uM</t>
  </si>
  <si>
    <t>40 cruises to one site</t>
  </si>
  <si>
    <t>Trabzon</t>
  </si>
  <si>
    <t>Kelmo.Hallock.2013</t>
  </si>
  <si>
    <t>Ecological Indicators 30:148-157</t>
  </si>
  <si>
    <t>Figure 2A</t>
  </si>
  <si>
    <t>Bahia, Brasil</t>
  </si>
  <si>
    <t>KelmoForam</t>
  </si>
  <si>
    <t>KelmoSponge</t>
  </si>
  <si>
    <t>KelmoInv</t>
  </si>
  <si>
    <t>Kelma.etal.2013</t>
  </si>
  <si>
    <t>PLOS One 8(10)e76441</t>
  </si>
  <si>
    <t>Kelma.etal.2014</t>
  </si>
  <si>
    <t>PLOS One 9(3)e93209</t>
  </si>
  <si>
    <t>Figure 1a</t>
  </si>
  <si>
    <t>35 1m2 quadrats on 4 reefs</t>
  </si>
  <si>
    <t>Bedford</t>
  </si>
  <si>
    <t>Bedford.etal.2006</t>
  </si>
  <si>
    <t>California DFG Administrative Report 96-3</t>
  </si>
  <si>
    <t>SMBAR3</t>
  </si>
  <si>
    <t>SMBAR10</t>
  </si>
  <si>
    <t>SMBAR18</t>
  </si>
  <si>
    <t>Santa Monica Bay, California, USA</t>
  </si>
  <si>
    <t>Whomersley</t>
  </si>
  <si>
    <t>Whomersley.etal.2008</t>
  </si>
  <si>
    <t>ICES Journal of Marine Science 65:1414-1420</t>
  </si>
  <si>
    <t>Liverpool Bay, UK</t>
  </si>
  <si>
    <t>Pollution</t>
  </si>
  <si>
    <t>D</t>
  </si>
  <si>
    <t>Rn</t>
  </si>
  <si>
    <t>Rs</t>
  </si>
  <si>
    <t>Cardoso</t>
  </si>
  <si>
    <t>Cardoso.etal.2008</t>
  </si>
  <si>
    <t>Estuarine, Coastal and Shelf Science 76:553-565</t>
  </si>
  <si>
    <t>Figure 3, 5</t>
  </si>
  <si>
    <t>Intermediate</t>
  </si>
  <si>
    <t>Eutrophic</t>
  </si>
  <si>
    <t>Zostera</t>
  </si>
  <si>
    <t>Mondego Estuary, Portugal</t>
  </si>
  <si>
    <t>Eutrophication</t>
  </si>
  <si>
    <t>6-10 cores per site, 13.5cm diameter, 20cm deep</t>
  </si>
  <si>
    <t>6--10</t>
  </si>
  <si>
    <t>PubGrayRaw</t>
  </si>
  <si>
    <t>Pub</t>
  </si>
  <si>
    <t>Gray</t>
  </si>
  <si>
    <t>Raw</t>
  </si>
  <si>
    <t>Seabrook.2011</t>
  </si>
  <si>
    <t>ReferencePI</t>
  </si>
  <si>
    <t>FigsTables</t>
  </si>
  <si>
    <t>DivStandardization</t>
  </si>
  <si>
    <t>PltSzUnits</t>
  </si>
  <si>
    <t>Biomass</t>
  </si>
  <si>
    <t>Abundance</t>
  </si>
  <si>
    <t>PercentCover</t>
  </si>
  <si>
    <t>Event2</t>
  </si>
  <si>
    <t>Event1</t>
  </si>
  <si>
    <t>Fishing</t>
  </si>
  <si>
    <t>Dams</t>
  </si>
  <si>
    <t>PaperMill</t>
  </si>
  <si>
    <t>MusselFarmEffluent</t>
  </si>
  <si>
    <t>MusselFarmRemoval</t>
  </si>
  <si>
    <t>ArtificialReef</t>
  </si>
  <si>
    <t>ElNino98</t>
  </si>
  <si>
    <t>Stationary visual census technique; at each site all fish species observed within a 7.5m radius cylinder for 5 minutes</t>
  </si>
  <si>
    <t>HurricaneHugo</t>
  </si>
  <si>
    <t>HurricaneMarilyn</t>
  </si>
  <si>
    <t>Warming</t>
  </si>
  <si>
    <t>SiLinearExtent</t>
  </si>
  <si>
    <t>SiLinearExtentUnits</t>
  </si>
  <si>
    <t>Density and biomass data are potentially available, but need to ask Klemens</t>
  </si>
  <si>
    <t>1-5 Boxcore samples were taken at multiple stations within each of 4 'sites'; diversity data are average across stations for each site x time combination</t>
  </si>
  <si>
    <t>1--5</t>
  </si>
  <si>
    <t>Could not calculate area because different 'sites' (sectors) have hugely different #'s of sites, and each station had varying replication (1-5 grabs)</t>
  </si>
  <si>
    <t>nSiteReps</t>
  </si>
  <si>
    <t>HurricaneGilbert</t>
  </si>
  <si>
    <t>Figure 12A,B</t>
  </si>
  <si>
    <t>Yawzi Point and Cocoloba Cay, St. John, US Virigin Islands</t>
  </si>
  <si>
    <t>Cocoloba</t>
  </si>
  <si>
    <t>AbundUnits</t>
  </si>
  <si>
    <t>metricTonsPerHectare</t>
  </si>
  <si>
    <t>individualsPerSample</t>
  </si>
  <si>
    <t>individualsPerm2</t>
  </si>
  <si>
    <t>SiAreaCalc</t>
  </si>
  <si>
    <t>SiAreaCalcUnits</t>
  </si>
  <si>
    <t>Figure 6, 7</t>
  </si>
  <si>
    <t>One site, three 25m long permanent transects, each with 6 quadrats</t>
  </si>
  <si>
    <t>individualsPer5m2</t>
  </si>
  <si>
    <t>individualsPer1m2</t>
  </si>
  <si>
    <t>individualsPer0.1m2</t>
  </si>
  <si>
    <t>Three samples were taken at 5 sites using a 0.1m2 Day grab; abundances are means per site per timepoint</t>
  </si>
  <si>
    <t>kgPerSample</t>
  </si>
  <si>
    <t>Appendix 1</t>
  </si>
  <si>
    <t>15 minute trawls at 1.13 m per second (1017m trawl); between Cape Flattery and Point Conception</t>
  </si>
  <si>
    <t>strong relationship between richness and PDO</t>
  </si>
  <si>
    <t>Figure 2a, 5a</t>
  </si>
  <si>
    <t>At each of four locations (here sites), two sites were sampled using nine 10m-line transects; richness per site is reported (gamma)</t>
  </si>
  <si>
    <t>individualsPerStation</t>
  </si>
  <si>
    <t>1 light trap, sampled every 1-2 days for 4 years; 10 liter carboy with 10 circular funnel openings (diamter = 1-1.25 cm)</t>
  </si>
  <si>
    <t>Figure 3a, c, f</t>
  </si>
  <si>
    <t>Six visual censuses were conducted at each site, two sites per zone (open vs closed to fishing); cylinder with radius 5 and height  5m</t>
  </si>
  <si>
    <t>Emailed for abundances, GPS, and other data but no response</t>
  </si>
  <si>
    <t>10e6 square meters in a square km</t>
  </si>
  <si>
    <t>4 sites, 4 50m transects per site.  No fixed transect width - used 'variable distance counting to calculate area'.  Assume 5m on each side?</t>
  </si>
  <si>
    <t>individualsPer1m3</t>
  </si>
  <si>
    <t>7 sites each in bay and lagoon; WP2 net has 57 cm diameter</t>
  </si>
  <si>
    <t>1 neritic and 1 oceanic site; double oblique tows were made at a speed of 1-1.5 knots up to a depth of 50m; tow length presumably depends on site; 50 cm diameter</t>
  </si>
  <si>
    <t>individualsPerLiter</t>
  </si>
  <si>
    <t>10 replicates per reef; 4 reefs; assume symmetrical core 50 cm3 (4diam x 4height cm cylinder)</t>
  </si>
  <si>
    <t>individualsPer35m2</t>
  </si>
  <si>
    <t>4 replicates per site; From Rees reference 0.1 m2 day grab</t>
  </si>
  <si>
    <t>tonsPerSite</t>
  </si>
  <si>
    <t>Variable sample size per site</t>
  </si>
  <si>
    <t>alphaSQM</t>
  </si>
  <si>
    <t>gammaSQM</t>
  </si>
  <si>
    <t>AbundType</t>
  </si>
  <si>
    <t>Standardized to sampling volume, but not abundance</t>
  </si>
  <si>
    <t>ES50 - expected species over 50 individuals</t>
  </si>
  <si>
    <t>KS_ERT</t>
  </si>
  <si>
    <t>KS_CRW</t>
  </si>
  <si>
    <t>KS_SBR</t>
  </si>
  <si>
    <t>BirkeSC</t>
  </si>
  <si>
    <t>Species lists may have changed through time due to improvements in taxonomy, and observers may have gotten better through time - remove first three (?) of data</t>
  </si>
  <si>
    <t>BIOMON</t>
  </si>
  <si>
    <t>2 sets of 6 box traps set for 12 days; a trap is 2 fykes put together with three openings leading to an opening shaped like a half circle with a radius of 55cm and 5m long arms</t>
  </si>
  <si>
    <t>5 20 minute trawls; Trawl has an opening of 5m and 1m height; distance is 1200m; each sampling time they make 5 hauls along transects 50m apart; repeated 5 times over ten days, each sampling two days apart</t>
  </si>
  <si>
    <t>SysOrig</t>
  </si>
  <si>
    <t>macrophyte</t>
  </si>
  <si>
    <t>At each site, 15 photoquadrats per a single 20m transect (random subsamples taken from 16 - 42 samples)</t>
  </si>
  <si>
    <t>AbundUnitsOrig</t>
  </si>
  <si>
    <t>indSQM</t>
  </si>
  <si>
    <t>perCover</t>
  </si>
  <si>
    <t>alphaMult</t>
  </si>
  <si>
    <t>gammaMult</t>
  </si>
  <si>
    <t>indCUM</t>
  </si>
  <si>
    <t>1000 kg in a metric ton/ hectare is a 10,000 sqm</t>
  </si>
  <si>
    <t>kgSQM</t>
  </si>
  <si>
    <t>Nile Delta</t>
  </si>
  <si>
    <t>orig.units</t>
  </si>
  <si>
    <t>multiplier</t>
  </si>
  <si>
    <t>orig.area</t>
  </si>
  <si>
    <t>areaSQM</t>
  </si>
  <si>
    <t>Lake Edkou</t>
  </si>
  <si>
    <t>Lake Manzallah</t>
  </si>
  <si>
    <t>hectares</t>
  </si>
  <si>
    <t>Multiply by 24 to get the sum of percent cover across 24 quadrats (to be consistent)</t>
  </si>
  <si>
    <t>Multiply by 15 to get the sum of percent cover across 15 quadrats (to be consistent)</t>
  </si>
  <si>
    <t>softBottom</t>
  </si>
  <si>
    <t>coralReef</t>
  </si>
  <si>
    <t>hardBottom</t>
  </si>
  <si>
    <t xml:space="preserve">Used a Smith-McIntyrehuggare 0.1m2 sampling area.  Sampled 5 times from each of 4 stations.  2 control stations are separated from the 2 impact stations by 10km. </t>
  </si>
  <si>
    <t>Peer</t>
  </si>
  <si>
    <t>ES50 used to standardize for abundance; that’s why there is a zero in RawS column</t>
  </si>
  <si>
    <t>Grand Total</t>
  </si>
  <si>
    <t>Row Labels</t>
  </si>
  <si>
    <t>Sebens</t>
  </si>
  <si>
    <t>Northwest Atlantic, USA</t>
  </si>
  <si>
    <t>At each site, 2-3 walls were sampled using 4 adjacent photoquads that were 35 x 24 cm = .084m2 x 4 = .336 sqm</t>
  </si>
  <si>
    <t>2--3</t>
  </si>
  <si>
    <t>DB</t>
  </si>
  <si>
    <t>HRI</t>
  </si>
  <si>
    <t>HRO</t>
  </si>
  <si>
    <t>SHI</t>
  </si>
  <si>
    <t>SHO</t>
  </si>
  <si>
    <t>BahiaKF</t>
  </si>
  <si>
    <t>BahiaKS</t>
  </si>
  <si>
    <t>BahiaKI</t>
  </si>
  <si>
    <t>AbundYes</t>
  </si>
  <si>
    <t>Column Labels</t>
  </si>
  <si>
    <t>Count of Prediction</t>
  </si>
  <si>
    <t>WarmingGlobal</t>
  </si>
  <si>
    <t>Fishing and dam construction</t>
  </si>
  <si>
    <t>Fishing closure</t>
  </si>
  <si>
    <t>Hurricane (middle of time series)</t>
  </si>
  <si>
    <t>Hurricanes</t>
  </si>
  <si>
    <t>Warming (local) from nuclear plant</t>
  </si>
  <si>
    <t>Sedimentation from nuclear plant</t>
  </si>
  <si>
    <t>Warming (local) from pulp mill</t>
  </si>
  <si>
    <t>Pollution cessation</t>
  </si>
  <si>
    <t>Dike construction</t>
  </si>
  <si>
    <t>Eutrohication cessation</t>
  </si>
  <si>
    <t>Artificial reef restoration</t>
  </si>
  <si>
    <t>Warming (regional) and invasion</t>
  </si>
  <si>
    <t>Warming (regional) 1998 El Nino</t>
  </si>
  <si>
    <t>larval fish</t>
  </si>
  <si>
    <t>benthic invertebrates</t>
  </si>
  <si>
    <t>sessile invertebrates and flora</t>
  </si>
  <si>
    <t>benthic invertebrate and fish consumers</t>
  </si>
  <si>
    <t>benthic invertebrate consumers</t>
  </si>
  <si>
    <t>TaxonDumb</t>
  </si>
  <si>
    <t>Ecosystem</t>
  </si>
  <si>
    <t>Location</t>
  </si>
  <si>
    <t>multiple</t>
  </si>
  <si>
    <t>Taxa</t>
  </si>
  <si>
    <t>Driver1</t>
  </si>
  <si>
    <t>Driver2</t>
  </si>
  <si>
    <t>Goodwin Islands Reserve, Chesapeake Bay, Virgina, United States</t>
  </si>
  <si>
    <t>Beldade</t>
  </si>
  <si>
    <t>Beldade.etal.2006</t>
  </si>
  <si>
    <t>J Mar Biol Ass UK 86:1221-1228</t>
  </si>
  <si>
    <t>Eastern Atlantic, Portugal</t>
  </si>
  <si>
    <t>2 sites, timed searches at each</t>
  </si>
  <si>
    <t>individualsPerMinute</t>
  </si>
  <si>
    <t>indHR</t>
  </si>
  <si>
    <t>Arrabida</t>
  </si>
  <si>
    <t>Birchenough</t>
  </si>
  <si>
    <t>Birchenough.Frid.2009</t>
  </si>
  <si>
    <t>Journal of Sea Research 62:258-267</t>
  </si>
  <si>
    <t>Northumberland coast, UK</t>
  </si>
  <si>
    <t>18 years of sewage sludge disposal ended, and the monitoring began 3 months after cessation</t>
  </si>
  <si>
    <t>Sites 5 and 7 were control, other two impacted</t>
  </si>
  <si>
    <t>St1</t>
  </si>
  <si>
    <t>St2</t>
  </si>
  <si>
    <t>St5</t>
  </si>
  <si>
    <t>St7</t>
  </si>
  <si>
    <t>Bollens</t>
  </si>
  <si>
    <t>Bollens.etal.2011</t>
  </si>
  <si>
    <t>Journal of Plankton Research 33:1358-1377</t>
  </si>
  <si>
    <t>San Francisco Bay, USA</t>
  </si>
  <si>
    <t>2 stations each within 3 bays; slow vertical hauls 10m min-1 from near bottom to surface, 0.5m diameter net; not clear how many hauls per station</t>
  </si>
  <si>
    <t>CenBay</t>
  </si>
  <si>
    <t>SanPabBay</t>
  </si>
  <si>
    <t>SouBay</t>
  </si>
  <si>
    <t>HernandezMiranda</t>
  </si>
  <si>
    <t>Hernandez-Miranda.etal.2012</t>
  </si>
  <si>
    <t>Marine Environmental Research 79:16-28</t>
  </si>
  <si>
    <t>Coliumo Bay, Chile</t>
  </si>
  <si>
    <t>Hypoxia</t>
  </si>
  <si>
    <t>HypoxiaPulse</t>
  </si>
  <si>
    <t>benthic invertebrates and fish</t>
  </si>
  <si>
    <t>3 sites; 1m wide x 1m long x 30cm high Agassiz trawl; average survey distance was 378m; sailing for 5 min at 1.5 -2 knots</t>
  </si>
  <si>
    <t>individualsPer500m2</t>
  </si>
  <si>
    <t>ColiumoBay</t>
  </si>
  <si>
    <t>HypoxicUpwelling</t>
  </si>
  <si>
    <t>Hidalgo</t>
  </si>
  <si>
    <t>Hidalgo.Escribano.2001</t>
  </si>
  <si>
    <t>Hydrobiologia 453:153-160</t>
  </si>
  <si>
    <t>Mejillones Bay, Chile</t>
  </si>
  <si>
    <t>pelagic copepods</t>
  </si>
  <si>
    <t>1 site, vertical tows from bottom (90m depth) to surface, 0.5m diameter</t>
  </si>
  <si>
    <t>Mejillones</t>
  </si>
  <si>
    <t>Moreira</t>
  </si>
  <si>
    <t>Moreira.etal.2010</t>
  </si>
  <si>
    <t>Thalassas 26:9-22</t>
  </si>
  <si>
    <t>Baiona Bay, Spain</t>
  </si>
  <si>
    <t>5 replicates per month, vanVeen grab with sampling area of 0.056m2</t>
  </si>
  <si>
    <t>Baiona</t>
  </si>
  <si>
    <t>Occhipinti</t>
  </si>
  <si>
    <t>Occhipinti-Ambrogi.etal.2002</t>
  </si>
  <si>
    <t>Marine Ecology 23:307-319</t>
  </si>
  <si>
    <t>Figure 2,3</t>
  </si>
  <si>
    <t>PG3m</t>
  </si>
  <si>
    <t>PG8m</t>
  </si>
  <si>
    <t>PG12m</t>
  </si>
  <si>
    <t>Ces3m</t>
  </si>
  <si>
    <t>Ces8m</t>
  </si>
  <si>
    <t>Ces12m</t>
  </si>
  <si>
    <t>Northern Adriatic Sea, Italy</t>
  </si>
  <si>
    <t>4 replicates per site, 3 sites in two localities, 0.06 m2 van veen grab</t>
  </si>
  <si>
    <t>Xatt</t>
  </si>
  <si>
    <t>Selmun</t>
  </si>
  <si>
    <t>Salini</t>
  </si>
  <si>
    <t>Deidun</t>
  </si>
  <si>
    <t>Mediterranean Sea, Malta</t>
  </si>
  <si>
    <t>beach</t>
  </si>
  <si>
    <t>Deidun.etal.2009</t>
  </si>
  <si>
    <t>Journal of Coastal Research 56:410-414</t>
  </si>
  <si>
    <t>Dupont</t>
  </si>
  <si>
    <t>Dupont.etal.2010</t>
  </si>
  <si>
    <t>Marine Ecology Progress Series 415:189-200</t>
  </si>
  <si>
    <t>Gulf of Mexico, Florida, USA</t>
  </si>
  <si>
    <t>RedTide</t>
  </si>
  <si>
    <t>DupontLB</t>
  </si>
  <si>
    <t>DupontRM</t>
  </si>
  <si>
    <t>DupontRef</t>
  </si>
  <si>
    <t>10 random censuses across 3 sites; 5m radius cylinder, extending from surface to bottom, assume 20m depth</t>
  </si>
  <si>
    <t>GNGS</t>
  </si>
  <si>
    <t>Red tide</t>
  </si>
  <si>
    <t>Shin</t>
  </si>
  <si>
    <t>Shin.etal.2008</t>
  </si>
  <si>
    <t>Marine Pollution Bulletin 56:282-296</t>
  </si>
  <si>
    <t>Victoria Harbor, Hong Kong</t>
  </si>
  <si>
    <t>5 sediment samples using 0.1m2 vanVeen, from 2 site replicates, at 5 locations ('sites' for this analysis)</t>
  </si>
  <si>
    <t>TLC</t>
  </si>
  <si>
    <t>SWH</t>
  </si>
  <si>
    <t>CB</t>
  </si>
  <si>
    <t>TY</t>
  </si>
  <si>
    <t>PC</t>
  </si>
  <si>
    <t>cryptobenthic fishes</t>
  </si>
  <si>
    <t>1_protected</t>
  </si>
  <si>
    <t>3_estuary</t>
  </si>
  <si>
    <t>2_unprotected</t>
  </si>
  <si>
    <t>4_urban</t>
  </si>
  <si>
    <t>Protection</t>
  </si>
  <si>
    <t>Nile delta is 8500km2, Edkou is 151km2, Manzallah is 1360 km2; calculate sqm as the minimum size?</t>
  </si>
  <si>
    <t>km (for site linear extent)</t>
  </si>
  <si>
    <t>km (site linear extent)</t>
  </si>
  <si>
    <t>SiteLengthKM</t>
  </si>
  <si>
    <t>SQMextra</t>
  </si>
  <si>
    <t>Sample size is not given, therefore cannot calculate gammaSWM</t>
  </si>
  <si>
    <t>Each reef is 1.12 acres (4532 m2)</t>
  </si>
  <si>
    <t>Swam around each artificial reef and identified all fish; 1.12 acre = 4532 m2</t>
  </si>
  <si>
    <t>3 sites, with unknown # of cores per site; going to assume 20; should not affect the scale predictor too much b/c so small anyway</t>
  </si>
  <si>
    <t>http://www.esapubs.org/archive/ecol/E094/245/</t>
  </si>
  <si>
    <t>J Lefcheck, personal communication</t>
  </si>
  <si>
    <t>Personal data</t>
  </si>
  <si>
    <t>C Birkeland, personal communication</t>
  </si>
  <si>
    <t>P Edmunds, personal communication</t>
  </si>
  <si>
    <t>K Sebens, personal communication</t>
  </si>
  <si>
    <t>B Eriksson, personal communication</t>
  </si>
  <si>
    <t>PredictionOld</t>
  </si>
  <si>
    <t>none</t>
  </si>
  <si>
    <t>Depth_m</t>
  </si>
  <si>
    <t>At each site, 12 permanent quadrats</t>
  </si>
  <si>
    <t>At each site, 3 permanent transects</t>
  </si>
  <si>
    <t>Multiply by 12 to get the sum of percent cover across 24 quadrats (to be consistent)</t>
  </si>
  <si>
    <t>row</t>
  </si>
  <si>
    <t>Darwin</t>
  </si>
  <si>
    <t>Ningaloo</t>
  </si>
  <si>
    <t>SBCalg</t>
  </si>
  <si>
    <t>40m transects, uniform point contact (n = 80); one point 50cm on either side of the transects (every 1m)</t>
  </si>
  <si>
    <t>SBCinv</t>
  </si>
  <si>
    <t>sessile invertebrates</t>
  </si>
  <si>
    <t>SBCmobS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</si>
</sst>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  <font>
      <sz val="12"/>
      <color rgb="FF000000"/>
      <name val="Calibri"/>
      <family val="2"/>
      <scheme val="minor"/>
    </font>
    <font>
      <b/>
      <sz val="10"/>
      <color theme="1"/>
      <name val="Times"/>
    </font>
    <font>
      <b/>
      <sz val="10"/>
      <color rgb="FF000000"/>
      <name val="Times"/>
    </font>
    <font>
      <sz val="10"/>
      <color theme="1"/>
      <name val="Times"/>
    </font>
    <font>
      <sz val="10"/>
      <color rgb="FF000000"/>
      <name val="Times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0" fontId="4" fillId="0" borderId="0" xfId="0" applyFont="1" applyFill="1"/>
    <xf numFmtId="0" fontId="3" fillId="2" borderId="0" xfId="0" applyFont="1" applyFill="1"/>
    <xf numFmtId="0" fontId="3" fillId="0" borderId="0" xfId="0" applyFont="1" applyFill="1"/>
    <xf numFmtId="0" fontId="0" fillId="0" borderId="0" xfId="0" applyFill="1"/>
    <xf numFmtId="0" fontId="5" fillId="0" borderId="0" xfId="0" applyFont="1"/>
    <xf numFmtId="0" fontId="4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0" fillId="0" borderId="0" xfId="0" applyFont="1" applyFill="1"/>
    <xf numFmtId="0" fontId="0" fillId="3" borderId="0" xfId="0" applyFill="1"/>
    <xf numFmtId="0" fontId="4" fillId="3" borderId="0" xfId="0" applyFont="1" applyFill="1"/>
    <xf numFmtId="0" fontId="3" fillId="3" borderId="0" xfId="0" applyFont="1" applyFill="1"/>
    <xf numFmtId="0" fontId="0" fillId="4" borderId="0" xfId="0" applyFill="1"/>
    <xf numFmtId="16" fontId="0" fillId="0" borderId="0" xfId="0" applyNumberFormat="1" applyFill="1"/>
    <xf numFmtId="3" fontId="0" fillId="0" borderId="0" xfId="0" applyNumberFormat="1"/>
    <xf numFmtId="0" fontId="3" fillId="5" borderId="0" xfId="0" applyFont="1" applyFill="1"/>
    <xf numFmtId="0" fontId="0" fillId="5" borderId="0" xfId="0" applyFill="1"/>
    <xf numFmtId="2" fontId="0" fillId="0" borderId="0" xfId="0" applyNumberFormat="1"/>
    <xf numFmtId="0" fontId="4" fillId="5" borderId="0" xfId="0" applyFont="1" applyFill="1"/>
    <xf numFmtId="0" fontId="0" fillId="3" borderId="0" xfId="0" applyNumberFormat="1" applyFill="1"/>
    <xf numFmtId="2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NumberFormat="1" applyBorder="1"/>
    <xf numFmtId="0" fontId="4" fillId="5" borderId="0" xfId="0" applyNumberFormat="1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6" fillId="0" borderId="0" xfId="0" applyFont="1" applyFill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Border="1" applyAlignment="1"/>
    <xf numFmtId="0" fontId="6" fillId="6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0" fontId="0" fillId="0" borderId="0" xfId="0" applyNumberFormat="1" applyFont="1" applyFill="1"/>
    <xf numFmtId="0" fontId="3" fillId="0" borderId="0" xfId="0" applyNumberFormat="1" applyFont="1" applyFill="1"/>
    <xf numFmtId="0" fontId="8" fillId="0" borderId="3" xfId="0" applyFont="1" applyBorder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3" xfId="0" applyFont="1" applyFill="1" applyBorder="1" applyAlignment="1"/>
    <xf numFmtId="0" fontId="8" fillId="0" borderId="6" xfId="0" applyFont="1" applyFill="1" applyBorder="1" applyAlignment="1"/>
    <xf numFmtId="0" fontId="8" fillId="0" borderId="4" xfId="0" applyFont="1" applyFill="1" applyBorder="1" applyAlignment="1">
      <alignment wrapText="1"/>
    </xf>
    <xf numFmtId="0" fontId="8" fillId="0" borderId="7" xfId="0" applyFont="1" applyFill="1" applyBorder="1" applyAlignment="1">
      <alignment wrapText="1"/>
    </xf>
    <xf numFmtId="0" fontId="8" fillId="0" borderId="4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8" fillId="0" borderId="0" xfId="0" applyFont="1" applyBorder="1"/>
    <xf numFmtId="0" fontId="8" fillId="0" borderId="9" xfId="0" applyFont="1" applyFill="1" applyBorder="1" applyAlignment="1"/>
    <xf numFmtId="0" fontId="8" fillId="0" borderId="10" xfId="0" applyFont="1" applyFill="1" applyBorder="1" applyAlignment="1">
      <alignment wrapText="1"/>
    </xf>
    <xf numFmtId="0" fontId="8" fillId="0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/>
    </xf>
  </cellXfs>
  <cellStyles count="19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Elahi" refreshedDate="41859.531251388886" createdVersion="4" refreshedVersion="4" minRefreshableVersion="3" recordCount="170">
  <cacheSource type="worksheet">
    <worksheetSource ref="A1:R172" sheet="siteList"/>
  </cacheSource>
  <cacheFields count="16">
    <cacheField name="orig.order" numFmtId="0">
      <sharedItems containsSemiMixedTypes="0" containsString="0" containsNumber="1" containsInteger="1" minValue="1" maxValue="170"/>
    </cacheField>
    <cacheField name="studyName" numFmtId="0">
      <sharedItems count="51">
        <s v="Bebars"/>
        <s v="BeetsFried03"/>
        <s v="Beukema"/>
        <s v="BIOMON"/>
        <s v="Birkeland"/>
        <s v="Edmunds"/>
        <s v="Elahi"/>
        <s v="Frid2009"/>
        <s v="FriedBeets08"/>
        <s v="FriedHawaii"/>
        <s v="Goodwin"/>
        <s v="IMOS"/>
        <s v="KFMP"/>
        <s v="SBC"/>
        <s v="SeaBrook"/>
        <s v="SwedFishTrap"/>
        <s v="SwedFishTrawl"/>
        <s v="SwedMacro"/>
        <s v="Barrett"/>
        <s v="Carballo"/>
        <s v="Dittmann"/>
        <s v="Gooday"/>
        <s v="Greenwood"/>
        <s v="Hall"/>
        <s v="Hawkins"/>
        <s v="IbarraObando"/>
        <s v="Ivanov"/>
        <s v="Jones"/>
        <s v="Keller"/>
        <s v="Kilfoyle"/>
        <s v="Masuda"/>
        <s v="McClanahan"/>
        <s v="McLusky"/>
        <s v="Miller"/>
        <s v="Noble"/>
        <s v="Robinson"/>
        <s v="Sheaves"/>
        <s v="Shimanaga"/>
        <s v="Somerfield"/>
        <s v="Sonnewald"/>
        <s v="Svensson"/>
        <s v="Touzri"/>
        <s v="Valdes"/>
        <s v="Warwick"/>
        <s v="Yildiz"/>
        <s v="KelmoForam"/>
        <s v="KelmoSponge"/>
        <s v="KelmoInv"/>
        <s v="Bedford"/>
        <s v="Whomersley"/>
        <s v="Cardoso"/>
      </sharedItems>
    </cacheField>
    <cacheField name="site" numFmtId="0">
      <sharedItems/>
    </cacheField>
    <cacheField name="Event" numFmtId="0">
      <sharedItems/>
    </cacheField>
    <cacheField name="Event1" numFmtId="0">
      <sharedItems/>
    </cacheField>
    <cacheField name="Event2" numFmtId="0">
      <sharedItems/>
    </cacheField>
    <cacheField name="Driver" numFmtId="0">
      <sharedItems/>
    </cacheField>
    <cacheField name="PressPulse" numFmtId="0">
      <sharedItems/>
    </cacheField>
    <cacheField name="EventPred" numFmtId="0">
      <sharedItems/>
    </cacheField>
    <cacheField name="Prediction" numFmtId="0">
      <sharedItems/>
    </cacheField>
    <cacheField name="EventDate1" numFmtId="0">
      <sharedItems containsMixedTypes="1" containsNumber="1" containsInteger="1" minValue="21551" maxValue="38565"/>
    </cacheField>
    <cacheField name="EventDate2" numFmtId="0">
      <sharedItems containsBlank="1" containsMixedTypes="1" containsNumber="1" containsInteger="1" minValue="25204" maxValue="35431"/>
    </cacheField>
    <cacheField name="Lat" numFmtId="0">
      <sharedItems containsSemiMixedTypes="0" containsString="0" containsNumber="1" minValue="-43.057000000000002" maxValue="66.215000000000003"/>
    </cacheField>
    <cacheField name="Long" numFmtId="0">
      <sharedItems containsSemiMixedTypes="0" containsString="0" containsNumber="1" minValue="-159.51" maxValue="153.58000000000001"/>
    </cacheField>
    <cacheField name="nSiteReps" numFmtId="0">
      <sharedItems containsSemiMixedTypes="0" containsString="0" containsNumber="1" containsInteger="1" minValue="1" maxValue="220"/>
    </cacheField>
    <cacheField name="Clim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bin Elahi" refreshedDate="41859.531253356479" createdVersion="4" refreshedVersion="4" minRefreshableVersion="3" recordCount="51">
  <cacheSource type="worksheet">
    <worksheetSource ref="A1:Q52" sheet="studyNameList"/>
  </cacheSource>
  <cacheFields count="17">
    <cacheField name="orig.order" numFmtId="0">
      <sharedItems containsSemiMixedTypes="0" containsString="0" containsNumber="1" containsInteger="1" minValue="1" maxValue="51"/>
    </cacheField>
    <cacheField name="studyName" numFmtId="0">
      <sharedItems count="51">
        <s v="Bebars"/>
        <s v="BeetsFried03"/>
        <s v="Beukema"/>
        <s v="BIOMON"/>
        <s v="Birkeland"/>
        <s v="Edmunds"/>
        <s v="Elahi"/>
        <s v="Frid2009"/>
        <s v="FriedBeets08"/>
        <s v="FriedHawaii"/>
        <s v="Goodwin"/>
        <s v="IMOS"/>
        <s v="KFMP"/>
        <s v="SBC"/>
        <s v="SeaBrook"/>
        <s v="SwedFishTrap"/>
        <s v="SwedFishTrawl"/>
        <s v="SwedMacro"/>
        <s v="Barrett"/>
        <s v="Carballo"/>
        <s v="Dittmann"/>
        <s v="Gooday"/>
        <s v="Greenwood"/>
        <s v="Hall"/>
        <s v="Hawkins"/>
        <s v="IbarraObando"/>
        <s v="Ivanov"/>
        <s v="Jones"/>
        <s v="Keller"/>
        <s v="Kilfoyle"/>
        <s v="Masuda"/>
        <s v="McClanahan"/>
        <s v="McLusky"/>
        <s v="Miller"/>
        <s v="Noble"/>
        <s v="Robinson"/>
        <s v="Sheaves"/>
        <s v="Shimanaga"/>
        <s v="Somerfield"/>
        <s v="Sonnewald"/>
        <s v="Svensson"/>
        <s v="Touzri"/>
        <s v="Valdes"/>
        <s v="Warwick"/>
        <s v="Yildiz"/>
        <s v="KelmoForam"/>
        <s v="KelmoSponge"/>
        <s v="KelmoInv"/>
        <s v="Bedford"/>
        <s v="Whomersley"/>
        <s v="Cardoso"/>
      </sharedItems>
    </cacheField>
    <cacheField name="ReferencePI" numFmtId="0">
      <sharedItems/>
    </cacheField>
    <cacheField name="Source" numFmtId="0">
      <sharedItems/>
    </cacheField>
    <cacheField name="FigsTables" numFmtId="0">
      <sharedItems/>
    </cacheField>
    <cacheField name="PubGrayRaw" numFmtId="0">
      <sharedItems/>
    </cacheField>
    <cacheField name="Peer" numFmtId="0">
      <sharedItems/>
    </cacheField>
    <cacheField name="Collector" numFmtId="0">
      <sharedItems/>
    </cacheField>
    <cacheField name="DataThief" numFmtId="0">
      <sharedItems/>
    </cacheField>
    <cacheField name="SysOrig" numFmtId="0">
      <sharedItems/>
    </cacheField>
    <cacheField name="Sys" numFmtId="0">
      <sharedItems/>
    </cacheField>
    <cacheField name="Lat" numFmtId="0">
      <sharedItems containsSemiMixedTypes="0" containsString="0" containsNumber="1" minValue="-42.81" maxValue="66.215000000000003"/>
    </cacheField>
    <cacheField name="Long" numFmtId="0">
      <sharedItems containsSemiMixedTypes="0" containsString="0" containsNumber="1" minValue="-159.51" maxValue="150.66"/>
    </cacheField>
    <cacheField name="Loc" numFmtId="0">
      <sharedItems/>
    </cacheField>
    <cacheField name="Event" numFmtId="0">
      <sharedItems/>
    </cacheField>
    <cacheField name="Event1" numFmtId="0">
      <sharedItems/>
    </cacheField>
    <cacheField name="Even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bin Elahi" refreshedDate="41864.541798958337" createdVersion="4" refreshedVersion="4" minRefreshableVersion="3" recordCount="175">
  <cacheSource type="worksheet">
    <worksheetSource ref="A1:R177" sheet="siteList"/>
  </cacheSource>
  <cacheFields count="16">
    <cacheField name="orig.order" numFmtId="0">
      <sharedItems containsSemiMixedTypes="0" containsString="0" containsNumber="1" containsInteger="1" minValue="1" maxValue="175"/>
    </cacheField>
    <cacheField name="studyName" numFmtId="0">
      <sharedItems/>
    </cacheField>
    <cacheField name="site" numFmtId="0">
      <sharedItems/>
    </cacheField>
    <cacheField name="Event" numFmtId="0">
      <sharedItems/>
    </cacheField>
    <cacheField name="Event1" numFmtId="0">
      <sharedItems count="16">
        <s v="NA"/>
        <s v="NuclearPlant"/>
        <s v="1998 El Nino"/>
        <s v="Artificial reef"/>
        <s v="MPA"/>
        <s v="HurricaneHugo"/>
        <s v="Pollution"/>
        <s v="Fishing"/>
        <s v="Eutrophication"/>
        <s v="Organic enrichment from mussel farm"/>
        <s v="PollutionCessation"/>
        <s v="Removal of mussel farm"/>
        <s v="DikeConstruction"/>
        <s v="PulpMill"/>
        <s v="Warming"/>
        <s v="HurricaneGilbert"/>
      </sharedItems>
    </cacheField>
    <cacheField name="Event2" numFmtId="0">
      <sharedItems count="6">
        <s v="NA"/>
        <s v="Dams"/>
        <s v="HurricaneMarilyn"/>
        <s v="NuclearPlant"/>
        <s v="Invasion"/>
        <s v="HurricaneHugo"/>
      </sharedItems>
    </cacheField>
    <cacheField name="Driver" numFmtId="0">
      <sharedItems count="8">
        <s v="NA"/>
        <s v="WarmingLocal"/>
        <s v="Sedimentation"/>
        <s v="Restoration"/>
        <s v="FishingClosure"/>
        <s v="Disturb"/>
        <s v="Multiple"/>
        <s v="DisturbPost"/>
      </sharedItems>
    </cacheField>
    <cacheField name="PressPulse" numFmtId="0">
      <sharedItems/>
    </cacheField>
    <cacheField name="EventPred" numFmtId="0">
      <sharedItems/>
    </cacheField>
    <cacheField name="Prediction" numFmtId="0">
      <sharedItems count="3">
        <s v="neutral"/>
        <s v="negative"/>
        <s v="positive"/>
      </sharedItems>
    </cacheField>
    <cacheField name="EventDate1" numFmtId="0">
      <sharedItems containsMixedTypes="1" containsNumber="1" containsInteger="1" minValue="21551" maxValue="38565"/>
    </cacheField>
    <cacheField name="EventDate2" numFmtId="0">
      <sharedItems containsBlank="1" containsMixedTypes="1" containsNumber="1" containsInteger="1" minValue="25204" maxValue="35431"/>
    </cacheField>
    <cacheField name="Lat" numFmtId="0">
      <sharedItems containsSemiMixedTypes="0" containsString="0" containsNumber="1" minValue="-43.057000000000002" maxValue="66.215000000000003"/>
    </cacheField>
    <cacheField name="Long" numFmtId="0">
      <sharedItems containsSemiMixedTypes="0" containsString="0" containsNumber="1" minValue="-159.51" maxValue="153.58000000000001"/>
    </cacheField>
    <cacheField name="nSiteReps" numFmtId="0">
      <sharedItems containsSemiMixedTypes="0" containsString="0" containsNumber="1" containsInteger="1" minValue="1" maxValue="220"/>
    </cacheField>
    <cacheField name="Clim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n v="1"/>
    <x v="0"/>
    <s v="Edkou"/>
    <s v="yes"/>
    <s v="Fishing"/>
    <s v="Dams"/>
    <s v="Multiple"/>
    <s v="Press"/>
    <s v="negative"/>
    <s v="negative"/>
    <n v="21551"/>
    <n v="25204"/>
    <n v="31.251000000000001"/>
    <n v="30.21"/>
    <n v="1"/>
    <s v="subtropical"/>
  </r>
  <r>
    <n v="2"/>
    <x v="0"/>
    <s v="Manzalah"/>
    <s v="yes"/>
    <s v="Fishing"/>
    <s v="Dams"/>
    <s v="Multiple"/>
    <s v="Press"/>
    <s v="negative"/>
    <s v="negative"/>
    <n v="21551"/>
    <n v="25204"/>
    <n v="31.321000000000002"/>
    <n v="32.069000000000003"/>
    <n v="1"/>
    <s v="subtropical"/>
  </r>
  <r>
    <n v="3"/>
    <x v="0"/>
    <s v="Nile"/>
    <s v="yes"/>
    <s v="Fishing"/>
    <s v="Dams"/>
    <s v="Multiple"/>
    <s v="Press"/>
    <s v="negative"/>
    <s v="negative"/>
    <n v="21551"/>
    <n v="25204"/>
    <n v="31.481000000000002"/>
    <n v="30.838000000000001"/>
    <n v="1"/>
    <s v="subtropical"/>
  </r>
  <r>
    <n v="4"/>
    <x v="1"/>
    <s v="FourSites"/>
    <s v="yes"/>
    <s v="HurricaneHugo"/>
    <s v="HurricaneMarilyn"/>
    <s v="Multiple"/>
    <s v="Pulse"/>
    <s v="neutral"/>
    <s v="neutral"/>
    <n v="32752"/>
    <n v="34943"/>
    <n v="18.321999999999999"/>
    <n v="-64.688000000000002"/>
    <n v="4"/>
    <s v="tropical"/>
  </r>
  <r>
    <n v="5"/>
    <x v="2"/>
    <s v="Wadden15"/>
    <s v="no"/>
    <s v="Warming"/>
    <s v="Invasion"/>
    <s v="Multiple"/>
    <s v="Press"/>
    <s v="neutral"/>
    <s v="neutral"/>
    <n v="25569"/>
    <n v="29952"/>
    <n v="52.930999999999997"/>
    <n v="4.8630000000000004"/>
    <n v="15"/>
    <s v="temperate"/>
  </r>
  <r>
    <n v="6"/>
    <x v="3"/>
    <s v="coastal"/>
    <s v="no"/>
    <s v="NA"/>
    <s v="NA"/>
    <s v="NA"/>
    <s v="None"/>
    <s v="NA"/>
    <s v="neutral"/>
    <s v="NA"/>
    <s v="NA"/>
    <n v="52.335000000000001"/>
    <n v="4.4470000000000001"/>
    <n v="14"/>
    <s v="temperate"/>
  </r>
  <r>
    <n v="7"/>
    <x v="3"/>
    <s v="Dogger Bank"/>
    <s v="no"/>
    <s v="NA"/>
    <s v="NA"/>
    <s v="NA"/>
    <s v="None"/>
    <s v="NA"/>
    <s v="neutral"/>
    <s v="NA"/>
    <s v="NA"/>
    <n v="55.12"/>
    <n v="3.3660000000000001"/>
    <n v="6"/>
    <s v="temperate"/>
  </r>
  <r>
    <n v="8"/>
    <x v="3"/>
    <s v="offshore"/>
    <s v="no"/>
    <s v="NA"/>
    <s v="NA"/>
    <s v="NA"/>
    <s v="None"/>
    <s v="NA"/>
    <s v="neutral"/>
    <s v="NA"/>
    <s v="NA"/>
    <n v="52.886000000000003"/>
    <n v="3.96"/>
    <n v="21"/>
    <s v="temperate"/>
  </r>
  <r>
    <n v="9"/>
    <x v="3"/>
    <s v="Oyster grounds"/>
    <s v="no"/>
    <s v="NA"/>
    <s v="NA"/>
    <s v="NA"/>
    <s v="None"/>
    <s v="NA"/>
    <s v="neutral"/>
    <s v="NA"/>
    <s v="NA"/>
    <n v="54.030999999999999"/>
    <n v="3.9809999999999999"/>
    <n v="45"/>
    <s v="temperate"/>
  </r>
  <r>
    <n v="10"/>
    <x v="4"/>
    <s v="BirkeSC"/>
    <s v="no"/>
    <s v="NA"/>
    <s v="NA"/>
    <s v="NA"/>
    <s v="None"/>
    <s v="NA"/>
    <s v="neutral"/>
    <s v="NA"/>
    <s v="NA"/>
    <n v="48.551000000000002"/>
    <n v="-123.005"/>
    <n v="1"/>
    <s v="temperate"/>
  </r>
  <r>
    <n v="11"/>
    <x v="5"/>
    <s v="Cabritte"/>
    <s v="no"/>
    <s v="NA"/>
    <s v="NA"/>
    <s v="NA"/>
    <s v="None"/>
    <s v="NA"/>
    <s v="neutral"/>
    <s v="NA"/>
    <s v="NA"/>
    <n v="18.308"/>
    <n v="-64.721999999999994"/>
    <n v="1"/>
    <s v="tropical"/>
  </r>
  <r>
    <n v="12"/>
    <x v="5"/>
    <s v="EastTektite"/>
    <s v="no"/>
    <s v="NA"/>
    <s v="NA"/>
    <s v="NA"/>
    <s v="None"/>
    <s v="NA"/>
    <s v="neutral"/>
    <s v="NA"/>
    <s v="NA"/>
    <n v="18.311"/>
    <n v="-64.722999999999999"/>
    <n v="1"/>
    <s v="tropical"/>
  </r>
  <r>
    <n v="13"/>
    <x v="5"/>
    <s v="Europa"/>
    <s v="no"/>
    <s v="NA"/>
    <s v="NA"/>
    <s v="NA"/>
    <s v="None"/>
    <s v="NA"/>
    <s v="neutral"/>
    <s v="NA"/>
    <s v="NA"/>
    <n v="18.317"/>
    <n v="-64.73"/>
    <n v="1"/>
    <s v="tropical"/>
  </r>
  <r>
    <n v="14"/>
    <x v="5"/>
    <s v="NeptunesTable"/>
    <s v="no"/>
    <s v="NA"/>
    <s v="NA"/>
    <s v="NA"/>
    <s v="None"/>
    <s v="NA"/>
    <s v="neutral"/>
    <s v="NA"/>
    <s v="NA"/>
    <n v="18.317"/>
    <n v="-64.721000000000004"/>
    <n v="1"/>
    <s v="tropical"/>
  </r>
  <r>
    <n v="15"/>
    <x v="5"/>
    <s v="WestLittleLameshur"/>
    <s v="no"/>
    <s v="NA"/>
    <s v="NA"/>
    <s v="NA"/>
    <s v="None"/>
    <s v="NA"/>
    <s v="neutral"/>
    <s v="NA"/>
    <s v="NA"/>
    <n v="18.317"/>
    <n v="-64.727999999999994"/>
    <n v="1"/>
    <s v="tropical"/>
  </r>
  <r>
    <n v="16"/>
    <x v="5"/>
    <s v="WhitePoint"/>
    <s v="no"/>
    <s v="NA"/>
    <s v="NA"/>
    <s v="NA"/>
    <s v="None"/>
    <s v="NA"/>
    <s v="neutral"/>
    <s v="NA"/>
    <s v="NA"/>
    <n v="18.314"/>
    <n v="-64.730999999999995"/>
    <n v="1"/>
    <s v="tropical"/>
  </r>
  <r>
    <n v="17"/>
    <x v="6"/>
    <s v="ON"/>
    <s v="no"/>
    <s v="NA"/>
    <s v="NA"/>
    <s v="NA"/>
    <s v="None"/>
    <s v="NA"/>
    <s v="neutral"/>
    <s v="NA"/>
    <s v="NA"/>
    <n v="48.604999999999997"/>
    <n v="-123.092"/>
    <n v="1"/>
    <s v="temperate"/>
  </r>
  <r>
    <n v="18"/>
    <x v="6"/>
    <s v="PG"/>
    <s v="no"/>
    <s v="NA"/>
    <s v="NA"/>
    <s v="NA"/>
    <s v="None"/>
    <s v="NA"/>
    <s v="neutral"/>
    <s v="NA"/>
    <s v="NA"/>
    <n v="48.558999999999997"/>
    <n v="-122.988"/>
    <n v="1"/>
    <s v="temperate"/>
  </r>
  <r>
    <n v="19"/>
    <x v="6"/>
    <s v="SC"/>
    <s v="no"/>
    <s v="NA"/>
    <s v="NA"/>
    <s v="NA"/>
    <s v="None"/>
    <s v="NA"/>
    <s v="neutral"/>
    <s v="NA"/>
    <s v="NA"/>
    <n v="48.551000000000002"/>
    <n v="-123.005"/>
    <n v="1"/>
    <s v="temperate"/>
  </r>
  <r>
    <n v="20"/>
    <x v="7"/>
    <s v="M1"/>
    <s v="no"/>
    <s v="NA"/>
    <s v="NA"/>
    <s v="NA"/>
    <s v="None"/>
    <s v="NA"/>
    <s v="neutral"/>
    <s v="NA"/>
    <s v="NA"/>
    <n v="55.116999999999997"/>
    <n v="-1.333"/>
    <n v="1"/>
    <s v="temperate"/>
  </r>
  <r>
    <n v="21"/>
    <x v="8"/>
    <s v="Cocoloba"/>
    <s v="yes"/>
    <s v="HurricaneHugo"/>
    <s v="NA"/>
    <s v="Disturb"/>
    <s v="Pulse"/>
    <s v="negative"/>
    <s v="negative"/>
    <n v="32752"/>
    <s v="NA"/>
    <n v="18.315000000000001"/>
    <n v="-64.760000000000005"/>
    <n v="1"/>
    <s v="tropical"/>
  </r>
  <r>
    <n v="22"/>
    <x v="8"/>
    <s v="Yawzi"/>
    <s v="yes"/>
    <s v="HurricaneGilbert"/>
    <s v="HurricaneHugo"/>
    <s v="Multiple"/>
    <s v="Pulse"/>
    <s v="neutral"/>
    <s v="neutral"/>
    <n v="32387"/>
    <n v="32752"/>
    <n v="18.315000000000001"/>
    <n v="-64.725999999999999"/>
    <n v="1"/>
    <s v="tropical"/>
  </r>
  <r>
    <n v="23"/>
    <x v="9"/>
    <s v="HanaleiBay"/>
    <s v="no"/>
    <s v="NA"/>
    <s v="NA"/>
    <s v="NA"/>
    <s v="None"/>
    <s v="NA"/>
    <s v="neutral"/>
    <s v="NA"/>
    <s v="NA"/>
    <n v="22.21"/>
    <n v="-159.51"/>
    <n v="1"/>
    <s v="tropical"/>
  </r>
  <r>
    <n v="24"/>
    <x v="10"/>
    <s v="MBL"/>
    <s v="no"/>
    <s v="NA"/>
    <s v="NA"/>
    <s v="NA"/>
    <s v="None"/>
    <s v="NA"/>
    <s v="neutral"/>
    <s v="NA"/>
    <s v="NA"/>
    <n v="37.222499999999997"/>
    <n v="-76.385000000000005"/>
    <n v="1"/>
    <s v="subtropical"/>
  </r>
  <r>
    <n v="25"/>
    <x v="11"/>
    <s v="Esperance"/>
    <s v="no"/>
    <s v="NA"/>
    <s v="NA"/>
    <s v="NA"/>
    <s v="None"/>
    <s v="NA"/>
    <s v="neutral"/>
    <s v="NA"/>
    <s v="NA"/>
    <n v="-33.933300000000003"/>
    <n v="121.85"/>
    <n v="1"/>
    <s v="subtropical"/>
  </r>
  <r>
    <n v="26"/>
    <x v="11"/>
    <s v="Kangaroo Island"/>
    <s v="no"/>
    <s v="NA"/>
    <s v="NA"/>
    <s v="NA"/>
    <s v="None"/>
    <s v="NA"/>
    <s v="neutral"/>
    <s v="NA"/>
    <s v="NA"/>
    <n v="-35.835999999999999"/>
    <n v="136.44800000000001"/>
    <n v="1"/>
    <s v="subtropical"/>
  </r>
  <r>
    <n v="27"/>
    <x v="11"/>
    <s v="Maria Island"/>
    <s v="no"/>
    <s v="NA"/>
    <s v="NA"/>
    <s v="NA"/>
    <s v="None"/>
    <s v="NA"/>
    <s v="neutral"/>
    <s v="NA"/>
    <s v="NA"/>
    <n v="-42.597000000000001"/>
    <n v="148.233"/>
    <n v="1"/>
    <s v="temperate"/>
  </r>
  <r>
    <n v="28"/>
    <x v="11"/>
    <s v="North Stradbroke"/>
    <s v="no"/>
    <s v="NA"/>
    <s v="NA"/>
    <s v="NA"/>
    <s v="None"/>
    <s v="NA"/>
    <s v="neutral"/>
    <s v="NA"/>
    <s v="NA"/>
    <n v="-27.388999999999999"/>
    <n v="153.58000000000001"/>
    <n v="1"/>
    <s v="subtropical"/>
  </r>
  <r>
    <n v="29"/>
    <x v="11"/>
    <s v="Port Hacking"/>
    <s v="no"/>
    <s v="NA"/>
    <s v="NA"/>
    <s v="NA"/>
    <s v="None"/>
    <s v="NA"/>
    <s v="neutral"/>
    <s v="NA"/>
    <s v="NA"/>
    <n v="-34.119199999999999"/>
    <n v="151.22669999999999"/>
    <n v="1"/>
    <s v="subtropical"/>
  </r>
  <r>
    <n v="30"/>
    <x v="11"/>
    <s v="Port Hacking 4"/>
    <s v="no"/>
    <s v="NA"/>
    <s v="NA"/>
    <s v="NA"/>
    <s v="None"/>
    <s v="NA"/>
    <s v="neutral"/>
    <s v="NA"/>
    <s v="NA"/>
    <n v="-34.117600000000003"/>
    <n v="151.2182"/>
    <n v="1"/>
    <s v="subtropical"/>
  </r>
  <r>
    <n v="31"/>
    <x v="11"/>
    <s v="Rottnest Island"/>
    <s v="no"/>
    <s v="NA"/>
    <s v="NA"/>
    <s v="NA"/>
    <s v="None"/>
    <s v="NA"/>
    <s v="neutral"/>
    <s v="NA"/>
    <s v="NA"/>
    <n v="-32"/>
    <n v="115.417"/>
    <n v="1"/>
    <s v="subtropical"/>
  </r>
  <r>
    <n v="32"/>
    <x v="11"/>
    <s v="Yongala"/>
    <s v="no"/>
    <s v="NA"/>
    <s v="NA"/>
    <s v="NA"/>
    <s v="None"/>
    <s v="NA"/>
    <s v="neutral"/>
    <s v="NA"/>
    <s v="NA"/>
    <n v="-19.306000000000001"/>
    <n v="147.26"/>
    <n v="1"/>
    <s v="tropical"/>
  </r>
  <r>
    <n v="33"/>
    <x v="12"/>
    <s v="KFMP1"/>
    <s v="no"/>
    <s v="NA"/>
    <s v="NA"/>
    <s v="NA"/>
    <s v="None"/>
    <s v="NA"/>
    <s v="neutral"/>
    <s v="NA"/>
    <s v="NA"/>
    <n v="34.022366669999997"/>
    <n v="-120.3874667"/>
    <n v="1"/>
    <s v="subtropical"/>
  </r>
  <r>
    <n v="34"/>
    <x v="12"/>
    <s v="KFMP10"/>
    <s v="no"/>
    <s v="NA"/>
    <s v="NA"/>
    <s v="NA"/>
    <s v="None"/>
    <s v="NA"/>
    <s v="neutral"/>
    <s v="NA"/>
    <s v="NA"/>
    <n v="33.989833330000003"/>
    <n v="-119.56306669999999"/>
    <n v="1"/>
    <s v="subtropical"/>
  </r>
  <r>
    <n v="35"/>
    <x v="12"/>
    <s v="KFMP11"/>
    <s v="no"/>
    <s v="NA"/>
    <s v="NA"/>
    <s v="NA"/>
    <s v="None"/>
    <s v="NA"/>
    <s v="neutral"/>
    <s v="NA"/>
    <s v="NA"/>
    <n v="34.007750000000001"/>
    <n v="-119.43438329999999"/>
    <n v="1"/>
    <s v="subtropical"/>
  </r>
  <r>
    <n v="36"/>
    <x v="12"/>
    <s v="KFMP12"/>
    <s v="yes"/>
    <s v="MPA"/>
    <s v="NA"/>
    <s v="FishingClosure"/>
    <s v="Press"/>
    <s v="positive"/>
    <s v="positive"/>
    <n v="28491"/>
    <s v="NA"/>
    <n v="34.015866670000001"/>
    <n v="-119.3717333"/>
    <n v="1"/>
    <s v="subtropical"/>
  </r>
  <r>
    <n v="37"/>
    <x v="12"/>
    <s v="KFMP13"/>
    <s v="yes"/>
    <s v="MPA"/>
    <s v="NA"/>
    <s v="FishingClosure"/>
    <s v="Press"/>
    <s v="positive"/>
    <s v="positive"/>
    <n v="37712"/>
    <s v="NA"/>
    <n v="34.017033329999997"/>
    <n v="-119.36113330000001"/>
    <n v="1"/>
    <s v="subtropical"/>
  </r>
  <r>
    <n v="38"/>
    <x v="12"/>
    <s v="KFMP14"/>
    <s v="yes"/>
    <s v="MPA"/>
    <s v="NA"/>
    <s v="FishingClosure"/>
    <s v="Press"/>
    <s v="positive"/>
    <s v="positive"/>
    <n v="37712"/>
    <s v="NA"/>
    <n v="33.466116669999998"/>
    <n v="-119.0277833"/>
    <n v="1"/>
    <s v="subtropical"/>
  </r>
  <r>
    <n v="39"/>
    <x v="12"/>
    <s v="KFMP15"/>
    <s v="no"/>
    <s v="NA"/>
    <s v="NA"/>
    <s v="NA"/>
    <s v="None"/>
    <s v="NA"/>
    <s v="neutral"/>
    <s v="NA"/>
    <s v="NA"/>
    <n v="33.487533329999998"/>
    <n v="-119.0275833"/>
    <n v="1"/>
    <s v="subtropical"/>
  </r>
  <r>
    <n v="40"/>
    <x v="12"/>
    <s v="KFMP16"/>
    <s v="no"/>
    <s v="NA"/>
    <s v="NA"/>
    <s v="NA"/>
    <s v="None"/>
    <s v="NA"/>
    <s v="neutral"/>
    <s v="NA"/>
    <s v="NA"/>
    <n v="33.464416669999999"/>
    <n v="-119.0391667"/>
    <n v="1"/>
    <s v="subtropical"/>
  </r>
  <r>
    <n v="41"/>
    <x v="12"/>
    <s v="KFMP2"/>
    <s v="yes"/>
    <s v="MPA"/>
    <s v="NA"/>
    <s v="FishingClosure"/>
    <s v="Press"/>
    <s v="positive"/>
    <s v="positive"/>
    <n v="37712"/>
    <s v="NA"/>
    <n v="34.064383329999998"/>
    <n v="-120.3566"/>
    <n v="1"/>
    <s v="subtropical"/>
  </r>
  <r>
    <n v="42"/>
    <x v="12"/>
    <s v="KFMP21"/>
    <s v="no"/>
    <s v="NA"/>
    <s v="NA"/>
    <s v="NA"/>
    <s v="None"/>
    <s v="NA"/>
    <s v="neutral"/>
    <s v="NA"/>
    <s v="NA"/>
    <n v="34.023699999999998"/>
    <n v="-120.3951333"/>
    <n v="1"/>
    <s v="subtropical"/>
  </r>
  <r>
    <n v="43"/>
    <x v="12"/>
    <s v="KFMP22"/>
    <s v="no"/>
    <s v="NA"/>
    <s v="NA"/>
    <s v="NA"/>
    <s v="None"/>
    <s v="NA"/>
    <s v="neutral"/>
    <s v="NA"/>
    <s v="NA"/>
    <n v="33.923033330000003"/>
    <n v="-120.1873667"/>
    <n v="1"/>
    <s v="subtropical"/>
  </r>
  <r>
    <n v="44"/>
    <x v="12"/>
    <s v="KFMP23"/>
    <s v="yes"/>
    <s v="MPA"/>
    <s v="NA"/>
    <s v="FishingClosure"/>
    <s v="Press"/>
    <s v="positive"/>
    <s v="positive"/>
    <n v="37712"/>
    <s v="NA"/>
    <n v="33.908549999999998"/>
    <n v="-120.1555333"/>
    <n v="1"/>
    <s v="subtropical"/>
  </r>
  <r>
    <n v="45"/>
    <x v="12"/>
    <s v="KFMP24"/>
    <s v="yes"/>
    <s v="MPA"/>
    <s v="NA"/>
    <s v="FishingClosure"/>
    <s v="Press"/>
    <s v="positive"/>
    <s v="positive"/>
    <n v="37712"/>
    <s v="NA"/>
    <n v="33.900366669999997"/>
    <n v="-120.1356667"/>
    <n v="1"/>
    <s v="subtropical"/>
  </r>
  <r>
    <n v="46"/>
    <x v="12"/>
    <s v="KFMP25"/>
    <s v="yes"/>
    <s v="MPA"/>
    <s v="NA"/>
    <s v="FishingClosure"/>
    <s v="Press"/>
    <s v="positive"/>
    <s v="positive"/>
    <n v="37712"/>
    <s v="NA"/>
    <n v="33.89233333"/>
    <n v="-120.1195"/>
    <n v="1"/>
    <s v="subtropical"/>
  </r>
  <r>
    <n v="47"/>
    <x v="12"/>
    <s v="KFMP26"/>
    <s v="no"/>
    <s v="NA"/>
    <s v="NA"/>
    <s v="NA"/>
    <s v="None"/>
    <s v="NA"/>
    <s v="neutral"/>
    <s v="NA"/>
    <s v="NA"/>
    <n v="34.044883329999998"/>
    <n v="-119.6012667"/>
    <n v="1"/>
    <s v="subtropical"/>
  </r>
  <r>
    <n v="48"/>
    <x v="12"/>
    <s v="KFMP27"/>
    <s v="yes"/>
    <s v="MPA"/>
    <s v="NA"/>
    <s v="FishingClosure"/>
    <s v="Press"/>
    <s v="positive"/>
    <s v="positive"/>
    <n v="37712"/>
    <s v="NA"/>
    <n v="34.052166669999998"/>
    <n v="-119.5821167"/>
    <n v="1"/>
    <s v="subtropical"/>
  </r>
  <r>
    <n v="49"/>
    <x v="12"/>
    <s v="KFMP28"/>
    <s v="yes"/>
    <s v="MPA"/>
    <s v="NA"/>
    <s v="FishingClosure"/>
    <s v="Press"/>
    <s v="positive"/>
    <s v="positive"/>
    <n v="37712"/>
    <s v="NA"/>
    <n v="34.054283329999997"/>
    <n v="-119.56686670000001"/>
    <n v="1"/>
    <s v="subtropical"/>
  </r>
  <r>
    <n v="50"/>
    <x v="12"/>
    <s v="KFMP29"/>
    <s v="no"/>
    <s v="NA"/>
    <s v="NA"/>
    <s v="NA"/>
    <s v="None"/>
    <s v="NA"/>
    <s v="neutral"/>
    <s v="NA"/>
    <s v="NA"/>
    <n v="34.044150000000002"/>
    <n v="-119.54245"/>
    <n v="1"/>
    <s v="subtropical"/>
  </r>
  <r>
    <n v="51"/>
    <x v="12"/>
    <s v="KFMP3"/>
    <s v="no"/>
    <s v="NA"/>
    <s v="NA"/>
    <s v="NA"/>
    <s v="None"/>
    <s v="NA"/>
    <s v="neutral"/>
    <s v="NA"/>
    <s v="NA"/>
    <n v="33.901466669999998"/>
    <n v="-120.1029667"/>
    <n v="1"/>
    <s v="subtropical"/>
  </r>
  <r>
    <n v="52"/>
    <x v="12"/>
    <s v="KFMP30"/>
    <s v="no"/>
    <s v="NA"/>
    <s v="NA"/>
    <s v="NA"/>
    <s v="None"/>
    <s v="NA"/>
    <s v="neutral"/>
    <s v="NA"/>
    <s v="NA"/>
    <n v="34.038366670000002"/>
    <n v="-119.5253"/>
    <n v="1"/>
    <s v="subtropical"/>
  </r>
  <r>
    <n v="53"/>
    <x v="12"/>
    <s v="KFMP31"/>
    <s v="yes"/>
    <s v="MPA"/>
    <s v="NA"/>
    <s v="FishingClosure"/>
    <s v="Press"/>
    <s v="positive"/>
    <s v="positive"/>
    <n v="37712"/>
    <s v="NA"/>
    <n v="34.016416669999998"/>
    <n v="-119.43201670000001"/>
    <n v="1"/>
    <s v="subtropical"/>
  </r>
  <r>
    <n v="54"/>
    <x v="12"/>
    <s v="KFMP32"/>
    <s v="no"/>
    <s v="NA"/>
    <s v="NA"/>
    <s v="NA"/>
    <s v="None"/>
    <s v="NA"/>
    <s v="neutral"/>
    <s v="NA"/>
    <s v="NA"/>
    <n v="34.0045"/>
    <n v="-119.3857833"/>
    <n v="1"/>
    <s v="subtropical"/>
  </r>
  <r>
    <n v="55"/>
    <x v="12"/>
    <s v="KFMP33"/>
    <s v="yes"/>
    <s v="MPA"/>
    <s v="NA"/>
    <s v="FishingClosure"/>
    <s v="Press"/>
    <s v="positive"/>
    <s v="positive"/>
    <n v="37712"/>
    <s v="NA"/>
    <n v="34.012599999999999"/>
    <n v="-119.3891833"/>
    <n v="1"/>
    <s v="subtropical"/>
  </r>
  <r>
    <n v="56"/>
    <x v="12"/>
    <s v="KFMP34"/>
    <s v="no"/>
    <s v="NA"/>
    <s v="NA"/>
    <s v="NA"/>
    <s v="None"/>
    <s v="NA"/>
    <s v="neutral"/>
    <s v="NA"/>
    <s v="NA"/>
    <n v="34.014099999999999"/>
    <n v="-119.3590167"/>
    <n v="1"/>
    <s v="subtropical"/>
  </r>
  <r>
    <n v="57"/>
    <x v="12"/>
    <s v="KFMP35"/>
    <s v="no"/>
    <s v="NA"/>
    <s v="NA"/>
    <s v="NA"/>
    <s v="None"/>
    <s v="NA"/>
    <s v="neutral"/>
    <s v="NA"/>
    <s v="NA"/>
    <n v="33.479849999999999"/>
    <n v="-119.0622"/>
    <n v="1"/>
    <s v="subtropical"/>
  </r>
  <r>
    <n v="58"/>
    <x v="12"/>
    <s v="KFMP36"/>
    <s v="yes"/>
    <s v="MPA"/>
    <s v="NA"/>
    <s v="FishingClosure"/>
    <s v="Press"/>
    <s v="positive"/>
    <s v="positive"/>
    <n v="37712"/>
    <s v="NA"/>
    <n v="33.473066670000001"/>
    <n v="-119.0268167"/>
    <n v="1"/>
    <s v="subtropical"/>
  </r>
  <r>
    <n v="59"/>
    <x v="12"/>
    <s v="KFMP37"/>
    <s v="yes"/>
    <s v="MPA"/>
    <s v="NA"/>
    <s v="FishingClosure"/>
    <s v="Press"/>
    <s v="positive"/>
    <s v="positive"/>
    <n v="37712"/>
    <s v="NA"/>
    <n v="33.462933329999998"/>
    <n v="-119.0312667"/>
    <n v="1"/>
    <s v="subtropical"/>
  </r>
  <r>
    <n v="60"/>
    <x v="12"/>
    <s v="KFMP4"/>
    <s v="no"/>
    <s v="NA"/>
    <s v="NA"/>
    <s v="NA"/>
    <s v="None"/>
    <s v="NA"/>
    <s v="neutral"/>
    <s v="NA"/>
    <s v="NA"/>
    <n v="33.897533330000002"/>
    <n v="-120.10075000000001"/>
    <n v="1"/>
    <s v="subtropical"/>
  </r>
  <r>
    <n v="61"/>
    <x v="12"/>
    <s v="KFMP5"/>
    <s v="no"/>
    <s v="NA"/>
    <s v="NA"/>
    <s v="NA"/>
    <s v="None"/>
    <s v="NA"/>
    <s v="neutral"/>
    <s v="NA"/>
    <s v="NA"/>
    <n v="34.032616670000003"/>
    <n v="-120.107"/>
    <n v="1"/>
    <s v="subtropical"/>
  </r>
  <r>
    <n v="62"/>
    <x v="12"/>
    <s v="KFMP6"/>
    <s v="yes"/>
    <s v="MPA"/>
    <s v="NA"/>
    <s v="FishingClosure"/>
    <s v="Press"/>
    <s v="positive"/>
    <s v="positive"/>
    <n v="37712"/>
    <s v="NA"/>
    <n v="33.949666669999999"/>
    <n v="-119.8275833"/>
    <n v="1"/>
    <s v="subtropical"/>
  </r>
  <r>
    <n v="63"/>
    <x v="12"/>
    <s v="KFMP7"/>
    <s v="no"/>
    <s v="NA"/>
    <s v="NA"/>
    <s v="NA"/>
    <s v="None"/>
    <s v="NA"/>
    <s v="neutral"/>
    <s v="NA"/>
    <s v="NA"/>
    <n v="34.056350000000002"/>
    <n v="-119.75515"/>
    <n v="1"/>
    <s v="subtropical"/>
  </r>
  <r>
    <n v="64"/>
    <x v="12"/>
    <s v="KFMP8"/>
    <s v="no"/>
    <s v="NA"/>
    <s v="NA"/>
    <s v="NA"/>
    <s v="None"/>
    <s v="NA"/>
    <s v="neutral"/>
    <s v="NA"/>
    <s v="NA"/>
    <n v="34.03488333"/>
    <n v="-119.7030833"/>
    <n v="1"/>
    <s v="subtropical"/>
  </r>
  <r>
    <n v="65"/>
    <x v="12"/>
    <s v="KFMP9"/>
    <s v="yes"/>
    <s v="MPA"/>
    <s v="NA"/>
    <s v="FishingClosure"/>
    <s v="Press"/>
    <s v="positive"/>
    <s v="positive"/>
    <n v="37712"/>
    <s v="NA"/>
    <n v="34.047983330000001"/>
    <n v="-119.5514"/>
    <n v="1"/>
    <s v="subtropical"/>
  </r>
  <r>
    <n v="66"/>
    <x v="13"/>
    <s v="ABUR"/>
    <s v="no"/>
    <s v="NA"/>
    <s v="NA"/>
    <s v="NA"/>
    <s v="None"/>
    <s v="NA"/>
    <s v="neutral"/>
    <s v="NA"/>
    <s v="NA"/>
    <n v="34.400275000000001"/>
    <n v="-119.7445915"/>
    <n v="1"/>
    <s v="subtropical"/>
  </r>
  <r>
    <n v="67"/>
    <x v="13"/>
    <s v="AHND"/>
    <s v="no"/>
    <s v="NA"/>
    <s v="NA"/>
    <s v="NA"/>
    <s v="None"/>
    <s v="NA"/>
    <s v="neutral"/>
    <s v="NA"/>
    <s v="NA"/>
    <n v="34.471817000000001"/>
    <n v="-120.1426165"/>
    <n v="1"/>
    <s v="subtropical"/>
  </r>
  <r>
    <n v="68"/>
    <x v="13"/>
    <s v="AQUE"/>
    <s v="no"/>
    <s v="NA"/>
    <s v="NA"/>
    <s v="NA"/>
    <s v="None"/>
    <s v="NA"/>
    <s v="neutral"/>
    <s v="NA"/>
    <s v="NA"/>
    <n v="34.46774988"/>
    <n v="-120.11905"/>
    <n v="1"/>
    <s v="subtropical"/>
  </r>
  <r>
    <n v="69"/>
    <x v="13"/>
    <s v="BULL"/>
    <s v="no"/>
    <s v="NA"/>
    <s v="NA"/>
    <s v="NA"/>
    <s v="None"/>
    <s v="NA"/>
    <s v="neutral"/>
    <s v="NA"/>
    <s v="NA"/>
    <n v="34.458505330000001"/>
    <n v="-120.33349"/>
    <n v="1"/>
    <s v="subtropical"/>
  </r>
  <r>
    <n v="70"/>
    <x v="13"/>
    <s v="CARP"/>
    <s v="no"/>
    <s v="NA"/>
    <s v="NA"/>
    <s v="NA"/>
    <s v="None"/>
    <s v="NA"/>
    <s v="neutral"/>
    <s v="NA"/>
    <s v="NA"/>
    <n v="34.3916319"/>
    <n v="-119.54169330000001"/>
    <n v="1"/>
    <s v="subtropical"/>
  </r>
  <r>
    <n v="71"/>
    <x v="13"/>
    <s v="GOLB"/>
    <s v="no"/>
    <s v="NA"/>
    <s v="NA"/>
    <s v="NA"/>
    <s v="None"/>
    <s v="NA"/>
    <s v="neutral"/>
    <s v="NA"/>
    <s v="NA"/>
    <n v="34.4137165"/>
    <n v="-119.9221"/>
    <n v="1"/>
    <s v="subtropical"/>
  </r>
  <r>
    <n v="72"/>
    <x v="13"/>
    <s v="IVEE"/>
    <s v="no"/>
    <s v="NA"/>
    <s v="NA"/>
    <s v="NA"/>
    <s v="None"/>
    <s v="NA"/>
    <s v="neutral"/>
    <s v="NA"/>
    <s v="NA"/>
    <n v="34.402782999999999"/>
    <n v="-119.85755"/>
    <n v="1"/>
    <s v="subtropical"/>
  </r>
  <r>
    <n v="73"/>
    <x v="13"/>
    <s v="MOHK"/>
    <s v="no"/>
    <s v="NA"/>
    <s v="NA"/>
    <s v="NA"/>
    <s v="None"/>
    <s v="NA"/>
    <s v="neutral"/>
    <s v="NA"/>
    <s v="NA"/>
    <n v="34.394070800000001"/>
    <n v="-119.72957"/>
    <n v="1"/>
    <s v="subtropical"/>
  </r>
  <r>
    <n v="74"/>
    <x v="13"/>
    <s v="NAPL"/>
    <s v="no"/>
    <s v="NA"/>
    <s v="NA"/>
    <s v="NA"/>
    <s v="None"/>
    <s v="NA"/>
    <s v="neutral"/>
    <s v="NA"/>
    <s v="NA"/>
    <n v="34.422121599999997"/>
    <n v="-119.95153999999999"/>
    <n v="1"/>
    <s v="subtropical"/>
  </r>
  <r>
    <n v="75"/>
    <x v="13"/>
    <s v="SCDI"/>
    <s v="no"/>
    <s v="NA"/>
    <s v="NA"/>
    <s v="NA"/>
    <s v="None"/>
    <s v="NA"/>
    <s v="neutral"/>
    <s v="NA"/>
    <s v="NA"/>
    <n v="34.05865"/>
    <n v="-119.75763000000001"/>
    <n v="1"/>
    <s v="subtropical"/>
  </r>
  <r>
    <n v="76"/>
    <x v="13"/>
    <s v="SCTW"/>
    <s v="no"/>
    <s v="NA"/>
    <s v="NA"/>
    <s v="NA"/>
    <s v="None"/>
    <s v="NA"/>
    <s v="neutral"/>
    <s v="NA"/>
    <s v="NA"/>
    <n v="34.044433499999997"/>
    <n v="-119.71513"/>
    <n v="1"/>
    <s v="subtropical"/>
  </r>
  <r>
    <n v="77"/>
    <x v="14"/>
    <s v="B17_sha"/>
    <s v="yes"/>
    <s v="NuclearPlant"/>
    <s v="NA"/>
    <s v="WarmingLocal"/>
    <s v="Press"/>
    <s v="neutral"/>
    <s v="neutral"/>
    <n v="33239"/>
    <s v="NA"/>
    <n v="42.9"/>
    <n v="-70.793000000000006"/>
    <n v="1"/>
    <s v="temperate"/>
  </r>
  <r>
    <n v="78"/>
    <x v="14"/>
    <s v="B19_mid"/>
    <s v="yes"/>
    <s v="NuclearPlant"/>
    <s v="NA"/>
    <s v="Sedimentation"/>
    <s v="Press"/>
    <s v="negative"/>
    <s v="negative"/>
    <n v="33239"/>
    <s v="NA"/>
    <n v="42.892000000000003"/>
    <n v="-70.787999999999997"/>
    <n v="1"/>
    <s v="temperate"/>
  </r>
  <r>
    <n v="79"/>
    <x v="14"/>
    <s v="B31_mid"/>
    <s v="no"/>
    <s v="NA"/>
    <s v="NA"/>
    <s v="NA"/>
    <s v="None"/>
    <s v="NA"/>
    <s v="neutral"/>
    <s v="NA"/>
    <s v="NA"/>
    <n v="42.970999999999997"/>
    <n v="-70.753"/>
    <n v="1"/>
    <s v="temperate"/>
  </r>
  <r>
    <n v="80"/>
    <x v="14"/>
    <s v="B35_sha"/>
    <s v="no"/>
    <s v="NA"/>
    <s v="NA"/>
    <s v="NA"/>
    <s v="None"/>
    <s v="NA"/>
    <s v="neutral"/>
    <s v="NA"/>
    <s v="NA"/>
    <n v="42.96"/>
    <n v="-70.769000000000005"/>
    <n v="1"/>
    <s v="temperate"/>
  </r>
  <r>
    <n v="81"/>
    <x v="15"/>
    <s v="recipient"/>
    <s v="yes"/>
    <s v="NuclearPlant"/>
    <s v="NuclearPlant"/>
    <s v="WarmingLocal"/>
    <s v="Press"/>
    <s v="neutral"/>
    <s v="neutral"/>
    <n v="27395"/>
    <n v="29587"/>
    <n v="57.252000000000002"/>
    <n v="12.077"/>
    <n v="1"/>
    <s v="temperate"/>
  </r>
  <r>
    <n v="82"/>
    <x v="15"/>
    <s v="referens"/>
    <s v="no"/>
    <s v="NA"/>
    <s v="NA"/>
    <s v="NA"/>
    <s v="None"/>
    <s v="NA"/>
    <s v="neutral"/>
    <s v="NA"/>
    <s v="NA"/>
    <n v="57.225999999999999"/>
    <n v="12.09"/>
    <n v="1"/>
    <s v="temperate"/>
  </r>
  <r>
    <n v="83"/>
    <x v="16"/>
    <s v="Usto"/>
    <s v="no"/>
    <s v="NA"/>
    <s v="NA"/>
    <s v="NA"/>
    <s v="None"/>
    <s v="NA"/>
    <s v="neutral"/>
    <s v="NA"/>
    <s v="NA"/>
    <n v="57.289000000000001"/>
    <n v="12.05"/>
    <n v="1"/>
    <s v="temperate"/>
  </r>
  <r>
    <n v="84"/>
    <x v="16"/>
    <s v="Varo"/>
    <s v="yes"/>
    <s v="PulpMill"/>
    <s v="NA"/>
    <s v="WarmingLocal"/>
    <s v="Press"/>
    <s v="negative"/>
    <s v="negative"/>
    <n v="26665"/>
    <s v="NA"/>
    <n v="57.198999999999998"/>
    <n v="12.074"/>
    <n v="1"/>
    <s v="temperate"/>
  </r>
  <r>
    <n v="85"/>
    <x v="17"/>
    <s v="Kvado_deep"/>
    <s v="no"/>
    <s v="NA"/>
    <s v="NA"/>
    <s v="NA"/>
    <s v="None"/>
    <s v="NA"/>
    <s v="neutral"/>
    <s v="NA"/>
    <s v="NA"/>
    <n v="57.814999999999998"/>
    <n v="16.890999999999998"/>
    <n v="1"/>
    <s v="temperate"/>
  </r>
  <r>
    <n v="86"/>
    <x v="17"/>
    <s v="Kvado_shall"/>
    <s v="no"/>
    <s v="NA"/>
    <s v="NA"/>
    <s v="NA"/>
    <s v="None"/>
    <s v="NA"/>
    <s v="neutral"/>
    <s v="NA"/>
    <s v="NA"/>
    <n v="57.814999999999998"/>
    <n v="16.890999999999998"/>
    <n v="1"/>
    <s v="temperate"/>
  </r>
  <r>
    <n v="87"/>
    <x v="17"/>
    <s v="Simp_deep"/>
    <s v="yes"/>
    <s v="NuclearPlant"/>
    <s v="NA"/>
    <s v="WarmingLocal"/>
    <s v="Press"/>
    <s v="neutral"/>
    <s v="neutral"/>
    <n v="27395"/>
    <n v="29587"/>
    <n v="57.408000000000001"/>
    <n v="16.779"/>
    <n v="1"/>
    <s v="temperate"/>
  </r>
  <r>
    <n v="88"/>
    <x v="17"/>
    <s v="Simp_shall"/>
    <s v="yes"/>
    <s v="NuclearPlant"/>
    <s v="NuclearPlant"/>
    <s v="WarmingLocal"/>
    <s v="Press"/>
    <s v="neutral"/>
    <s v="neutral"/>
    <n v="27395"/>
    <n v="29587"/>
    <n v="57.408000000000001"/>
    <n v="16.779"/>
    <n v="1"/>
    <s v="temperate"/>
  </r>
  <r>
    <n v="89"/>
    <x v="18"/>
    <s v="Gov_fished"/>
    <s v="no"/>
    <s v="NA"/>
    <s v="NA"/>
    <s v="NA"/>
    <s v="None"/>
    <s v="NA"/>
    <s v="neutral"/>
    <n v="33390"/>
    <s v="NA"/>
    <n v="-41.88"/>
    <n v="148.31"/>
    <n v="3"/>
    <s v="temperate"/>
  </r>
  <r>
    <n v="90"/>
    <x v="18"/>
    <s v="Gov_mpa"/>
    <s v="yes"/>
    <s v="MPA"/>
    <s v="NA"/>
    <s v="FishingClosure"/>
    <s v="Press"/>
    <s v="positive"/>
    <s v="positive"/>
    <n v="33390"/>
    <s v="NA"/>
    <n v="-41.872999999999998"/>
    <n v="148.315"/>
    <n v="2"/>
    <s v="temperate"/>
  </r>
  <r>
    <n v="91"/>
    <x v="18"/>
    <s v="Maria_fished"/>
    <s v="no"/>
    <s v="NA"/>
    <s v="NA"/>
    <s v="NA"/>
    <s v="None"/>
    <s v="NA"/>
    <s v="neutral"/>
    <n v="33390"/>
    <s v="NA"/>
    <n v="-42.61"/>
    <n v="148.035"/>
    <n v="5"/>
    <s v="temperate"/>
  </r>
  <r>
    <n v="92"/>
    <x v="18"/>
    <s v="Maria_mpa"/>
    <s v="yes"/>
    <s v="MPA"/>
    <s v="NA"/>
    <s v="FishingClosure"/>
    <s v="Press"/>
    <s v="positive"/>
    <s v="positive"/>
    <n v="33390"/>
    <s v="NA"/>
    <n v="-42.631999999999998"/>
    <n v="147.95599999999999"/>
    <n v="7"/>
    <s v="temperate"/>
  </r>
  <r>
    <n v="93"/>
    <x v="18"/>
    <s v="Tinder_fished"/>
    <s v="no"/>
    <s v="NA"/>
    <s v="NA"/>
    <s v="NA"/>
    <s v="None"/>
    <s v="NA"/>
    <s v="neutral"/>
    <n v="33390"/>
    <s v="NA"/>
    <n v="-43.048999999999999"/>
    <n v="147.35"/>
    <n v="2"/>
    <s v="temperate"/>
  </r>
  <r>
    <n v="94"/>
    <x v="18"/>
    <s v="Tinder_mpa"/>
    <s v="yes"/>
    <s v="MPA"/>
    <s v="NA"/>
    <s v="FishingClosure"/>
    <s v="Press"/>
    <s v="positive"/>
    <s v="positive"/>
    <n v="33390"/>
    <s v="NA"/>
    <n v="-43.057000000000002"/>
    <n v="147.34"/>
    <n v="2"/>
    <s v="temperate"/>
  </r>
  <r>
    <n v="95"/>
    <x v="19"/>
    <s v="Venados"/>
    <s v="no"/>
    <s v="NA"/>
    <s v="NA"/>
    <s v="NA"/>
    <s v="None"/>
    <s v="NA"/>
    <s v="neutral"/>
    <s v="NA"/>
    <s v="NA"/>
    <n v="23.238"/>
    <n v="-106.471"/>
    <n v="1"/>
    <s v="tropical"/>
  </r>
  <r>
    <n v="96"/>
    <x v="20"/>
    <s v="HCA"/>
    <s v="no"/>
    <s v="NA"/>
    <s v="NA"/>
    <s v="NA"/>
    <s v="None"/>
    <s v="NA"/>
    <s v="neutral"/>
    <s v="NA"/>
    <s v="NA"/>
    <n v="-18.274000000000001"/>
    <n v="146.08500000000001"/>
    <n v="1"/>
    <s v="tropical"/>
  </r>
  <r>
    <n v="97"/>
    <x v="20"/>
    <s v="HCB"/>
    <s v="no"/>
    <s v="NA"/>
    <s v="NA"/>
    <s v="NA"/>
    <s v="None"/>
    <s v="NA"/>
    <s v="neutral"/>
    <s v="NA"/>
    <s v="NA"/>
    <n v="-18.321000000000002"/>
    <n v="146.148"/>
    <n v="1"/>
    <s v="tropical"/>
  </r>
  <r>
    <n v="98"/>
    <x v="21"/>
    <s v="PAP"/>
    <s v="no"/>
    <s v="NA"/>
    <s v="NA"/>
    <s v="NA"/>
    <s v="None"/>
    <s v="NA"/>
    <s v="neutral"/>
    <s v="NA"/>
    <s v="NA"/>
    <n v="49"/>
    <n v="-16.5"/>
    <n v="1"/>
    <s v="temperate"/>
  </r>
  <r>
    <n v="99"/>
    <x v="22"/>
    <s v="Forth"/>
    <s v="no"/>
    <s v="NA"/>
    <s v="NA"/>
    <s v="NA"/>
    <s v="None"/>
    <s v="NA"/>
    <s v="neutral"/>
    <s v="NA"/>
    <s v="NA"/>
    <n v="56.034999999999997"/>
    <n v="-3.5859999999999999"/>
    <n v="3"/>
    <s v="temperate"/>
  </r>
  <r>
    <n v="100"/>
    <x v="23"/>
    <s v="NorthShields"/>
    <s v="yes"/>
    <s v="PollutionCessation"/>
    <s v="NA"/>
    <s v="DisturbPost"/>
    <s v="Press"/>
    <s v="positive"/>
    <s v="positive"/>
    <n v="31686"/>
    <s v="NA"/>
    <n v="55.012"/>
    <n v="-1.4239999999999999"/>
    <n v="1"/>
    <s v="temperate"/>
  </r>
  <r>
    <n v="101"/>
    <x v="23"/>
    <s v="SouthShields"/>
    <s v="yes"/>
    <s v="PollutionCessation"/>
    <s v="NA"/>
    <s v="DisturbPost"/>
    <s v="Press"/>
    <s v="positive"/>
    <s v="positive"/>
    <n v="31686"/>
    <s v="NA"/>
    <n v="54.988"/>
    <n v="-1.452"/>
    <n v="1"/>
    <s v="temperate"/>
  </r>
  <r>
    <n v="102"/>
    <x v="23"/>
    <s v="Howdon"/>
    <s v="yes"/>
    <s v="PollutionCessation"/>
    <s v="NA"/>
    <s v="DisturbPost"/>
    <s v="Press"/>
    <s v="positive"/>
    <s v="positive"/>
    <n v="31686"/>
    <s v="NA"/>
    <n v="54.987000000000002"/>
    <n v="-1.496"/>
    <n v="1"/>
    <s v="temperate"/>
  </r>
  <r>
    <n v="103"/>
    <x v="23"/>
    <s v="Quayside"/>
    <s v="yes"/>
    <s v="PollutionCessation"/>
    <s v="NA"/>
    <s v="DisturbPost"/>
    <s v="Press"/>
    <s v="positive"/>
    <s v="positive"/>
    <n v="31686"/>
    <s v="NA"/>
    <n v="54.97"/>
    <n v="-1.5880000000000001"/>
    <n v="1"/>
    <s v="temperate"/>
  </r>
  <r>
    <n v="104"/>
    <x v="23"/>
    <s v="Scotswood"/>
    <s v="yes"/>
    <s v="PollutionCessation"/>
    <s v="NA"/>
    <s v="DisturbPost"/>
    <s v="Press"/>
    <s v="positive"/>
    <s v="positive"/>
    <n v="31686"/>
    <s v="NA"/>
    <n v="54.966000000000001"/>
    <n v="-1.6890000000000001"/>
    <n v="1"/>
    <s v="temperate"/>
  </r>
  <r>
    <n v="105"/>
    <x v="24"/>
    <s v="fished"/>
    <s v="no"/>
    <s v="NA"/>
    <s v="NA"/>
    <s v="NA"/>
    <s v="None"/>
    <s v="NA"/>
    <s v="neutral"/>
    <s v="NA"/>
    <s v="NA"/>
    <n v="13.837"/>
    <n v="-61.076000000000001"/>
    <n v="8"/>
    <s v="tropical"/>
  </r>
  <r>
    <n v="106"/>
    <x v="24"/>
    <s v="reserve"/>
    <s v="yes"/>
    <s v="MPA"/>
    <s v="NA"/>
    <s v="FishingClosure"/>
    <s v="Press"/>
    <s v="positive"/>
    <s v="positive"/>
    <n v="35065"/>
    <s v="NA"/>
    <n v="13.837"/>
    <n v="-61.076000000000001"/>
    <n v="8"/>
    <s v="tropical"/>
  </r>
  <r>
    <n v="107"/>
    <x v="25"/>
    <s v="Non-tidal"/>
    <s v="yes"/>
    <s v="DikeConstruction"/>
    <s v="NA"/>
    <s v="Disturb"/>
    <s v="Press"/>
    <s v="negative"/>
    <s v="negative"/>
    <n v="30713"/>
    <s v="NA"/>
    <n v="31.72"/>
    <n v="-116.655"/>
    <n v="1"/>
    <s v="subtropical"/>
  </r>
  <r>
    <n v="108"/>
    <x v="25"/>
    <s v="Tidal"/>
    <s v="no"/>
    <s v="NA"/>
    <s v="NA"/>
    <s v="NA"/>
    <s v="None"/>
    <s v="NA"/>
    <s v="neutral"/>
    <s v="NA"/>
    <s v="NA"/>
    <n v="31.722000000000001"/>
    <n v="-116.651"/>
    <n v="1"/>
    <s v="subtropical"/>
  </r>
  <r>
    <n v="109"/>
    <x v="26"/>
    <s v="Farm"/>
    <s v="yes"/>
    <s v="Organic enrichment from mussel farm"/>
    <s v="NA"/>
    <s v="Disturb"/>
    <s v="Press"/>
    <s v="negative"/>
    <s v="negative"/>
    <n v="32325"/>
    <s v="NA"/>
    <n v="66.215000000000003"/>
    <n v="33.92"/>
    <n v="1"/>
    <s v="temperate"/>
  </r>
  <r>
    <n v="110"/>
    <x v="26"/>
    <s v="NoFarm"/>
    <s v="yes"/>
    <s v="Removal of mussel farm"/>
    <s v="NA"/>
    <s v="DisturbPost"/>
    <s v="Press"/>
    <s v="positive"/>
    <s v="positive"/>
    <n v="33786"/>
    <s v="NA"/>
    <n v="66.215000000000003"/>
    <n v="33.92"/>
    <n v="1"/>
    <s v="temperate"/>
  </r>
  <r>
    <n v="111"/>
    <x v="27"/>
    <s v="Burrill"/>
    <s v="no"/>
    <s v="NA"/>
    <s v="NA"/>
    <s v="NA"/>
    <s v="None"/>
    <s v="NA"/>
    <s v="neutral"/>
    <s v="NA"/>
    <s v="NA"/>
    <n v="-35.372999999999998"/>
    <n v="150.43100000000001"/>
    <n v="12"/>
    <s v="subtropical"/>
  </r>
  <r>
    <n v="112"/>
    <x v="27"/>
    <s v="Coila"/>
    <s v="no"/>
    <s v="NA"/>
    <s v="NA"/>
    <s v="NA"/>
    <s v="None"/>
    <s v="NA"/>
    <s v="neutral"/>
    <s v="NA"/>
    <s v="NA"/>
    <n v="-36.024999999999999"/>
    <n v="150.12700000000001"/>
    <n v="12"/>
    <s v="subtropical"/>
  </r>
  <r>
    <n v="113"/>
    <x v="27"/>
    <s v="Conjola"/>
    <s v="no"/>
    <s v="NA"/>
    <s v="NA"/>
    <s v="NA"/>
    <s v="None"/>
    <s v="NA"/>
    <s v="neutral"/>
    <s v="NA"/>
    <s v="NA"/>
    <n v="-35.26"/>
    <n v="150.46199999999999"/>
    <n v="12"/>
    <s v="subtropical"/>
  </r>
  <r>
    <n v="114"/>
    <x v="27"/>
    <s v="Illawarra"/>
    <s v="no"/>
    <s v="NA"/>
    <s v="NA"/>
    <s v="NA"/>
    <s v="None"/>
    <s v="NA"/>
    <s v="neutral"/>
    <s v="NA"/>
    <s v="NA"/>
    <n v="-34.524000000000001"/>
    <n v="150.834"/>
    <n v="12"/>
    <s v="subtropical"/>
  </r>
  <r>
    <n v="115"/>
    <x v="27"/>
    <s v="StGeorges"/>
    <s v="no"/>
    <s v="NA"/>
    <s v="NA"/>
    <s v="NA"/>
    <s v="None"/>
    <s v="NA"/>
    <s v="neutral"/>
    <s v="NA"/>
    <s v="NA"/>
    <n v="-35.124000000000002"/>
    <n v="150.61099999999999"/>
    <n v="12"/>
    <s v="subtropical"/>
  </r>
  <r>
    <n v="116"/>
    <x v="27"/>
    <s v="Wallaga"/>
    <s v="no"/>
    <s v="NA"/>
    <s v="NA"/>
    <s v="NA"/>
    <s v="None"/>
    <s v="NA"/>
    <s v="neutral"/>
    <s v="NA"/>
    <s v="NA"/>
    <n v="-36.369"/>
    <n v="150.05799999999999"/>
    <n v="12"/>
    <s v="subtropical"/>
  </r>
  <r>
    <n v="117"/>
    <x v="28"/>
    <s v="deep"/>
    <s v="no"/>
    <s v="NA"/>
    <s v="NA"/>
    <s v="NA"/>
    <s v="None"/>
    <s v="NA"/>
    <s v="neutral"/>
    <s v="NA"/>
    <s v="NA"/>
    <n v="40"/>
    <n v="-125"/>
    <n v="220"/>
    <s v="temperate"/>
  </r>
  <r>
    <n v="118"/>
    <x v="28"/>
    <s v="mid"/>
    <s v="no"/>
    <s v="NA"/>
    <s v="NA"/>
    <s v="NA"/>
    <s v="None"/>
    <s v="NA"/>
    <s v="neutral"/>
    <s v="NA"/>
    <s v="NA"/>
    <n v="40"/>
    <n v="-124.75"/>
    <n v="220"/>
    <s v="temperate"/>
  </r>
  <r>
    <n v="119"/>
    <x v="28"/>
    <s v="shallow"/>
    <s v="no"/>
    <s v="NA"/>
    <s v="NA"/>
    <s v="NA"/>
    <s v="None"/>
    <s v="NA"/>
    <s v="neutral"/>
    <s v="NA"/>
    <s v="NA"/>
    <n v="40"/>
    <n v="-124.5"/>
    <n v="220"/>
    <s v="temperate"/>
  </r>
  <r>
    <n v="120"/>
    <x v="29"/>
    <s v="natural"/>
    <s v="no"/>
    <s v="NA"/>
    <s v="NA"/>
    <s v="NA"/>
    <s v="None"/>
    <s v="NA"/>
    <s v="neutral"/>
    <s v="NA"/>
    <s v="NA"/>
    <n v="26.018000000000001"/>
    <n v="-80.111999999999995"/>
    <n v="25"/>
    <s v="subtropical"/>
  </r>
  <r>
    <n v="121"/>
    <x v="29"/>
    <s v="boulder"/>
    <s v="yes"/>
    <s v="Artificial reef"/>
    <s v="NA"/>
    <s v="Restoration"/>
    <s v="Press"/>
    <s v="positive"/>
    <s v="positive"/>
    <n v="37834"/>
    <s v="NA"/>
    <n v="26.018000000000001"/>
    <n v="-80.111999999999995"/>
    <n v="25"/>
    <s v="subtropical"/>
  </r>
  <r>
    <n v="122"/>
    <x v="30"/>
    <s v="Wakasa"/>
    <s v="no"/>
    <s v="NA"/>
    <s v="NA"/>
    <s v="NA"/>
    <s v="None"/>
    <s v="NA"/>
    <s v="neutral"/>
    <s v="NA"/>
    <s v="NA"/>
    <n v="35.546999999999997"/>
    <n v="135.34899999999999"/>
    <n v="1"/>
    <s v="subtropical"/>
  </r>
  <r>
    <n v="123"/>
    <x v="31"/>
    <s v="Diani"/>
    <s v="yes"/>
    <s v="1998 El Nino"/>
    <s v="NA"/>
    <s v="WarmingLocal"/>
    <s v="Press"/>
    <s v="negative"/>
    <s v="negative"/>
    <n v="35947"/>
    <s v="NA"/>
    <n v="-4.319"/>
    <n v="39.576999999999998"/>
    <n v="1"/>
    <s v="tropical"/>
  </r>
  <r>
    <n v="124"/>
    <x v="31"/>
    <s v="Kanamai"/>
    <s v="yes"/>
    <s v="1998 El Nino"/>
    <s v="NA"/>
    <s v="WarmingLocal"/>
    <s v="Press"/>
    <s v="negative"/>
    <s v="negative"/>
    <n v="35947"/>
    <s v="NA"/>
    <n v="-3.9209999999999998"/>
    <n v="39.789000000000001"/>
    <n v="1"/>
    <s v="tropical"/>
  </r>
  <r>
    <n v="125"/>
    <x v="31"/>
    <s v="Mombasa"/>
    <s v="yes"/>
    <s v="1998 El Nino"/>
    <s v="NA"/>
    <s v="WarmingLocal"/>
    <s v="Press"/>
    <s v="negative"/>
    <s v="negative"/>
    <n v="35947"/>
    <s v="NA"/>
    <n v="-3.9889999999999999"/>
    <n v="39.750999999999998"/>
    <n v="1"/>
    <s v="tropical"/>
  </r>
  <r>
    <n v="126"/>
    <x v="31"/>
    <s v="Vipingo"/>
    <s v="yes"/>
    <s v="1998 El Nino"/>
    <s v="NA"/>
    <s v="WarmingLocal"/>
    <s v="Press"/>
    <s v="negative"/>
    <s v="negative"/>
    <n v="35947"/>
    <s v="NA"/>
    <n v="-3.8029999999999999"/>
    <n v="39.844999999999999"/>
    <n v="1"/>
    <s v="tropical"/>
  </r>
  <r>
    <n v="127"/>
    <x v="32"/>
    <s v="Kinneil"/>
    <s v="yes"/>
    <s v="PollutionCessation"/>
    <s v="NA"/>
    <s v="Restoration"/>
    <s v="Press"/>
    <s v="positive"/>
    <s v="positive"/>
    <n v="31199"/>
    <n v="33025"/>
    <n v="56.029000000000003"/>
    <n v="-3.657"/>
    <n v="1"/>
    <s v="temperate"/>
  </r>
  <r>
    <n v="128"/>
    <x v="33"/>
    <s v="Entrance"/>
    <s v="no"/>
    <s v="NA"/>
    <s v="NA"/>
    <s v="NA"/>
    <s v="None"/>
    <s v="NA"/>
    <s v="neutral"/>
    <s v="NA"/>
    <s v="NA"/>
    <n v="43.347000000000001"/>
    <n v="-124.321"/>
    <n v="1"/>
    <s v="temperate"/>
  </r>
  <r>
    <n v="129"/>
    <x v="34"/>
    <s v="closed"/>
    <s v="yes"/>
    <s v="MPA"/>
    <s v="NA"/>
    <s v="FishingClosure"/>
    <s v="Press"/>
    <s v="positive"/>
    <s v="positive"/>
    <n v="31778"/>
    <m/>
    <n v="17.620999999999999"/>
    <n v="-63.26"/>
    <n v="2"/>
    <s v="tropical"/>
  </r>
  <r>
    <n v="130"/>
    <x v="34"/>
    <s v="open"/>
    <s v="no"/>
    <s v="NA"/>
    <s v="NA"/>
    <s v="NA"/>
    <s v="None"/>
    <s v="NA"/>
    <s v="neutral"/>
    <s v="NA"/>
    <s v="NA"/>
    <n v="17.614999999999998"/>
    <n v="-63.231999999999999"/>
    <n v="2"/>
    <s v="tropical"/>
  </r>
  <r>
    <n v="131"/>
    <x v="35"/>
    <s v="BM"/>
    <s v="no"/>
    <s v="NA"/>
    <s v="NA"/>
    <s v="NA"/>
    <s v="None"/>
    <s v="NA"/>
    <s v="neutral"/>
    <s v="NA"/>
    <s v="NA"/>
    <n v="48.722999999999999"/>
    <n v="-123.249"/>
    <n v="1"/>
    <s v="temperate"/>
  </r>
  <r>
    <n v="132"/>
    <x v="35"/>
    <s v="CA"/>
    <s v="no"/>
    <s v="NA"/>
    <s v="NA"/>
    <s v="NA"/>
    <s v="None"/>
    <s v="NA"/>
    <s v="neutral"/>
    <s v="NA"/>
    <s v="NA"/>
    <n v="48.722999999999999"/>
    <n v="-123.249"/>
    <n v="1"/>
    <s v="temperate"/>
  </r>
  <r>
    <n v="133"/>
    <x v="35"/>
    <s v="HI"/>
    <s v="no"/>
    <s v="NA"/>
    <s v="NA"/>
    <s v="NA"/>
    <s v="None"/>
    <s v="NA"/>
    <s v="neutral"/>
    <s v="NA"/>
    <s v="NA"/>
    <n v="48.899000000000001"/>
    <n v="-125.27800000000001"/>
    <n v="1"/>
    <s v="temperate"/>
  </r>
  <r>
    <n v="134"/>
    <x v="35"/>
    <s v="RI"/>
    <s v="no"/>
    <s v="NA"/>
    <s v="NA"/>
    <s v="NA"/>
    <s v="None"/>
    <s v="NA"/>
    <s v="neutral"/>
    <s v="NA"/>
    <s v="NA"/>
    <n v="52.393000000000001"/>
    <n v="-131.23099999999999"/>
    <n v="1"/>
    <s v="temperate"/>
  </r>
  <r>
    <n v="135"/>
    <x v="35"/>
    <s v="T"/>
    <s v="no"/>
    <s v="NA"/>
    <s v="NA"/>
    <s v="NA"/>
    <s v="None"/>
    <s v="NA"/>
    <s v="neutral"/>
    <s v="NA"/>
    <s v="NA"/>
    <n v="48.899000000000001"/>
    <n v="-125.27800000000001"/>
    <n v="1"/>
    <s v="temperate"/>
  </r>
  <r>
    <n v="136"/>
    <x v="36"/>
    <s v="Curralea"/>
    <s v="no"/>
    <s v="NA"/>
    <s v="NA"/>
    <s v="NA"/>
    <s v="None"/>
    <s v="NA"/>
    <s v="neutral"/>
    <s v="NA"/>
    <s v="NA"/>
    <n v="-19.273"/>
    <n v="146.78700000000001"/>
    <n v="1"/>
    <s v="tropical"/>
  </r>
  <r>
    <n v="137"/>
    <x v="36"/>
    <s v="Keyatta"/>
    <s v="no"/>
    <s v="NA"/>
    <s v="NA"/>
    <s v="NA"/>
    <s v="None"/>
    <s v="NA"/>
    <s v="neutral"/>
    <s v="NA"/>
    <s v="NA"/>
    <n v="-19.268999999999998"/>
    <n v="146.78800000000001"/>
    <n v="1"/>
    <s v="tropical"/>
  </r>
  <r>
    <n v="138"/>
    <x v="37"/>
    <s v="Sagami"/>
    <s v="no"/>
    <s v="NA"/>
    <s v="NA"/>
    <s v="NA"/>
    <s v="None"/>
    <s v="NA"/>
    <s v="neutral"/>
    <s v="NA"/>
    <s v="NA"/>
    <n v="35"/>
    <n v="139.35"/>
    <n v="1"/>
    <s v="subtropical"/>
  </r>
  <r>
    <n v="139"/>
    <x v="38"/>
    <s v="Keys"/>
    <s v="no"/>
    <s v="NA"/>
    <s v="NA"/>
    <s v="NA"/>
    <s v="None"/>
    <s v="NA"/>
    <s v="neutral"/>
    <s v="NA"/>
    <s v="NA"/>
    <n v="24.814"/>
    <n v="-80.736999999999995"/>
    <n v="40"/>
    <s v="subtropical"/>
  </r>
  <r>
    <n v="140"/>
    <x v="39"/>
    <s v="Dogger"/>
    <s v="no"/>
    <s v="NA"/>
    <s v="NA"/>
    <s v="NA"/>
    <s v="None"/>
    <s v="NA"/>
    <s v="neutral"/>
    <s v="NA"/>
    <s v="NA"/>
    <n v="55"/>
    <n v="2.5"/>
    <n v="37"/>
    <s v="temperate"/>
  </r>
  <r>
    <n v="141"/>
    <x v="40"/>
    <s v="C1_9m"/>
    <s v="no"/>
    <s v="NA"/>
    <s v="NA"/>
    <s v="NA"/>
    <s v="None"/>
    <s v="NA"/>
    <s v="neutral"/>
    <s v="NA"/>
    <s v="NA"/>
    <n v="12.643000000000001"/>
    <n v="109.4"/>
    <n v="1"/>
    <s v="tropical"/>
  </r>
  <r>
    <n v="142"/>
    <x v="40"/>
    <s v="C1_3m"/>
    <s v="no"/>
    <s v="NA"/>
    <s v="NA"/>
    <s v="NA"/>
    <s v="None"/>
    <s v="NA"/>
    <s v="neutral"/>
    <s v="NA"/>
    <s v="NA"/>
    <n v="12.644"/>
    <n v="109.4"/>
    <n v="1"/>
    <s v="tropical"/>
  </r>
  <r>
    <n v="143"/>
    <x v="40"/>
    <s v="C2_9m"/>
    <s v="no"/>
    <s v="NA"/>
    <s v="NA"/>
    <s v="NA"/>
    <s v="None"/>
    <s v="NA"/>
    <s v="neutral"/>
    <s v="NA"/>
    <s v="NA"/>
    <n v="12.645"/>
    <n v="109.398"/>
    <n v="1"/>
    <s v="tropical"/>
  </r>
  <r>
    <n v="144"/>
    <x v="40"/>
    <s v="C2_3m"/>
    <s v="no"/>
    <s v="NA"/>
    <s v="NA"/>
    <s v="NA"/>
    <s v="None"/>
    <s v="NA"/>
    <s v="neutral"/>
    <s v="NA"/>
    <s v="NA"/>
    <n v="12.646000000000001"/>
    <n v="109.398"/>
    <n v="1"/>
    <s v="tropical"/>
  </r>
  <r>
    <n v="145"/>
    <x v="40"/>
    <s v="WIBP_9m"/>
    <s v="yes"/>
    <s v="MPA"/>
    <s v="NA"/>
    <s v="FishingClosure"/>
    <s v="Press"/>
    <s v="positive"/>
    <s v="positive"/>
    <n v="38565"/>
    <s v="NA"/>
    <n v="12.654999999999999"/>
    <n v="109.395"/>
    <n v="1"/>
    <s v="tropical"/>
  </r>
  <r>
    <n v="146"/>
    <x v="40"/>
    <s v="WIBP_3m"/>
    <s v="yes"/>
    <s v="MPA"/>
    <s v="NA"/>
    <s v="FishingClosure"/>
    <s v="Press"/>
    <s v="positive"/>
    <s v="positive"/>
    <n v="38565"/>
    <s v="NA"/>
    <n v="12.656000000000001"/>
    <n v="109.396"/>
    <n v="1"/>
    <s v="tropical"/>
  </r>
  <r>
    <n v="147"/>
    <x v="40"/>
    <s v="WIB_9m"/>
    <s v="yes"/>
    <s v="MPA"/>
    <s v="NA"/>
    <s v="FishingClosure"/>
    <s v="Press"/>
    <s v="positive"/>
    <s v="positive"/>
    <n v="36892"/>
    <s v="NA"/>
    <n v="12.654"/>
    <n v="109.393"/>
    <n v="1"/>
    <s v="tropical"/>
  </r>
  <r>
    <n v="148"/>
    <x v="40"/>
    <s v="WIB_3m"/>
    <s v="yes"/>
    <s v="MPA"/>
    <s v="NA"/>
    <s v="FishingClosure"/>
    <s v="Press"/>
    <s v="positive"/>
    <s v="positive"/>
    <n v="36892"/>
    <s v="NA"/>
    <n v="12.653"/>
    <n v="109.395"/>
    <n v="1"/>
    <s v="tropical"/>
  </r>
  <r>
    <n v="149"/>
    <x v="41"/>
    <s v="Bay"/>
    <s v="no"/>
    <s v="NA"/>
    <s v="NA"/>
    <s v="NA"/>
    <s v="None"/>
    <s v="NA"/>
    <s v="neutral"/>
    <s v="NA"/>
    <s v="NA"/>
    <n v="37.286000000000001"/>
    <n v="9.92"/>
    <n v="7"/>
    <s v="subtropical"/>
  </r>
  <r>
    <n v="150"/>
    <x v="41"/>
    <s v="Lagoon"/>
    <s v="no"/>
    <s v="NA"/>
    <s v="NA"/>
    <s v="NA"/>
    <s v="None"/>
    <s v="NA"/>
    <s v="neutral"/>
    <s v="NA"/>
    <s v="NA"/>
    <n v="37.188000000000002"/>
    <n v="9.8550000000000004"/>
    <n v="7"/>
    <s v="subtropical"/>
  </r>
  <r>
    <n v="151"/>
    <x v="42"/>
    <s v="neritic"/>
    <s v="no"/>
    <s v="NA"/>
    <s v="NA"/>
    <s v="NA"/>
    <s v="None"/>
    <s v="NA"/>
    <s v="neutral"/>
    <s v="NA"/>
    <s v="NA"/>
    <n v="43.567"/>
    <n v="-3.7829999999999999"/>
    <n v="1"/>
    <s v="temperate"/>
  </r>
  <r>
    <n v="152"/>
    <x v="42"/>
    <s v="oceanic"/>
    <s v="no"/>
    <s v="NA"/>
    <s v="NA"/>
    <s v="NA"/>
    <s v="None"/>
    <s v="NA"/>
    <s v="neutral"/>
    <s v="NA"/>
    <s v="NA"/>
    <n v="43.7"/>
    <n v="-3.7829999999999999"/>
    <n v="1"/>
    <s v="temperate"/>
  </r>
  <r>
    <n v="153"/>
    <x v="43"/>
    <s v="far146"/>
    <s v="no"/>
    <s v="NA"/>
    <s v="NA"/>
    <s v="NA"/>
    <s v="None"/>
    <s v="NA"/>
    <s v="neutral"/>
    <s v="NA"/>
    <s v="NA"/>
    <n v="54.673000000000002"/>
    <n v="-1.1180000000000001"/>
    <n v="12"/>
    <s v="temperate"/>
  </r>
  <r>
    <n v="154"/>
    <x v="43"/>
    <s v="near23"/>
    <s v="yes"/>
    <s v="PollutionCessation"/>
    <s v="NA"/>
    <s v="Restoration"/>
    <s v="Press"/>
    <s v="positive"/>
    <s v="positive"/>
    <n v="31048"/>
    <n v="35431"/>
    <n v="54.656999999999996"/>
    <n v="-1.1479999999999999"/>
    <n v="6"/>
    <s v="temperate"/>
  </r>
  <r>
    <n v="155"/>
    <x v="43"/>
    <s v="outer"/>
    <s v="yes"/>
    <s v="PollutionCessation"/>
    <s v="NA"/>
    <s v="Restoration"/>
    <s v="Press"/>
    <s v="positive"/>
    <s v="positive"/>
    <n v="31048"/>
    <n v="35431"/>
    <n v="54.631"/>
    <n v="-1.1599999999999999"/>
    <n v="4"/>
    <s v="temperate"/>
  </r>
  <r>
    <n v="156"/>
    <x v="43"/>
    <s v="inner"/>
    <s v="yes"/>
    <s v="PollutionCessation"/>
    <s v="NA"/>
    <s v="Restoration"/>
    <s v="Press"/>
    <s v="positive"/>
    <s v="positive"/>
    <n v="31048"/>
    <n v="35431"/>
    <n v="54.6"/>
    <n v="-1.171"/>
    <n v="8"/>
    <s v="temperate"/>
  </r>
  <r>
    <n v="157"/>
    <x v="44"/>
    <s v="Trabzon"/>
    <s v="no"/>
    <s v="NA"/>
    <s v="NA"/>
    <s v="NA"/>
    <s v="None"/>
    <s v="NA"/>
    <s v="neutral"/>
    <s v="NA"/>
    <s v="NA"/>
    <n v="41.188000000000002"/>
    <n v="40.238"/>
    <n v="1"/>
    <s v="temperate"/>
  </r>
  <r>
    <n v="158"/>
    <x v="45"/>
    <s v="Bahia"/>
    <s v="yes"/>
    <s v="1998 El Nino"/>
    <s v="NA"/>
    <s v="WarmingLocal"/>
    <s v="Pulse"/>
    <s v="NA"/>
    <s v="neutral"/>
    <n v="35947"/>
    <s v="NA"/>
    <n v="-12.64"/>
    <n v="-38.04"/>
    <n v="4"/>
    <s v="tropical"/>
  </r>
  <r>
    <n v="159"/>
    <x v="46"/>
    <s v="Bahia"/>
    <s v="yes"/>
    <s v="1998 El Nino"/>
    <s v="NA"/>
    <s v="WarmingLocal"/>
    <s v="Pulse"/>
    <s v="NA"/>
    <s v="neutral"/>
    <n v="35947"/>
    <s v="NA"/>
    <n v="-12.641"/>
    <n v="-38.040999999999997"/>
    <n v="4"/>
    <s v="tropical"/>
  </r>
  <r>
    <n v="160"/>
    <x v="47"/>
    <s v="Bahia"/>
    <s v="yes"/>
    <s v="1998 El Nino"/>
    <s v="NA"/>
    <s v="WarmingLocal"/>
    <s v="Pulse"/>
    <s v="NA"/>
    <s v="neutral"/>
    <n v="35947"/>
    <s v="NA"/>
    <n v="-12.641999999999999"/>
    <n v="-38.042000000000002"/>
    <n v="4"/>
    <s v="tropical"/>
  </r>
  <r>
    <n v="161"/>
    <x v="48"/>
    <s v="SMBAR3"/>
    <s v="yes"/>
    <s v="Artificial reef"/>
    <s v="NA"/>
    <s v="Restoration"/>
    <s v="Press"/>
    <s v="positive"/>
    <s v="positive"/>
    <n v="31778"/>
    <s v="NA"/>
    <n v="34.017200000000003"/>
    <n v="-118.536"/>
    <n v="1"/>
    <s v="subtropical"/>
  </r>
  <r>
    <n v="162"/>
    <x v="48"/>
    <s v="SMBAR10"/>
    <s v="yes"/>
    <s v="Artificial reef"/>
    <s v="NA"/>
    <s v="Restoration"/>
    <s v="Press"/>
    <s v="positive"/>
    <s v="positive"/>
    <n v="31778"/>
    <s v="NA"/>
    <n v="34.01"/>
    <n v="-118.53400000000001"/>
    <n v="1"/>
    <s v="subtropical"/>
  </r>
  <r>
    <n v="163"/>
    <x v="48"/>
    <s v="SMBAR18"/>
    <s v="yes"/>
    <s v="Artificial reef"/>
    <s v="NA"/>
    <s v="Restoration"/>
    <s v="Press"/>
    <s v="positive"/>
    <s v="positive"/>
    <n v="31778"/>
    <s v="NA"/>
    <n v="34.005000000000003"/>
    <n v="-118.53700000000001"/>
    <n v="1"/>
    <s v="subtropical"/>
  </r>
  <r>
    <n v="164"/>
    <x v="48"/>
    <s v="TAR"/>
    <s v="yes"/>
    <s v="Artificial reef"/>
    <s v="NA"/>
    <s v="Restoration"/>
    <s v="Press"/>
    <s v="positive"/>
    <s v="positive"/>
    <n v="31778"/>
    <s v="NA"/>
    <n v="34.027000000000001"/>
    <n v="-118.53100000000001"/>
    <n v="1"/>
    <s v="subtropical"/>
  </r>
  <r>
    <n v="165"/>
    <x v="49"/>
    <s v="D"/>
    <s v="yes"/>
    <s v="Pollution"/>
    <s v="NA"/>
    <s v="Disturb"/>
    <s v="Press"/>
    <s v="negative"/>
    <s v="negative"/>
    <n v="29952"/>
    <s v="NA"/>
    <n v="53.57"/>
    <n v="-3.3319999999999999"/>
    <n v="1"/>
    <s v="temperate"/>
  </r>
  <r>
    <n v="166"/>
    <x v="49"/>
    <s v="Rn"/>
    <s v="no"/>
    <s v="NA"/>
    <s v="NA"/>
    <s v="NA"/>
    <s v="None"/>
    <s v="NA"/>
    <s v="neutral"/>
    <s v="NA"/>
    <s v="NA"/>
    <n v="53.57"/>
    <n v="-3.3319999999999999"/>
    <n v="1"/>
    <s v="temperate"/>
  </r>
  <r>
    <n v="167"/>
    <x v="49"/>
    <s v="Rs"/>
    <s v="no"/>
    <s v="NA"/>
    <s v="NA"/>
    <s v="NA"/>
    <s v="None"/>
    <s v="NA"/>
    <s v="neutral"/>
    <s v="NA"/>
    <s v="NA"/>
    <n v="53.57"/>
    <n v="-3.3319999999999999"/>
    <n v="1"/>
    <s v="temperate"/>
  </r>
  <r>
    <n v="168"/>
    <x v="50"/>
    <s v="Zostera"/>
    <s v="yes"/>
    <s v="Eutrophication"/>
    <s v="NA"/>
    <s v="Disturb"/>
    <s v="Press"/>
    <s v="negative"/>
    <s v="negative"/>
    <n v="32143"/>
    <s v="NA"/>
    <n v="40.131999999999998"/>
    <n v="-8.8510000000000009"/>
    <n v="1"/>
    <s v="temperate"/>
  </r>
  <r>
    <n v="169"/>
    <x v="50"/>
    <s v="Intermediate"/>
    <s v="yes"/>
    <s v="Eutrophication"/>
    <s v="NA"/>
    <s v="Disturb"/>
    <s v="Press"/>
    <s v="negative"/>
    <s v="negative"/>
    <n v="32143"/>
    <s v="NA"/>
    <n v="40.128999999999998"/>
    <n v="-8.8450000000000006"/>
    <n v="1"/>
    <s v="temperate"/>
  </r>
  <r>
    <n v="170"/>
    <x v="50"/>
    <s v="Eutrophic"/>
    <s v="yes"/>
    <s v="Eutrophication"/>
    <s v="NA"/>
    <s v="Disturb"/>
    <s v="Press"/>
    <s v="negative"/>
    <s v="negative"/>
    <n v="32143"/>
    <s v="NA"/>
    <n v="40.122999999999998"/>
    <n v="-8.8360000000000003"/>
    <n v="1"/>
    <s v="tempera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n v="1"/>
    <x v="0"/>
    <s v="Bebars.etal.1997"/>
    <s v="Oceanologica Acta 20:421-436"/>
    <s v="Table 2"/>
    <s v="Pub"/>
    <s v="Published"/>
    <s v="RE"/>
    <s v="No"/>
    <s v="soft bottom subtidal"/>
    <s v="softBottom"/>
    <n v="31.481000000000002"/>
    <n v="30.838000000000001"/>
    <s v="Nile Delta, Egypt"/>
    <s v="Yes"/>
    <s v="Fishing"/>
    <s v="Dams"/>
  </r>
  <r>
    <n v="2"/>
    <x v="1"/>
    <s v="Waddell.2005"/>
    <s v="NOAA Technical Memorandum NOS NCCOS 11"/>
    <s v="Figure 4.23"/>
    <s v="Gray"/>
    <s v="Unpublished"/>
    <s v="RE"/>
    <s v="Yes"/>
    <s v="coral reef"/>
    <s v="coralReef"/>
    <n v="18.321999999999999"/>
    <n v="-64.688000000000002"/>
    <s v="St. John, US Virgin Islands"/>
    <s v="Yes"/>
    <s v="HurricaneHugo"/>
    <s v="HurricaneMarilyn"/>
  </r>
  <r>
    <n v="3"/>
    <x v="2"/>
    <s v="Beukema.Dekker.2011"/>
    <s v="Helgoland Marine Research 65:155-164"/>
    <s v="Figure 1b"/>
    <s v="Pub"/>
    <s v="Published"/>
    <s v="RE"/>
    <s v="Yes"/>
    <s v="intertidal mudflat"/>
    <s v="softBottom"/>
    <n v="52.930999999999997"/>
    <n v="4.8630000000000004"/>
    <s v="Balgzand, Wadden Sea, The Netherlands"/>
    <s v="Yes"/>
    <s v="Warming"/>
    <s v="Invasion"/>
  </r>
  <r>
    <n v="4"/>
    <x v="3"/>
    <s v="Daan.Mulder.2009"/>
    <s v="NIOZ Report 2009-5"/>
    <s v="NA"/>
    <s v="Gray"/>
    <s v="Unpublished"/>
    <s v="MIO"/>
    <s v="No"/>
    <s v="soft bottom subtidal"/>
    <s v="softBottom"/>
    <n v="52.651000000000003"/>
    <n v="3.96"/>
    <s v="North Sea, The Netherlands"/>
    <s v="No"/>
    <s v="NA"/>
    <s v="NA"/>
  </r>
  <r>
    <n v="5"/>
    <x v="4"/>
    <s v="Elahi.etal.2013"/>
    <s v="Personal communication"/>
    <s v="NA"/>
    <s v="Raw"/>
    <s v="Unpublished"/>
    <s v="RE"/>
    <s v="No"/>
    <s v="hard bottom subtidal"/>
    <s v="hardBottom"/>
    <n v="48.551000000000002"/>
    <n v="-123.005"/>
    <s v="San Juan Island, Washington, United States"/>
    <s v="No"/>
    <s v="NA"/>
    <s v="NA"/>
  </r>
  <r>
    <n v="6"/>
    <x v="5"/>
    <s v="Edmunds.2013"/>
    <s v="Personal communication"/>
    <s v="NA"/>
    <s v="Raw"/>
    <s v="Unpublished"/>
    <s v="RE"/>
    <s v="No"/>
    <s v="coral reef"/>
    <s v="hardBottom"/>
    <n v="18.309999999999999"/>
    <n v="-64.73"/>
    <s v="Lameshur Bay, St. John, US Virgin Islands"/>
    <s v="No"/>
    <s v="NA"/>
    <s v="NA"/>
  </r>
  <r>
    <n v="7"/>
    <x v="6"/>
    <s v="Elahi.etal.2013"/>
    <s v="Personal communication"/>
    <s v="NA"/>
    <s v="Raw"/>
    <s v="Unpublished"/>
    <s v="RE"/>
    <s v="No"/>
    <s v="hard bottom subtidal"/>
    <s v="hardBottom"/>
    <n v="48.58"/>
    <n v="-123.03"/>
    <s v="San Juan Islands, Washington, United States"/>
    <s v="No"/>
    <s v="NA"/>
    <s v="NA"/>
  </r>
  <r>
    <n v="8"/>
    <x v="7"/>
    <s v="Frid.etal.2009"/>
    <s v="Journal of Marine Systems 77: 227-236"/>
    <s v="Figure 2"/>
    <s v="Pub"/>
    <s v="Published"/>
    <s v="RE"/>
    <s v="Yes"/>
    <s v="soft bottom subtidal"/>
    <s v="softBottom"/>
    <n v="55.116999999999997"/>
    <n v="-1.333"/>
    <s v="Central western North Sea"/>
    <s v="No"/>
    <s v="NA"/>
    <s v="NA"/>
  </r>
  <r>
    <n v="9"/>
    <x v="8"/>
    <s v="Friedlander.Beets.2008"/>
    <s v="NOAA Technical Memorandum NOS NCCOS 70"/>
    <s v="Figure 12A,B"/>
    <s v="Gray"/>
    <s v="Unpublished"/>
    <s v="RE"/>
    <s v="Yes"/>
    <s v="coral reef"/>
    <s v="coralReef"/>
    <n v="18.309999999999999"/>
    <n v="-64.739999999999995"/>
    <s v="Yawzi Point and Cocoloba Cay, St. John, US Virigin Islands"/>
    <s v="Yes"/>
    <s v="HurricaneGilbert"/>
    <s v="HurricaneHugo"/>
  </r>
  <r>
    <n v="10"/>
    <x v="9"/>
    <s v="Waddell.2005"/>
    <s v="NOAA Technical Memorandum NOS NCCOS 11"/>
    <s v="Figure 9.29"/>
    <s v="Gray"/>
    <s v="Unpublished"/>
    <s v="RE"/>
    <s v="Yes"/>
    <s v="coral reef"/>
    <s v="coralReef"/>
    <n v="22.21"/>
    <n v="-159.51"/>
    <s v="Hanalei Bay, Kauai, Hawaii, United States"/>
    <s v="No"/>
    <s v="NA"/>
    <s v="NA"/>
  </r>
  <r>
    <n v="11"/>
    <x v="10"/>
    <s v="Douglass.etal.2010"/>
    <s v="Personal communication"/>
    <s v="NA"/>
    <s v="Raw"/>
    <s v="Unpublished"/>
    <s v="MIO"/>
    <s v="No"/>
    <s v="seagrass"/>
    <s v="macrophyte"/>
    <n v="37.222499999999997"/>
    <n v="-76.385000000000005"/>
    <s v="Goodwin Islands National Estuarine Research Reserve, Chesapeake Bay, Virigina, United States"/>
    <s v="No"/>
    <s v="NA"/>
    <s v="NA"/>
  </r>
  <r>
    <n v="12"/>
    <x v="11"/>
    <s v="IMOS National Reference Station Network"/>
    <s v="https://imos.aodn.org.au"/>
    <s v="NA"/>
    <s v="Raw"/>
    <s v="Unpublished"/>
    <s v="RE"/>
    <s v="No"/>
    <s v="pelagic"/>
    <s v="pelagic"/>
    <n v="-26.32"/>
    <n v="132.97"/>
    <s v="Australia (9 stations spanning the coast)"/>
    <s v="No"/>
    <s v="NA"/>
    <s v="NA"/>
  </r>
  <r>
    <n v="13"/>
    <x v="12"/>
    <s v="Kushner.etal.2013"/>
    <s v="Ecology 94:2655"/>
    <s v="NA"/>
    <s v="Raw"/>
    <s v="Unpublished"/>
    <s v="RE"/>
    <s v="No"/>
    <s v="hard bottom subtidal"/>
    <s v="hardBottom"/>
    <n v="34.06"/>
    <n v="-120.01"/>
    <s v="Channel Islands, California, United States"/>
    <s v="Yes"/>
    <s v="MPA"/>
    <s v="NA"/>
  </r>
  <r>
    <n v="14"/>
    <x v="13"/>
    <s v="Reed"/>
    <s v="https://sbc.lternet.edu"/>
    <s v="NA"/>
    <s v="Raw"/>
    <s v="Unpublished"/>
    <s v="RE"/>
    <s v="No"/>
    <s v="hard bottom subtidal"/>
    <s v="hardBottom"/>
    <n v="34.39"/>
    <n v="-119.7"/>
    <s v="Santa Barbara, California, United States"/>
    <s v="No"/>
    <s v="NA"/>
    <s v="NA"/>
  </r>
  <r>
    <n v="15"/>
    <x v="14"/>
    <s v="Seabrook.2011"/>
    <s v="Seabrook Operational Report, 2011"/>
    <s v="Figure 5"/>
    <s v="Gray"/>
    <s v="Unpublished"/>
    <s v="RE"/>
    <s v="Yes"/>
    <s v="hard bottom subtidal"/>
    <s v="hardBottom"/>
    <n v="42.9"/>
    <n v="-70.790000000000006"/>
    <s v="Seabrook, New Hampshire, United States"/>
    <s v="Yes"/>
    <s v="NuclearPlant"/>
    <s v="NA"/>
  </r>
  <r>
    <n v="16"/>
    <x v="15"/>
    <s v="Aqua Report 4 2014"/>
    <s v="Personal communication"/>
    <s v="Figure 10"/>
    <s v="Gray"/>
    <s v="Unpublished"/>
    <s v="RE"/>
    <s v="Yes"/>
    <s v="hard bottom subtidal"/>
    <s v="hardBottom"/>
    <n v="57.26"/>
    <n v="12.06"/>
    <s v="Kattegatt, North Sea"/>
    <s v="Yes"/>
    <s v="NuclearPlant"/>
    <s v="NA"/>
  </r>
  <r>
    <n v="17"/>
    <x v="16"/>
    <s v="Aqua Report 4 2014"/>
    <s v="Personal communication"/>
    <s v="Figure 5"/>
    <s v="Gray"/>
    <s v="Unpublished"/>
    <s v="RE"/>
    <s v="Yes"/>
    <s v="hard bottom subtidal"/>
    <s v="hardBottom"/>
    <n v="57.24"/>
    <n v="12.06"/>
    <s v="Kattegatt, North Sea"/>
    <s v="Yes"/>
    <s v="PaperMill"/>
    <s v="NA"/>
  </r>
  <r>
    <n v="18"/>
    <x v="17"/>
    <s v="Aqua Report 4 2014"/>
    <s v="Personal communication"/>
    <s v="Figure 17"/>
    <s v="Gray"/>
    <s v="Unpublished"/>
    <s v="RE"/>
    <s v="Yes"/>
    <s v="soft bottom subtidal"/>
    <s v="softBottom"/>
    <n v="57.68"/>
    <n v="16.88"/>
    <s v="SW Baltic Sea"/>
    <s v="Yes"/>
    <s v="NuclearPlant"/>
    <s v="NA"/>
  </r>
  <r>
    <n v="19"/>
    <x v="18"/>
    <s v="Barrett.etal.2007"/>
    <s v="JEMBE 345:141-157"/>
    <s v="Figure 5, 9, 12"/>
    <s v="Pub"/>
    <s v="Published"/>
    <s v="ARW"/>
    <s v="Yes"/>
    <s v="hard bottom subtidal"/>
    <s v="hardBottom"/>
    <n v="-42.81"/>
    <n v="148.22999999999999"/>
    <s v="Tasman Sea"/>
    <s v="Yes"/>
    <s v="MPA"/>
    <s v="NA"/>
  </r>
  <r>
    <n v="20"/>
    <x v="19"/>
    <s v="Carballo.etal.2008"/>
    <s v="Marine Ecology 29: 216-236"/>
    <s v="Figure 6, 7"/>
    <s v="Pub"/>
    <s v="Published"/>
    <s v="RE"/>
    <s v="Yes"/>
    <s v="hard bottom subtidal"/>
    <s v="hardBottom"/>
    <n v="23.238"/>
    <n v="-106.471"/>
    <s v="Mazatlan Bay, Mexico"/>
    <s v="No"/>
    <s v="NA"/>
    <s v="NA"/>
  </r>
  <r>
    <n v="21"/>
    <x v="20"/>
    <s v="Dittmann.1998"/>
    <s v="Hydrobiologia 383: 41-47"/>
    <s v="Table 3"/>
    <s v="Pub"/>
    <s v="Published"/>
    <s v="RE"/>
    <s v="No"/>
    <s v="soft bottom subtidal"/>
    <s v="softBottom"/>
    <n v="-18.308"/>
    <n v="146.1"/>
    <s v="Hinchinbrook Channel, Queensland, Australia"/>
    <s v="No"/>
    <s v="NA"/>
    <s v="NA"/>
  </r>
  <r>
    <n v="22"/>
    <x v="21"/>
    <s v="Gooday.etal.2010"/>
    <s v="Deep-Sea Research II 57:1362-1382"/>
    <s v="Table 4"/>
    <s v="Pub"/>
    <s v="Published"/>
    <s v="RE"/>
    <s v="No"/>
    <s v="soft bottom subtidal"/>
    <s v="softBottom"/>
    <n v="49"/>
    <n v="16.5"/>
    <s v="Porcupine Abyssal Plain"/>
    <s v="No"/>
    <s v="NA"/>
    <s v="NA"/>
  </r>
  <r>
    <n v="23"/>
    <x v="22"/>
    <s v="Greenwood.etal.2002"/>
    <s v="Journal of Fish Biology 61:90-104"/>
    <s v="Figure 2"/>
    <s v="Pub"/>
    <s v="Published"/>
    <s v="RE"/>
    <s v="Yes"/>
    <s v="hard bottom subtidal"/>
    <s v="hardBottom"/>
    <n v="56.034999999999997"/>
    <n v="-3.5859999999999999"/>
    <s v="Forth Estuary, Scotland"/>
    <s v="No"/>
    <s v="NA"/>
    <s v="NA"/>
  </r>
  <r>
    <n v="24"/>
    <x v="23"/>
    <s v="Hall.etal.1996"/>
    <s v="ICES Journal of Marine Science 53: 1014-1023"/>
    <s v="Table 1"/>
    <s v="Pub"/>
    <s v="Published"/>
    <s v="RE"/>
    <s v="No"/>
    <s v="soft bottom subtidal"/>
    <s v="softBottom"/>
    <n v="54.98"/>
    <n v="-1.532"/>
    <s v="Tyne Estuary, UK"/>
    <s v="Yes"/>
    <s v="PollutionCessation"/>
    <s v="NA"/>
  </r>
  <r>
    <n v="25"/>
    <x v="24"/>
    <s v="Hawkins.etal.2006"/>
    <s v="Biological Conservation 127:487-499"/>
    <s v="Figure 2e"/>
    <s v="Pub"/>
    <s v="Published"/>
    <s v="RE"/>
    <s v="Yes"/>
    <s v="coral reef"/>
    <s v="coralReef"/>
    <n v="13.837"/>
    <n v="-61.076000000000001"/>
    <s v="Soufriere Bay, St. Lucia"/>
    <s v="Yes"/>
    <s v="MPA"/>
    <s v="NA"/>
  </r>
  <r>
    <n v="26"/>
    <x v="25"/>
    <s v="Ibarra-Obando.etal.2010"/>
    <s v="Estuaries and Coasts 33:753-768"/>
    <s v="Appendix 1"/>
    <s v="Pub"/>
    <s v="Published"/>
    <s v="RE"/>
    <s v="No"/>
    <s v="salt marsh"/>
    <s v="macrophyte"/>
    <n v="31.72"/>
    <n v="-116.654"/>
    <s v="Estero de Punta Banda, Baja California, Mexico"/>
    <s v="Yes"/>
    <s v="DikeConstruction"/>
    <s v="NA"/>
  </r>
  <r>
    <n v="27"/>
    <x v="26"/>
    <s v="Ivanov.etal.2013"/>
    <s v="Hydrobiologia 706: 191-204"/>
    <s v="Table 1"/>
    <s v="Pub"/>
    <s v="Published"/>
    <s v="RE"/>
    <s v="No"/>
    <s v="soft bottom subtidal"/>
    <s v="softBottom"/>
    <n v="66.215000000000003"/>
    <n v="33.92"/>
    <s v="Nikolskaya Inlet, Kandalaksha Gulf, White Sea, Russia"/>
    <s v="Yes"/>
    <s v="MusselFarmEffluent"/>
    <s v="MusselFarmRemoval"/>
  </r>
  <r>
    <n v="28"/>
    <x v="27"/>
    <s v="Jones.West.2005"/>
    <s v="Estuarine, Coastal and Shelf Science 64: 277-288"/>
    <s v="Figure 3"/>
    <s v="Pub"/>
    <s v="Published"/>
    <s v="RE"/>
    <s v="Yes"/>
    <s v="seagrass"/>
    <s v="macrophyte"/>
    <n v="-35.511099999999999"/>
    <n v="150.66"/>
    <s v="Southeast Australia"/>
    <s v="No"/>
    <s v="NA"/>
    <s v="NA"/>
  </r>
  <r>
    <n v="29"/>
    <x v="28"/>
    <s v="Keller.etal.2011"/>
    <s v="Fishery Bulletin 110:205-222"/>
    <s v="Figure 7"/>
    <s v="Pub"/>
    <s v="Published"/>
    <s v="TI"/>
    <s v="Yes"/>
    <s v="hard bottom subtidal"/>
    <s v="hardBottom"/>
    <n v="45.411999999999999"/>
    <n v="-124.187"/>
    <s v="Washington State, USA"/>
    <s v="No"/>
    <s v="NA"/>
    <s v="NA"/>
  </r>
  <r>
    <n v="30"/>
    <x v="29"/>
    <s v="Kilfoyle.etal.2013"/>
    <s v="Ocean and Coastal Management 75:53-62"/>
    <s v="Table 1 and 2"/>
    <s v="Pub"/>
    <s v="Published"/>
    <s v="JD"/>
    <s v="No"/>
    <s v="hard bottom subtidal"/>
    <s v="hardBottom"/>
    <n v="26.018000000000001"/>
    <n v="-80.111999999999995"/>
    <s v="Hollywood Beach, FL, USA"/>
    <s v="Yes"/>
    <s v="ArtificialReef"/>
    <s v="NA"/>
  </r>
  <r>
    <n v="31"/>
    <x v="30"/>
    <s v="Masuda.2008"/>
    <s v="Environmental Biology of Fishes 82:387-399"/>
    <s v="Figure 2"/>
    <s v="Pub"/>
    <s v="Published"/>
    <s v="RE"/>
    <s v="Yes"/>
    <s v="hard bottom subtidal"/>
    <s v="hardBottom"/>
    <n v="35.546999999999997"/>
    <n v="135.34899999999999"/>
    <s v="Wakasa Bay, Nagahama, Kyoto, Japan"/>
    <s v="No"/>
    <s v="NA"/>
    <s v="NA"/>
  </r>
  <r>
    <n v="32"/>
    <x v="31"/>
    <s v="McClanahan.Maina.2003"/>
    <s v="Ecosystems 6:551-563"/>
    <s v="Figure 2a, 5a"/>
    <s v="Pub"/>
    <s v="Published"/>
    <s v="PK"/>
    <s v="Yes"/>
    <s v="coral reef"/>
    <s v="coralReef"/>
    <n v="-4.05"/>
    <n v="39.72"/>
    <s v="Mombasa, Kenya, Africa"/>
    <s v="Yes"/>
    <s v="ElNino98"/>
    <s v="NA"/>
  </r>
  <r>
    <n v="33"/>
    <x v="32"/>
    <s v="McLusky.Martins.1998"/>
    <s v="Marine Pollution Bulletin 36:791-798"/>
    <s v="Table 2"/>
    <s v="Pub"/>
    <s v="Published"/>
    <s v="RE"/>
    <s v="No"/>
    <s v="intertidal mudflat"/>
    <s v="softBottom"/>
    <n v="56.029000000000003"/>
    <n v="-3.657"/>
    <s v="Kinneil, Forth Estuary, Scotland"/>
    <s v="Yes"/>
    <s v="PollutionCessation"/>
    <s v="NA"/>
  </r>
  <r>
    <n v="34"/>
    <x v="33"/>
    <s v="Miller.Shanks.2005"/>
    <s v="Marine Ecology Progress Series 305:177-191"/>
    <s v="Table 1"/>
    <s v="Pub"/>
    <s v="Published"/>
    <s v="RE"/>
    <s v="No"/>
    <s v="pelagic"/>
    <s v="pelagic"/>
    <n v="43.347000000000001"/>
    <n v="-124.321"/>
    <s v="Coos Bay, Oregon, USA"/>
    <s v="No"/>
    <s v="NA"/>
    <s v="NA"/>
  </r>
  <r>
    <n v="35"/>
    <x v="34"/>
    <s v="Noble.etal.2013"/>
    <s v="PLOS One 8(1) e54069"/>
    <s v="Figure 3a, c, f"/>
    <s v="Pub"/>
    <s v="Published"/>
    <s v="RE"/>
    <s v="Yes"/>
    <s v="coral reef"/>
    <s v="coralReef"/>
    <n v="17.614999999999998"/>
    <n v="-63.253999999999998"/>
    <s v="Saba, Caribbean Sea"/>
    <s v="Yes"/>
    <s v="MPA"/>
    <s v="NA"/>
  </r>
  <r>
    <n v="36"/>
    <x v="35"/>
    <s v="Robinson.Yakimishyn.2013"/>
    <s v="Canadian Journal Fisheries and Aquatic Sciences 70:775-784"/>
    <s v="Figure 3"/>
    <s v="Pub"/>
    <s v="Published"/>
    <s v="TI"/>
    <s v="Yes"/>
    <s v="seagrass"/>
    <s v="macrophyte"/>
    <n v="49.133000000000003"/>
    <n v="-125.96299999999999"/>
    <s v="Vancouver Island, British Columbia, Canada"/>
    <s v="No"/>
    <s v="NA"/>
    <s v="NA"/>
  </r>
  <r>
    <n v="37"/>
    <x v="36"/>
    <s v="Sheaves.Johhnston.2010"/>
    <s v="Aquatic Conservation: Marine and Freshwater Ecosystems 20:348-356"/>
    <s v="Table 1"/>
    <s v="Pub"/>
    <s v="Published"/>
    <s v="MH"/>
    <s v="No"/>
    <s v="soft bottom subtidal"/>
    <s v="softBottom"/>
    <n v="-19.271000000000001"/>
    <n v="146.78800000000001"/>
    <s v="Townsville, Australia"/>
    <s v="No"/>
    <s v="NA"/>
    <s v="NA"/>
  </r>
  <r>
    <n v="38"/>
    <x v="37"/>
    <s v="Shimanaga.etal.2004"/>
    <s v="Marine Biology 144:1097-1110"/>
    <s v="Table 3"/>
    <s v="Pub"/>
    <s v="Published"/>
    <s v="RE"/>
    <s v="No"/>
    <s v="soft bottom subtidal"/>
    <s v="softBottom"/>
    <n v="35"/>
    <n v="139.35"/>
    <s v="Sagami Bay, Japan"/>
    <s v="No"/>
    <s v="NA"/>
    <s v="NA"/>
  </r>
  <r>
    <n v="39"/>
    <x v="38"/>
    <s v="Somerfield.etal.2008"/>
    <s v="Coral Reefs 27:951-965"/>
    <s v="Figure 2"/>
    <s v="Pub"/>
    <s v="Published"/>
    <s v="PK"/>
    <s v="Yes"/>
    <s v="coral reef"/>
    <s v="coralReef"/>
    <n v="24.814"/>
    <n v="-80.736999999999995"/>
    <s v="Florida Keys, Florida, USA"/>
    <s v="No"/>
    <s v="NA"/>
    <s v="NA"/>
  </r>
  <r>
    <n v="40"/>
    <x v="39"/>
    <s v="Sonnewald.Turkay.2012"/>
    <s v="Helgoland Marine Research 66:63-75"/>
    <s v="Figure 2"/>
    <s v="Pub"/>
    <s v="Published"/>
    <s v="RE"/>
    <s v="Yes"/>
    <s v="soft bottom subtidal"/>
    <s v="softBottom"/>
    <n v="55"/>
    <n v="2.5"/>
    <s v="Dogger Bank, North Sea"/>
    <s v="No"/>
    <s v="NA"/>
    <s v="NA"/>
  </r>
  <r>
    <n v="41"/>
    <x v="40"/>
    <s v="Svensson.etal.2009"/>
    <s v="AMBIO 38:72-78"/>
    <s v="Figure 3"/>
    <s v="Pub"/>
    <s v="Published"/>
    <s v="RE"/>
    <s v="Yes"/>
    <s v="coral reef"/>
    <s v="coralReef"/>
    <n v="12.65"/>
    <n v="109.392"/>
    <s v="Hon Ong, Vietnam"/>
    <s v="Yes"/>
    <s v="MPA"/>
    <s v="NA"/>
  </r>
  <r>
    <n v="42"/>
    <x v="41"/>
    <s v="Touzri.etal.2012"/>
    <s v="Marine Ecology 33:393-406"/>
    <s v="Figure 5, 6"/>
    <s v="Pub"/>
    <s v="Published"/>
    <s v="PK"/>
    <s v="Yes"/>
    <s v="pelagic"/>
    <s v="pelagic"/>
    <n v="37.15"/>
    <n v="9.5500000000000007"/>
    <s v="Bizerte, Tunisia"/>
    <s v="No"/>
    <s v="NA"/>
    <s v="NA"/>
  </r>
  <r>
    <n v="43"/>
    <x v="42"/>
    <s v="Valdes.Moral.1998"/>
    <s v="ICES Journal of Marine Science 55:783-792"/>
    <s v="Figure 4, 5"/>
    <s v="Pub"/>
    <s v="Published"/>
    <s v="RE"/>
    <s v="Yes"/>
    <s v="pelagic"/>
    <s v="pelagic"/>
    <n v="43.6"/>
    <n v="-3.7829999999999999"/>
    <s v="Bay of Biscay, Spain"/>
    <s v="No"/>
    <s v="NA"/>
    <s v="NA"/>
  </r>
  <r>
    <n v="44"/>
    <x v="43"/>
    <s v="Warwick.etal.2002"/>
    <s v="Marine Ecology Progress Series 234:1-13"/>
    <s v="Figure 9, 11, 12"/>
    <s v="Pub"/>
    <s v="Published"/>
    <s v="RE"/>
    <s v="Yes"/>
    <s v="soft bottom subtidal"/>
    <s v="softBottom"/>
    <n v="54.646999999999998"/>
    <n v="-1.153"/>
    <s v="Tees Bay, United Kingdom"/>
    <s v="Yes"/>
    <s v="PollutionCessation"/>
    <s v="NA"/>
  </r>
  <r>
    <n v="45"/>
    <x v="44"/>
    <s v="Yildiz.Feyzioglu.2014"/>
    <s v="Turkish Journal of Zoology 38:179-190"/>
    <s v="Table 1"/>
    <s v="Pub"/>
    <s v="Published"/>
    <s v="PK"/>
    <s v="No"/>
    <s v="pelagic"/>
    <s v="pelagic"/>
    <n v="41.188000000000002"/>
    <n v="40.238"/>
    <s v="Trabzon, Black Sea"/>
    <s v="No"/>
    <s v="NA"/>
    <s v="NA"/>
  </r>
  <r>
    <n v="46"/>
    <x v="45"/>
    <s v="Kelmo.Hallock.2013"/>
    <s v="Ecological Indicators 30:148-157"/>
    <s v="Figure 2A"/>
    <s v="Pub"/>
    <s v="Published"/>
    <s v="RE"/>
    <s v="Yes"/>
    <s v="soft bottom subtidal"/>
    <s v="softBottom"/>
    <n v="-12.64"/>
    <n v="-38.04"/>
    <s v="Bahia, Brasil"/>
    <s v="Yes"/>
    <s v="ElNino98"/>
    <s v="NA"/>
  </r>
  <r>
    <n v="47"/>
    <x v="46"/>
    <s v="Kelma.etal.2013"/>
    <s v="PLOS One 8(10)e76441"/>
    <s v="Figure 3"/>
    <s v="Pub"/>
    <s v="Published"/>
    <s v="RE"/>
    <s v="Yes"/>
    <s v="coral reef"/>
    <s v="coralReef"/>
    <n v="-12.64"/>
    <n v="-38.04"/>
    <s v="Bahia, Brasil"/>
    <s v="Yes"/>
    <s v="ElNino98"/>
    <s v="NA"/>
  </r>
  <r>
    <n v="48"/>
    <x v="47"/>
    <s v="Kelma.etal.2014"/>
    <s v="PLOS One 9(3)e93209"/>
    <s v="Figure 1a"/>
    <s v="Pub"/>
    <s v="Published"/>
    <s v="RE"/>
    <s v="Yes"/>
    <s v="coral reef"/>
    <s v="coralReef"/>
    <n v="-12.64"/>
    <n v="-38.04"/>
    <s v="Bahia, Brasil"/>
    <s v="Yes"/>
    <s v="ElNino98"/>
    <s v="NA"/>
  </r>
  <r>
    <n v="49"/>
    <x v="48"/>
    <s v="Bedford.etal.2006"/>
    <s v="California DFG Administrative Report 96-3"/>
    <s v="Table 2"/>
    <s v="Gray"/>
    <s v="Unpublished"/>
    <s v="AH"/>
    <s v="No"/>
    <s v="hard bottom subtidal"/>
    <s v="hardBottom"/>
    <n v="34.005000000000003"/>
    <n v="-118.53700000000001"/>
    <s v="Santa Monica Bay, California, USA"/>
    <s v="Yes"/>
    <s v="ArtificialReef"/>
    <s v="NA"/>
  </r>
  <r>
    <n v="50"/>
    <x v="49"/>
    <s v="Whomersley.etal.2008"/>
    <s v="ICES Journal of Marine Science 65:1414-1420"/>
    <s v="Figure 2"/>
    <s v="Pub"/>
    <s v="Published"/>
    <s v="AH"/>
    <s v="Yes"/>
    <s v="soft bottom subtidal"/>
    <s v="softBottom"/>
    <n v="53.57"/>
    <n v="-3.3319999999999999"/>
    <s v="Liverpool Bay, UK"/>
    <s v="Yes"/>
    <s v="Pollution"/>
    <s v="NA"/>
  </r>
  <r>
    <n v="51"/>
    <x v="50"/>
    <s v="Cardoso.etal.2008"/>
    <s v="Estuarine, Coastal and Shelf Science 76:553-565"/>
    <s v="Figure 3, 5"/>
    <s v="Pub"/>
    <s v="Published"/>
    <s v="RE"/>
    <s v="Yes"/>
    <s v="seagrass"/>
    <s v="macrophyte"/>
    <n v="40.128999999999998"/>
    <n v="-8.8450000000000006"/>
    <s v="Mondego Estuary, Portugal"/>
    <s v="Yes"/>
    <s v="Eutrophication"/>
    <s v="N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5">
  <r>
    <n v="66"/>
    <s v="SBC"/>
    <s v="ABUR"/>
    <s v="no"/>
    <x v="0"/>
    <x v="0"/>
    <x v="0"/>
    <s v="None"/>
    <s v="NA"/>
    <x v="0"/>
    <s v="NA"/>
    <s v="NA"/>
    <n v="34.400275000000001"/>
    <n v="-119.7445915"/>
    <n v="1"/>
    <s v="subtropical"/>
  </r>
  <r>
    <n v="67"/>
    <s v="SBC"/>
    <s v="AHND"/>
    <s v="no"/>
    <x v="0"/>
    <x v="0"/>
    <x v="0"/>
    <s v="None"/>
    <s v="NA"/>
    <x v="0"/>
    <s v="NA"/>
    <s v="NA"/>
    <n v="34.471817000000001"/>
    <n v="-120.1426165"/>
    <n v="1"/>
    <s v="subtropical"/>
  </r>
  <r>
    <n v="68"/>
    <s v="SBC"/>
    <s v="AQUE"/>
    <s v="no"/>
    <x v="0"/>
    <x v="0"/>
    <x v="0"/>
    <s v="None"/>
    <s v="NA"/>
    <x v="0"/>
    <s v="NA"/>
    <s v="NA"/>
    <n v="34.46774988"/>
    <n v="-120.11905"/>
    <n v="1"/>
    <s v="subtropical"/>
  </r>
  <r>
    <n v="77"/>
    <s v="SeaBrook"/>
    <s v="B17_sha"/>
    <s v="yes"/>
    <x v="1"/>
    <x v="0"/>
    <x v="1"/>
    <s v="Press"/>
    <s v="neutral"/>
    <x v="0"/>
    <n v="33239"/>
    <s v="NA"/>
    <n v="42.9"/>
    <n v="-70.793000000000006"/>
    <n v="1"/>
    <s v="temperate"/>
  </r>
  <r>
    <n v="78"/>
    <s v="SeaBrook"/>
    <s v="B19_mid"/>
    <s v="yes"/>
    <x v="1"/>
    <x v="0"/>
    <x v="2"/>
    <s v="Press"/>
    <s v="negative"/>
    <x v="1"/>
    <n v="33239"/>
    <s v="NA"/>
    <n v="42.892000000000003"/>
    <n v="-70.787999999999997"/>
    <n v="1"/>
    <s v="temperate"/>
  </r>
  <r>
    <n v="79"/>
    <s v="SeaBrook"/>
    <s v="B31_mid"/>
    <s v="no"/>
    <x v="0"/>
    <x v="0"/>
    <x v="0"/>
    <s v="None"/>
    <s v="NA"/>
    <x v="0"/>
    <s v="NA"/>
    <s v="NA"/>
    <n v="42.970999999999997"/>
    <n v="-70.753"/>
    <n v="1"/>
    <s v="temperate"/>
  </r>
  <r>
    <n v="80"/>
    <s v="SeaBrook"/>
    <s v="B35_sha"/>
    <s v="no"/>
    <x v="0"/>
    <x v="0"/>
    <x v="0"/>
    <s v="None"/>
    <s v="NA"/>
    <x v="0"/>
    <s v="NA"/>
    <s v="NA"/>
    <n v="42.96"/>
    <n v="-70.769000000000005"/>
    <n v="1"/>
    <s v="temperate"/>
  </r>
  <r>
    <n v="158"/>
    <s v="KelmoForam"/>
    <s v="BahiaKF"/>
    <s v="yes"/>
    <x v="2"/>
    <x v="0"/>
    <x v="1"/>
    <s v="Pulse"/>
    <s v="NA"/>
    <x v="0"/>
    <n v="35947"/>
    <s v="NA"/>
    <n v="-12.64"/>
    <n v="-38.04"/>
    <n v="4"/>
    <s v="tropical"/>
  </r>
  <r>
    <n v="159"/>
    <s v="KelmoSponge"/>
    <s v="BahiaKS"/>
    <s v="yes"/>
    <x v="2"/>
    <x v="0"/>
    <x v="1"/>
    <s v="Pulse"/>
    <s v="NA"/>
    <x v="0"/>
    <n v="35947"/>
    <s v="NA"/>
    <n v="-12.641"/>
    <n v="-38.040999999999997"/>
    <n v="4"/>
    <s v="tropical"/>
  </r>
  <r>
    <n v="160"/>
    <s v="KelmoInv"/>
    <s v="BahiaKI"/>
    <s v="yes"/>
    <x v="2"/>
    <x v="0"/>
    <x v="1"/>
    <s v="Pulse"/>
    <s v="NA"/>
    <x v="0"/>
    <n v="35947"/>
    <s v="NA"/>
    <n v="-12.641999999999999"/>
    <n v="-38.042000000000002"/>
    <n v="4"/>
    <s v="tropical"/>
  </r>
  <r>
    <n v="149"/>
    <s v="Touzri"/>
    <s v="Bay"/>
    <s v="no"/>
    <x v="0"/>
    <x v="0"/>
    <x v="0"/>
    <s v="None"/>
    <s v="NA"/>
    <x v="0"/>
    <s v="NA"/>
    <s v="NA"/>
    <n v="37.286000000000001"/>
    <n v="9.92"/>
    <n v="7"/>
    <s v="subtropical"/>
  </r>
  <r>
    <n v="10"/>
    <s v="Birkeland"/>
    <s v="BirkeSC"/>
    <s v="no"/>
    <x v="0"/>
    <x v="0"/>
    <x v="0"/>
    <s v="None"/>
    <s v="NA"/>
    <x v="0"/>
    <s v="NA"/>
    <s v="NA"/>
    <n v="48.551000000000002"/>
    <n v="-123.005"/>
    <n v="1"/>
    <s v="temperate"/>
  </r>
  <r>
    <n v="131"/>
    <s v="Robinson"/>
    <s v="BM"/>
    <s v="no"/>
    <x v="0"/>
    <x v="0"/>
    <x v="0"/>
    <s v="None"/>
    <s v="NA"/>
    <x v="0"/>
    <s v="NA"/>
    <s v="NA"/>
    <n v="48.722999999999999"/>
    <n v="-123.249"/>
    <n v="1"/>
    <s v="temperate"/>
  </r>
  <r>
    <n v="121"/>
    <s v="Kilfoyle"/>
    <s v="boulder"/>
    <s v="yes"/>
    <x v="3"/>
    <x v="0"/>
    <x v="3"/>
    <s v="Press"/>
    <s v="positive"/>
    <x v="2"/>
    <n v="37834"/>
    <s v="NA"/>
    <n v="26.018000000000001"/>
    <n v="-80.111999999999995"/>
    <n v="25"/>
    <s v="subtropical"/>
  </r>
  <r>
    <n v="69"/>
    <s v="SBC"/>
    <s v="BULL"/>
    <s v="no"/>
    <x v="0"/>
    <x v="0"/>
    <x v="0"/>
    <s v="None"/>
    <s v="NA"/>
    <x v="0"/>
    <s v="NA"/>
    <s v="NA"/>
    <n v="34.458505330000001"/>
    <n v="-120.33349"/>
    <n v="1"/>
    <s v="subtropical"/>
  </r>
  <r>
    <n v="111"/>
    <s v="Jones"/>
    <s v="Burrill"/>
    <s v="no"/>
    <x v="0"/>
    <x v="0"/>
    <x v="0"/>
    <s v="None"/>
    <s v="NA"/>
    <x v="0"/>
    <s v="NA"/>
    <s v="NA"/>
    <n v="-35.372999999999998"/>
    <n v="150.43100000000001"/>
    <n v="12"/>
    <s v="subtropical"/>
  </r>
  <r>
    <n v="142"/>
    <s v="Svensson"/>
    <s v="C1_3m"/>
    <s v="no"/>
    <x v="0"/>
    <x v="0"/>
    <x v="0"/>
    <s v="None"/>
    <s v="NA"/>
    <x v="0"/>
    <s v="NA"/>
    <s v="NA"/>
    <n v="12.644"/>
    <n v="109.4"/>
    <n v="1"/>
    <s v="tropical"/>
  </r>
  <r>
    <n v="141"/>
    <s v="Svensson"/>
    <s v="C1_9m"/>
    <s v="no"/>
    <x v="0"/>
    <x v="0"/>
    <x v="0"/>
    <s v="None"/>
    <s v="NA"/>
    <x v="0"/>
    <s v="NA"/>
    <s v="NA"/>
    <n v="12.643000000000001"/>
    <n v="109.4"/>
    <n v="1"/>
    <s v="tropical"/>
  </r>
  <r>
    <n v="144"/>
    <s v="Svensson"/>
    <s v="C2_3m"/>
    <s v="no"/>
    <x v="0"/>
    <x v="0"/>
    <x v="0"/>
    <s v="None"/>
    <s v="NA"/>
    <x v="0"/>
    <s v="NA"/>
    <s v="NA"/>
    <n v="12.646000000000001"/>
    <n v="109.398"/>
    <n v="1"/>
    <s v="tropical"/>
  </r>
  <r>
    <n v="143"/>
    <s v="Svensson"/>
    <s v="C2_9m"/>
    <s v="no"/>
    <x v="0"/>
    <x v="0"/>
    <x v="0"/>
    <s v="None"/>
    <s v="NA"/>
    <x v="0"/>
    <s v="NA"/>
    <s v="NA"/>
    <n v="12.645"/>
    <n v="109.398"/>
    <n v="1"/>
    <s v="tropical"/>
  </r>
  <r>
    <n v="132"/>
    <s v="Robinson"/>
    <s v="CA"/>
    <s v="no"/>
    <x v="0"/>
    <x v="0"/>
    <x v="0"/>
    <s v="None"/>
    <s v="NA"/>
    <x v="0"/>
    <s v="NA"/>
    <s v="NA"/>
    <n v="48.722999999999999"/>
    <n v="-123.249"/>
    <n v="1"/>
    <s v="temperate"/>
  </r>
  <r>
    <n v="11"/>
    <s v="Edmunds"/>
    <s v="Cabritte"/>
    <s v="no"/>
    <x v="0"/>
    <x v="0"/>
    <x v="0"/>
    <s v="None"/>
    <s v="NA"/>
    <x v="0"/>
    <s v="NA"/>
    <s v="NA"/>
    <n v="18.308"/>
    <n v="-64.721999999999994"/>
    <n v="1"/>
    <s v="tropical"/>
  </r>
  <r>
    <n v="70"/>
    <s v="SBC"/>
    <s v="CARP"/>
    <s v="no"/>
    <x v="0"/>
    <x v="0"/>
    <x v="0"/>
    <s v="None"/>
    <s v="NA"/>
    <x v="0"/>
    <s v="NA"/>
    <s v="NA"/>
    <n v="34.3916319"/>
    <n v="-119.54169330000001"/>
    <n v="1"/>
    <s v="subtropical"/>
  </r>
  <r>
    <n v="129"/>
    <s v="Noble"/>
    <s v="closed"/>
    <s v="yes"/>
    <x v="4"/>
    <x v="0"/>
    <x v="4"/>
    <s v="Press"/>
    <s v="positive"/>
    <x v="2"/>
    <n v="31778"/>
    <m/>
    <n v="17.620999999999999"/>
    <n v="-63.26"/>
    <n v="2"/>
    <s v="tropical"/>
  </r>
  <r>
    <n v="6"/>
    <s v="BIOMON"/>
    <s v="coastal"/>
    <s v="no"/>
    <x v="0"/>
    <x v="0"/>
    <x v="0"/>
    <s v="None"/>
    <s v="NA"/>
    <x v="0"/>
    <s v="NA"/>
    <s v="NA"/>
    <n v="52.335000000000001"/>
    <n v="4.4470000000000001"/>
    <n v="14"/>
    <s v="temperate"/>
  </r>
  <r>
    <n v="21"/>
    <s v="FriedBeets08"/>
    <s v="Cocoloba"/>
    <s v="yes"/>
    <x v="5"/>
    <x v="0"/>
    <x v="5"/>
    <s v="Pulse"/>
    <s v="negative"/>
    <x v="1"/>
    <n v="32752"/>
    <s v="NA"/>
    <n v="18.315000000000001"/>
    <n v="-64.760000000000005"/>
    <n v="1"/>
    <s v="tropical"/>
  </r>
  <r>
    <n v="112"/>
    <s v="Jones"/>
    <s v="Coila"/>
    <s v="no"/>
    <x v="0"/>
    <x v="0"/>
    <x v="0"/>
    <s v="None"/>
    <s v="NA"/>
    <x v="0"/>
    <s v="NA"/>
    <s v="NA"/>
    <n v="-36.024999999999999"/>
    <n v="150.12700000000001"/>
    <n v="12"/>
    <s v="subtropical"/>
  </r>
  <r>
    <n v="113"/>
    <s v="Jones"/>
    <s v="Conjola"/>
    <s v="no"/>
    <x v="0"/>
    <x v="0"/>
    <x v="0"/>
    <s v="None"/>
    <s v="NA"/>
    <x v="0"/>
    <s v="NA"/>
    <s v="NA"/>
    <n v="-35.26"/>
    <n v="150.46199999999999"/>
    <n v="12"/>
    <s v="subtropical"/>
  </r>
  <r>
    <n v="136"/>
    <s v="Sheaves"/>
    <s v="Curralea"/>
    <s v="no"/>
    <x v="0"/>
    <x v="0"/>
    <x v="0"/>
    <s v="None"/>
    <s v="NA"/>
    <x v="0"/>
    <s v="NA"/>
    <s v="NA"/>
    <n v="-19.273"/>
    <n v="146.78700000000001"/>
    <n v="1"/>
    <s v="tropical"/>
  </r>
  <r>
    <n v="165"/>
    <s v="Whomersley"/>
    <s v="D"/>
    <s v="yes"/>
    <x v="6"/>
    <x v="0"/>
    <x v="5"/>
    <s v="Press"/>
    <s v="negative"/>
    <x v="1"/>
    <n v="29952"/>
    <s v="NA"/>
    <n v="53.57"/>
    <n v="-3.3319999999999999"/>
    <n v="1"/>
    <s v="temperate"/>
  </r>
  <r>
    <n v="171"/>
    <s v="Sebens"/>
    <s v="DB"/>
    <s v="no"/>
    <x v="0"/>
    <x v="0"/>
    <x v="0"/>
    <s v="NA"/>
    <s v="NA"/>
    <x v="0"/>
    <s v="NA"/>
    <s v="NA"/>
    <n v="42.420954000000002"/>
    <n v="-70.904486000000006"/>
    <n v="1"/>
    <s v="temperate"/>
  </r>
  <r>
    <n v="117"/>
    <s v="Keller"/>
    <s v="deep"/>
    <s v="no"/>
    <x v="0"/>
    <x v="0"/>
    <x v="0"/>
    <s v="None"/>
    <s v="NA"/>
    <x v="0"/>
    <s v="NA"/>
    <s v="NA"/>
    <n v="40"/>
    <n v="-125"/>
    <n v="220"/>
    <s v="temperate"/>
  </r>
  <r>
    <n v="123"/>
    <s v="McClanahan"/>
    <s v="Diani"/>
    <s v="yes"/>
    <x v="2"/>
    <x v="0"/>
    <x v="1"/>
    <s v="Press"/>
    <s v="negative"/>
    <x v="1"/>
    <n v="35947"/>
    <s v="NA"/>
    <n v="-4.319"/>
    <n v="39.576999999999998"/>
    <n v="1"/>
    <s v="tropical"/>
  </r>
  <r>
    <n v="140"/>
    <s v="Sonnewald"/>
    <s v="Dogger"/>
    <s v="no"/>
    <x v="0"/>
    <x v="0"/>
    <x v="0"/>
    <s v="None"/>
    <s v="NA"/>
    <x v="0"/>
    <s v="NA"/>
    <s v="NA"/>
    <n v="55"/>
    <n v="2.5"/>
    <n v="37"/>
    <s v="temperate"/>
  </r>
  <r>
    <n v="7"/>
    <s v="BIOMON"/>
    <s v="Dogger Bank"/>
    <s v="no"/>
    <x v="0"/>
    <x v="0"/>
    <x v="0"/>
    <s v="None"/>
    <s v="NA"/>
    <x v="0"/>
    <s v="NA"/>
    <s v="NA"/>
    <n v="55.12"/>
    <n v="3.3660000000000001"/>
    <n v="6"/>
    <s v="temperate"/>
  </r>
  <r>
    <n v="12"/>
    <s v="Edmunds"/>
    <s v="EastTektite"/>
    <s v="no"/>
    <x v="0"/>
    <x v="0"/>
    <x v="0"/>
    <s v="None"/>
    <s v="NA"/>
    <x v="0"/>
    <s v="NA"/>
    <s v="NA"/>
    <n v="18.311"/>
    <n v="-64.722999999999999"/>
    <n v="1"/>
    <s v="tropical"/>
  </r>
  <r>
    <n v="1"/>
    <s v="Bebars"/>
    <s v="Edkou"/>
    <s v="yes"/>
    <x v="7"/>
    <x v="1"/>
    <x v="6"/>
    <s v="Press"/>
    <s v="negative"/>
    <x v="1"/>
    <n v="21551"/>
    <n v="25204"/>
    <n v="31.251000000000001"/>
    <n v="30.21"/>
    <n v="1"/>
    <s v="subtropical"/>
  </r>
  <r>
    <n v="128"/>
    <s v="Miller"/>
    <s v="Entrance"/>
    <s v="no"/>
    <x v="0"/>
    <x v="0"/>
    <x v="0"/>
    <s v="None"/>
    <s v="NA"/>
    <x v="0"/>
    <s v="NA"/>
    <s v="NA"/>
    <n v="43.347000000000001"/>
    <n v="-124.321"/>
    <n v="1"/>
    <s v="temperate"/>
  </r>
  <r>
    <n v="25"/>
    <s v="IMOS"/>
    <s v="Esperance"/>
    <s v="no"/>
    <x v="0"/>
    <x v="0"/>
    <x v="0"/>
    <s v="None"/>
    <s v="NA"/>
    <x v="0"/>
    <s v="NA"/>
    <s v="NA"/>
    <n v="-33.933300000000003"/>
    <n v="121.85"/>
    <n v="1"/>
    <s v="subtropical"/>
  </r>
  <r>
    <n v="13"/>
    <s v="Edmunds"/>
    <s v="Europa"/>
    <s v="no"/>
    <x v="0"/>
    <x v="0"/>
    <x v="0"/>
    <s v="None"/>
    <s v="NA"/>
    <x v="0"/>
    <s v="NA"/>
    <s v="NA"/>
    <n v="18.317"/>
    <n v="-64.73"/>
    <n v="1"/>
    <s v="tropical"/>
  </r>
  <r>
    <n v="170"/>
    <s v="Cardoso"/>
    <s v="Eutrophic"/>
    <s v="yes"/>
    <x v="8"/>
    <x v="0"/>
    <x v="5"/>
    <s v="Press"/>
    <s v="negative"/>
    <x v="1"/>
    <n v="32143"/>
    <s v="NA"/>
    <n v="40.122999999999998"/>
    <n v="-8.8360000000000003"/>
    <n v="1"/>
    <s v="temperate"/>
  </r>
  <r>
    <n v="153"/>
    <s v="Warwick"/>
    <s v="far146"/>
    <s v="no"/>
    <x v="0"/>
    <x v="0"/>
    <x v="0"/>
    <s v="None"/>
    <s v="NA"/>
    <x v="0"/>
    <s v="NA"/>
    <s v="NA"/>
    <n v="54.673000000000002"/>
    <n v="-1.1180000000000001"/>
    <n v="12"/>
    <s v="temperate"/>
  </r>
  <r>
    <n v="109"/>
    <s v="Ivanov"/>
    <s v="Farm"/>
    <s v="yes"/>
    <x v="9"/>
    <x v="0"/>
    <x v="5"/>
    <s v="Press"/>
    <s v="negative"/>
    <x v="1"/>
    <n v="32325"/>
    <s v="NA"/>
    <n v="66.215000000000003"/>
    <n v="33.92"/>
    <n v="1"/>
    <s v="temperate"/>
  </r>
  <r>
    <n v="105"/>
    <s v="Hawkins"/>
    <s v="fished"/>
    <s v="no"/>
    <x v="0"/>
    <x v="0"/>
    <x v="0"/>
    <s v="None"/>
    <s v="NA"/>
    <x v="0"/>
    <s v="NA"/>
    <s v="NA"/>
    <n v="13.837"/>
    <n v="-61.076000000000001"/>
    <n v="8"/>
    <s v="tropical"/>
  </r>
  <r>
    <n v="99"/>
    <s v="Greenwood"/>
    <s v="Forth"/>
    <s v="no"/>
    <x v="0"/>
    <x v="0"/>
    <x v="0"/>
    <s v="None"/>
    <s v="NA"/>
    <x v="0"/>
    <s v="NA"/>
    <s v="NA"/>
    <n v="56.034999999999997"/>
    <n v="-3.5859999999999999"/>
    <n v="3"/>
    <s v="temperate"/>
  </r>
  <r>
    <n v="4"/>
    <s v="BeetsFried03"/>
    <s v="FourSites"/>
    <s v="yes"/>
    <x v="5"/>
    <x v="2"/>
    <x v="6"/>
    <s v="Pulse"/>
    <s v="neutral"/>
    <x v="0"/>
    <n v="32752"/>
    <n v="34943"/>
    <n v="18.321999999999999"/>
    <n v="-64.688000000000002"/>
    <n v="4"/>
    <s v="tropical"/>
  </r>
  <r>
    <n v="71"/>
    <s v="SBC"/>
    <s v="GOLB"/>
    <s v="no"/>
    <x v="0"/>
    <x v="0"/>
    <x v="0"/>
    <s v="None"/>
    <s v="NA"/>
    <x v="0"/>
    <s v="NA"/>
    <s v="NA"/>
    <n v="34.4137165"/>
    <n v="-119.9221"/>
    <n v="1"/>
    <s v="subtropical"/>
  </r>
  <r>
    <n v="89"/>
    <s v="Barrett"/>
    <s v="Gov_fished"/>
    <s v="no"/>
    <x v="0"/>
    <x v="0"/>
    <x v="0"/>
    <s v="None"/>
    <s v="NA"/>
    <x v="0"/>
    <n v="33390"/>
    <s v="NA"/>
    <n v="-41.88"/>
    <n v="148.31"/>
    <n v="3"/>
    <s v="temperate"/>
  </r>
  <r>
    <n v="90"/>
    <s v="Barrett"/>
    <s v="Gov_mpa"/>
    <s v="yes"/>
    <x v="4"/>
    <x v="0"/>
    <x v="4"/>
    <s v="Press"/>
    <s v="positive"/>
    <x v="2"/>
    <n v="33390"/>
    <s v="NA"/>
    <n v="-41.872999999999998"/>
    <n v="148.315"/>
    <n v="2"/>
    <s v="temperate"/>
  </r>
  <r>
    <n v="23"/>
    <s v="FriedHawaii"/>
    <s v="HanaleiBay"/>
    <s v="no"/>
    <x v="0"/>
    <x v="0"/>
    <x v="0"/>
    <s v="None"/>
    <s v="NA"/>
    <x v="0"/>
    <s v="NA"/>
    <s v="NA"/>
    <n v="22.21"/>
    <n v="-159.51"/>
    <n v="1"/>
    <s v="tropical"/>
  </r>
  <r>
    <n v="96"/>
    <s v="Dittmann"/>
    <s v="HCA"/>
    <s v="no"/>
    <x v="0"/>
    <x v="0"/>
    <x v="0"/>
    <s v="None"/>
    <s v="NA"/>
    <x v="0"/>
    <s v="NA"/>
    <s v="NA"/>
    <n v="-18.274000000000001"/>
    <n v="146.08500000000001"/>
    <n v="1"/>
    <s v="tropical"/>
  </r>
  <r>
    <n v="97"/>
    <s v="Dittmann"/>
    <s v="HCB"/>
    <s v="no"/>
    <x v="0"/>
    <x v="0"/>
    <x v="0"/>
    <s v="None"/>
    <s v="NA"/>
    <x v="0"/>
    <s v="NA"/>
    <s v="NA"/>
    <n v="-18.321000000000002"/>
    <n v="146.148"/>
    <n v="1"/>
    <s v="tropical"/>
  </r>
  <r>
    <n v="133"/>
    <s v="Robinson"/>
    <s v="HI"/>
    <s v="no"/>
    <x v="0"/>
    <x v="0"/>
    <x v="0"/>
    <s v="None"/>
    <s v="NA"/>
    <x v="0"/>
    <s v="NA"/>
    <s v="NA"/>
    <n v="48.899000000000001"/>
    <n v="-125.27800000000001"/>
    <n v="1"/>
    <s v="temperate"/>
  </r>
  <r>
    <n v="102"/>
    <s v="Hall"/>
    <s v="Howdon"/>
    <s v="yes"/>
    <x v="10"/>
    <x v="0"/>
    <x v="7"/>
    <s v="Press"/>
    <s v="positive"/>
    <x v="2"/>
    <n v="31686"/>
    <s v="NA"/>
    <n v="54.987000000000002"/>
    <n v="-1.496"/>
    <n v="1"/>
    <s v="temperate"/>
  </r>
  <r>
    <n v="172"/>
    <s v="Sebens"/>
    <s v="HRI"/>
    <s v="no"/>
    <x v="0"/>
    <x v="0"/>
    <x v="0"/>
    <s v="NA"/>
    <s v="NA"/>
    <x v="0"/>
    <s v="NA"/>
    <s v="NA"/>
    <n v="42.502203000000002"/>
    <n v="-70.774596000000003"/>
    <n v="1"/>
    <s v="temperate"/>
  </r>
  <r>
    <n v="173"/>
    <s v="Sebens"/>
    <s v="HRO"/>
    <s v="no"/>
    <x v="0"/>
    <x v="0"/>
    <x v="0"/>
    <s v="NA"/>
    <s v="NA"/>
    <x v="0"/>
    <s v="NA"/>
    <s v="NA"/>
    <n v="42.502201999999997"/>
    <n v="-70.775087999999997"/>
    <n v="1"/>
    <s v="temperate"/>
  </r>
  <r>
    <n v="114"/>
    <s v="Jones"/>
    <s v="Illawarra"/>
    <s v="no"/>
    <x v="0"/>
    <x v="0"/>
    <x v="0"/>
    <s v="None"/>
    <s v="NA"/>
    <x v="0"/>
    <s v="NA"/>
    <s v="NA"/>
    <n v="-34.524000000000001"/>
    <n v="150.834"/>
    <n v="12"/>
    <s v="subtropical"/>
  </r>
  <r>
    <n v="156"/>
    <s v="Warwick"/>
    <s v="inner"/>
    <s v="yes"/>
    <x v="10"/>
    <x v="0"/>
    <x v="3"/>
    <s v="Press"/>
    <s v="positive"/>
    <x v="2"/>
    <n v="31048"/>
    <n v="35431"/>
    <n v="54.6"/>
    <n v="-1.171"/>
    <n v="8"/>
    <s v="temperate"/>
  </r>
  <r>
    <n v="169"/>
    <s v="Cardoso"/>
    <s v="Intermediate"/>
    <s v="yes"/>
    <x v="8"/>
    <x v="0"/>
    <x v="5"/>
    <s v="Press"/>
    <s v="negative"/>
    <x v="1"/>
    <n v="32143"/>
    <s v="NA"/>
    <n v="40.128999999999998"/>
    <n v="-8.8450000000000006"/>
    <n v="1"/>
    <s v="temperate"/>
  </r>
  <r>
    <n v="72"/>
    <s v="SBC"/>
    <s v="IVEE"/>
    <s v="no"/>
    <x v="0"/>
    <x v="0"/>
    <x v="0"/>
    <s v="None"/>
    <s v="NA"/>
    <x v="0"/>
    <s v="NA"/>
    <s v="NA"/>
    <n v="34.402782999999999"/>
    <n v="-119.85755"/>
    <n v="1"/>
    <s v="subtropical"/>
  </r>
  <r>
    <n v="124"/>
    <s v="McClanahan"/>
    <s v="Kanamai"/>
    <s v="yes"/>
    <x v="2"/>
    <x v="0"/>
    <x v="1"/>
    <s v="Press"/>
    <s v="negative"/>
    <x v="1"/>
    <n v="35947"/>
    <s v="NA"/>
    <n v="-3.9209999999999998"/>
    <n v="39.789000000000001"/>
    <n v="1"/>
    <s v="tropical"/>
  </r>
  <r>
    <n v="26"/>
    <s v="IMOS"/>
    <s v="Kangaroo Island"/>
    <s v="no"/>
    <x v="0"/>
    <x v="0"/>
    <x v="0"/>
    <s v="None"/>
    <s v="NA"/>
    <x v="0"/>
    <s v="NA"/>
    <s v="NA"/>
    <n v="-35.835999999999999"/>
    <n v="136.44800000000001"/>
    <n v="1"/>
    <s v="subtropical"/>
  </r>
  <r>
    <n v="137"/>
    <s v="Sheaves"/>
    <s v="Keyatta"/>
    <s v="no"/>
    <x v="0"/>
    <x v="0"/>
    <x v="0"/>
    <s v="None"/>
    <s v="NA"/>
    <x v="0"/>
    <s v="NA"/>
    <s v="NA"/>
    <n v="-19.268999999999998"/>
    <n v="146.78800000000001"/>
    <n v="1"/>
    <s v="tropical"/>
  </r>
  <r>
    <n v="139"/>
    <s v="Somerfield"/>
    <s v="Keys"/>
    <s v="no"/>
    <x v="0"/>
    <x v="0"/>
    <x v="0"/>
    <s v="None"/>
    <s v="NA"/>
    <x v="0"/>
    <s v="NA"/>
    <s v="NA"/>
    <n v="24.814"/>
    <n v="-80.736999999999995"/>
    <n v="40"/>
    <s v="subtropical"/>
  </r>
  <r>
    <n v="33"/>
    <s v="KFMP"/>
    <s v="KFMP1"/>
    <s v="no"/>
    <x v="0"/>
    <x v="0"/>
    <x v="0"/>
    <s v="None"/>
    <s v="NA"/>
    <x v="0"/>
    <s v="NA"/>
    <s v="NA"/>
    <n v="34.022366669999997"/>
    <n v="-120.3874667"/>
    <n v="1"/>
    <s v="subtropical"/>
  </r>
  <r>
    <n v="34"/>
    <s v="KFMP"/>
    <s v="KFMP10"/>
    <s v="no"/>
    <x v="0"/>
    <x v="0"/>
    <x v="0"/>
    <s v="None"/>
    <s v="NA"/>
    <x v="0"/>
    <s v="NA"/>
    <s v="NA"/>
    <n v="33.989833330000003"/>
    <n v="-119.56306669999999"/>
    <n v="1"/>
    <s v="subtropical"/>
  </r>
  <r>
    <n v="35"/>
    <s v="KFMP"/>
    <s v="KFMP11"/>
    <s v="no"/>
    <x v="0"/>
    <x v="0"/>
    <x v="0"/>
    <s v="None"/>
    <s v="NA"/>
    <x v="0"/>
    <s v="NA"/>
    <s v="NA"/>
    <n v="34.007750000000001"/>
    <n v="-119.43438329999999"/>
    <n v="1"/>
    <s v="subtropical"/>
  </r>
  <r>
    <n v="36"/>
    <s v="KFMP"/>
    <s v="KFMP12"/>
    <s v="yes"/>
    <x v="4"/>
    <x v="0"/>
    <x v="4"/>
    <s v="Press"/>
    <s v="positive"/>
    <x v="2"/>
    <n v="28491"/>
    <s v="NA"/>
    <n v="34.015866670000001"/>
    <n v="-119.3717333"/>
    <n v="1"/>
    <s v="subtropical"/>
  </r>
  <r>
    <n v="37"/>
    <s v="KFMP"/>
    <s v="KFMP13"/>
    <s v="yes"/>
    <x v="4"/>
    <x v="0"/>
    <x v="4"/>
    <s v="Press"/>
    <s v="positive"/>
    <x v="2"/>
    <n v="37712"/>
    <s v="NA"/>
    <n v="34.017033329999997"/>
    <n v="-119.36113330000001"/>
    <n v="1"/>
    <s v="subtropical"/>
  </r>
  <r>
    <n v="38"/>
    <s v="KFMP"/>
    <s v="KFMP14"/>
    <s v="yes"/>
    <x v="4"/>
    <x v="0"/>
    <x v="4"/>
    <s v="Press"/>
    <s v="positive"/>
    <x v="2"/>
    <n v="37712"/>
    <s v="NA"/>
    <n v="33.466116669999998"/>
    <n v="-119.0277833"/>
    <n v="1"/>
    <s v="subtropical"/>
  </r>
  <r>
    <n v="39"/>
    <s v="KFMP"/>
    <s v="KFMP15"/>
    <s v="no"/>
    <x v="0"/>
    <x v="0"/>
    <x v="0"/>
    <s v="None"/>
    <s v="NA"/>
    <x v="0"/>
    <s v="NA"/>
    <s v="NA"/>
    <n v="33.487533329999998"/>
    <n v="-119.0275833"/>
    <n v="1"/>
    <s v="subtropical"/>
  </r>
  <r>
    <n v="40"/>
    <s v="KFMP"/>
    <s v="KFMP16"/>
    <s v="no"/>
    <x v="0"/>
    <x v="0"/>
    <x v="0"/>
    <s v="None"/>
    <s v="NA"/>
    <x v="0"/>
    <s v="NA"/>
    <s v="NA"/>
    <n v="33.464416669999999"/>
    <n v="-119.0391667"/>
    <n v="1"/>
    <s v="subtropical"/>
  </r>
  <r>
    <n v="41"/>
    <s v="KFMP"/>
    <s v="KFMP2"/>
    <s v="yes"/>
    <x v="4"/>
    <x v="0"/>
    <x v="4"/>
    <s v="Press"/>
    <s v="positive"/>
    <x v="2"/>
    <n v="37712"/>
    <s v="NA"/>
    <n v="34.064383329999998"/>
    <n v="-120.3566"/>
    <n v="1"/>
    <s v="subtropical"/>
  </r>
  <r>
    <n v="42"/>
    <s v="KFMP"/>
    <s v="KFMP21"/>
    <s v="no"/>
    <x v="0"/>
    <x v="0"/>
    <x v="0"/>
    <s v="None"/>
    <s v="NA"/>
    <x v="0"/>
    <s v="NA"/>
    <s v="NA"/>
    <n v="34.023699999999998"/>
    <n v="-120.3951333"/>
    <n v="1"/>
    <s v="subtropical"/>
  </r>
  <r>
    <n v="43"/>
    <s v="KFMP"/>
    <s v="KFMP22"/>
    <s v="no"/>
    <x v="0"/>
    <x v="0"/>
    <x v="0"/>
    <s v="None"/>
    <s v="NA"/>
    <x v="0"/>
    <s v="NA"/>
    <s v="NA"/>
    <n v="33.923033330000003"/>
    <n v="-120.1873667"/>
    <n v="1"/>
    <s v="subtropical"/>
  </r>
  <r>
    <n v="44"/>
    <s v="KFMP"/>
    <s v="KFMP23"/>
    <s v="yes"/>
    <x v="4"/>
    <x v="0"/>
    <x v="4"/>
    <s v="Press"/>
    <s v="positive"/>
    <x v="2"/>
    <n v="37712"/>
    <s v="NA"/>
    <n v="33.908549999999998"/>
    <n v="-120.1555333"/>
    <n v="1"/>
    <s v="subtropical"/>
  </r>
  <r>
    <n v="45"/>
    <s v="KFMP"/>
    <s v="KFMP24"/>
    <s v="yes"/>
    <x v="4"/>
    <x v="0"/>
    <x v="4"/>
    <s v="Press"/>
    <s v="positive"/>
    <x v="2"/>
    <n v="37712"/>
    <s v="NA"/>
    <n v="33.900366669999997"/>
    <n v="-120.1356667"/>
    <n v="1"/>
    <s v="subtropical"/>
  </r>
  <r>
    <n v="46"/>
    <s v="KFMP"/>
    <s v="KFMP25"/>
    <s v="yes"/>
    <x v="4"/>
    <x v="0"/>
    <x v="4"/>
    <s v="Press"/>
    <s v="positive"/>
    <x v="2"/>
    <n v="37712"/>
    <s v="NA"/>
    <n v="33.89233333"/>
    <n v="-120.1195"/>
    <n v="1"/>
    <s v="subtropical"/>
  </r>
  <r>
    <n v="47"/>
    <s v="KFMP"/>
    <s v="KFMP26"/>
    <s v="no"/>
    <x v="0"/>
    <x v="0"/>
    <x v="0"/>
    <s v="None"/>
    <s v="NA"/>
    <x v="0"/>
    <s v="NA"/>
    <s v="NA"/>
    <n v="34.044883329999998"/>
    <n v="-119.6012667"/>
    <n v="1"/>
    <s v="subtropical"/>
  </r>
  <r>
    <n v="48"/>
    <s v="KFMP"/>
    <s v="KFMP27"/>
    <s v="yes"/>
    <x v="4"/>
    <x v="0"/>
    <x v="4"/>
    <s v="Press"/>
    <s v="positive"/>
    <x v="2"/>
    <n v="37712"/>
    <s v="NA"/>
    <n v="34.052166669999998"/>
    <n v="-119.5821167"/>
    <n v="1"/>
    <s v="subtropical"/>
  </r>
  <r>
    <n v="49"/>
    <s v="KFMP"/>
    <s v="KFMP28"/>
    <s v="yes"/>
    <x v="4"/>
    <x v="0"/>
    <x v="4"/>
    <s v="Press"/>
    <s v="positive"/>
    <x v="2"/>
    <n v="37712"/>
    <s v="NA"/>
    <n v="34.054283329999997"/>
    <n v="-119.56686670000001"/>
    <n v="1"/>
    <s v="subtropical"/>
  </r>
  <r>
    <n v="50"/>
    <s v="KFMP"/>
    <s v="KFMP29"/>
    <s v="no"/>
    <x v="0"/>
    <x v="0"/>
    <x v="0"/>
    <s v="None"/>
    <s v="NA"/>
    <x v="0"/>
    <s v="NA"/>
    <s v="NA"/>
    <n v="34.044150000000002"/>
    <n v="-119.54245"/>
    <n v="1"/>
    <s v="subtropical"/>
  </r>
  <r>
    <n v="51"/>
    <s v="KFMP"/>
    <s v="KFMP3"/>
    <s v="no"/>
    <x v="0"/>
    <x v="0"/>
    <x v="0"/>
    <s v="None"/>
    <s v="NA"/>
    <x v="0"/>
    <s v="NA"/>
    <s v="NA"/>
    <n v="33.901466669999998"/>
    <n v="-120.1029667"/>
    <n v="1"/>
    <s v="subtropical"/>
  </r>
  <r>
    <n v="52"/>
    <s v="KFMP"/>
    <s v="KFMP30"/>
    <s v="no"/>
    <x v="0"/>
    <x v="0"/>
    <x v="0"/>
    <s v="None"/>
    <s v="NA"/>
    <x v="0"/>
    <s v="NA"/>
    <s v="NA"/>
    <n v="34.038366670000002"/>
    <n v="-119.5253"/>
    <n v="1"/>
    <s v="subtropical"/>
  </r>
  <r>
    <n v="53"/>
    <s v="KFMP"/>
    <s v="KFMP31"/>
    <s v="yes"/>
    <x v="4"/>
    <x v="0"/>
    <x v="4"/>
    <s v="Press"/>
    <s v="positive"/>
    <x v="2"/>
    <n v="37712"/>
    <s v="NA"/>
    <n v="34.016416669999998"/>
    <n v="-119.43201670000001"/>
    <n v="1"/>
    <s v="subtropical"/>
  </r>
  <r>
    <n v="54"/>
    <s v="KFMP"/>
    <s v="KFMP32"/>
    <s v="no"/>
    <x v="0"/>
    <x v="0"/>
    <x v="0"/>
    <s v="None"/>
    <s v="NA"/>
    <x v="0"/>
    <s v="NA"/>
    <s v="NA"/>
    <n v="34.0045"/>
    <n v="-119.3857833"/>
    <n v="1"/>
    <s v="subtropical"/>
  </r>
  <r>
    <n v="55"/>
    <s v="KFMP"/>
    <s v="KFMP33"/>
    <s v="yes"/>
    <x v="4"/>
    <x v="0"/>
    <x v="4"/>
    <s v="Press"/>
    <s v="positive"/>
    <x v="2"/>
    <n v="37712"/>
    <s v="NA"/>
    <n v="34.012599999999999"/>
    <n v="-119.3891833"/>
    <n v="1"/>
    <s v="subtropical"/>
  </r>
  <r>
    <n v="56"/>
    <s v="KFMP"/>
    <s v="KFMP34"/>
    <s v="no"/>
    <x v="0"/>
    <x v="0"/>
    <x v="0"/>
    <s v="None"/>
    <s v="NA"/>
    <x v="0"/>
    <s v="NA"/>
    <s v="NA"/>
    <n v="34.014099999999999"/>
    <n v="-119.3590167"/>
    <n v="1"/>
    <s v="subtropical"/>
  </r>
  <r>
    <n v="57"/>
    <s v="KFMP"/>
    <s v="KFMP35"/>
    <s v="no"/>
    <x v="0"/>
    <x v="0"/>
    <x v="0"/>
    <s v="None"/>
    <s v="NA"/>
    <x v="0"/>
    <s v="NA"/>
    <s v="NA"/>
    <n v="33.479849999999999"/>
    <n v="-119.0622"/>
    <n v="1"/>
    <s v="subtropical"/>
  </r>
  <r>
    <n v="58"/>
    <s v="KFMP"/>
    <s v="KFMP36"/>
    <s v="yes"/>
    <x v="4"/>
    <x v="0"/>
    <x v="4"/>
    <s v="Press"/>
    <s v="positive"/>
    <x v="2"/>
    <n v="37712"/>
    <s v="NA"/>
    <n v="33.473066670000001"/>
    <n v="-119.0268167"/>
    <n v="1"/>
    <s v="subtropical"/>
  </r>
  <r>
    <n v="59"/>
    <s v="KFMP"/>
    <s v="KFMP37"/>
    <s v="yes"/>
    <x v="4"/>
    <x v="0"/>
    <x v="4"/>
    <s v="Press"/>
    <s v="positive"/>
    <x v="2"/>
    <n v="37712"/>
    <s v="NA"/>
    <n v="33.462933329999998"/>
    <n v="-119.0312667"/>
    <n v="1"/>
    <s v="subtropical"/>
  </r>
  <r>
    <n v="60"/>
    <s v="KFMP"/>
    <s v="KFMP4"/>
    <s v="no"/>
    <x v="0"/>
    <x v="0"/>
    <x v="0"/>
    <s v="None"/>
    <s v="NA"/>
    <x v="0"/>
    <s v="NA"/>
    <s v="NA"/>
    <n v="33.897533330000002"/>
    <n v="-120.10075000000001"/>
    <n v="1"/>
    <s v="subtropical"/>
  </r>
  <r>
    <n v="61"/>
    <s v="KFMP"/>
    <s v="KFMP5"/>
    <s v="no"/>
    <x v="0"/>
    <x v="0"/>
    <x v="0"/>
    <s v="None"/>
    <s v="NA"/>
    <x v="0"/>
    <s v="NA"/>
    <s v="NA"/>
    <n v="34.032616670000003"/>
    <n v="-120.107"/>
    <n v="1"/>
    <s v="subtropical"/>
  </r>
  <r>
    <n v="62"/>
    <s v="KFMP"/>
    <s v="KFMP6"/>
    <s v="yes"/>
    <x v="4"/>
    <x v="0"/>
    <x v="4"/>
    <s v="Press"/>
    <s v="positive"/>
    <x v="2"/>
    <n v="37712"/>
    <s v="NA"/>
    <n v="33.949666669999999"/>
    <n v="-119.8275833"/>
    <n v="1"/>
    <s v="subtropical"/>
  </r>
  <r>
    <n v="63"/>
    <s v="KFMP"/>
    <s v="KFMP7"/>
    <s v="no"/>
    <x v="0"/>
    <x v="0"/>
    <x v="0"/>
    <s v="None"/>
    <s v="NA"/>
    <x v="0"/>
    <s v="NA"/>
    <s v="NA"/>
    <n v="34.056350000000002"/>
    <n v="-119.75515"/>
    <n v="1"/>
    <s v="subtropical"/>
  </r>
  <r>
    <n v="64"/>
    <s v="KFMP"/>
    <s v="KFMP8"/>
    <s v="no"/>
    <x v="0"/>
    <x v="0"/>
    <x v="0"/>
    <s v="None"/>
    <s v="NA"/>
    <x v="0"/>
    <s v="NA"/>
    <s v="NA"/>
    <n v="34.03488333"/>
    <n v="-119.7030833"/>
    <n v="1"/>
    <s v="subtropical"/>
  </r>
  <r>
    <n v="65"/>
    <s v="KFMP"/>
    <s v="KFMP9"/>
    <s v="yes"/>
    <x v="4"/>
    <x v="0"/>
    <x v="4"/>
    <s v="Press"/>
    <s v="positive"/>
    <x v="2"/>
    <n v="37712"/>
    <s v="NA"/>
    <n v="34.047983330000001"/>
    <n v="-119.5514"/>
    <n v="1"/>
    <s v="subtropical"/>
  </r>
  <r>
    <n v="127"/>
    <s v="McLusky"/>
    <s v="Kinneil"/>
    <s v="yes"/>
    <x v="10"/>
    <x v="0"/>
    <x v="3"/>
    <s v="Press"/>
    <s v="positive"/>
    <x v="2"/>
    <n v="31199"/>
    <n v="33025"/>
    <n v="56.029000000000003"/>
    <n v="-3.657"/>
    <n v="1"/>
    <s v="temperate"/>
  </r>
  <r>
    <n v="85"/>
    <s v="SwedMacro"/>
    <s v="Kvado_deep"/>
    <s v="no"/>
    <x v="0"/>
    <x v="0"/>
    <x v="0"/>
    <s v="None"/>
    <s v="NA"/>
    <x v="0"/>
    <s v="NA"/>
    <s v="NA"/>
    <n v="57.814999999999998"/>
    <n v="16.890999999999998"/>
    <n v="1"/>
    <s v="temperate"/>
  </r>
  <r>
    <n v="86"/>
    <s v="SwedMacro"/>
    <s v="Kvado_shall"/>
    <s v="no"/>
    <x v="0"/>
    <x v="0"/>
    <x v="0"/>
    <s v="None"/>
    <s v="NA"/>
    <x v="0"/>
    <s v="NA"/>
    <s v="NA"/>
    <n v="57.814999999999998"/>
    <n v="16.890999999999998"/>
    <n v="1"/>
    <s v="temperate"/>
  </r>
  <r>
    <n v="150"/>
    <s v="Touzri"/>
    <s v="Lagoon"/>
    <s v="no"/>
    <x v="0"/>
    <x v="0"/>
    <x v="0"/>
    <s v="None"/>
    <s v="NA"/>
    <x v="0"/>
    <s v="NA"/>
    <s v="NA"/>
    <n v="37.188000000000002"/>
    <n v="9.8550000000000004"/>
    <n v="7"/>
    <s v="subtropical"/>
  </r>
  <r>
    <n v="20"/>
    <s v="Frid2009"/>
    <s v="M1"/>
    <s v="no"/>
    <x v="0"/>
    <x v="0"/>
    <x v="0"/>
    <s v="None"/>
    <s v="NA"/>
    <x v="0"/>
    <s v="NA"/>
    <s v="NA"/>
    <n v="55.116999999999997"/>
    <n v="-1.333"/>
    <n v="1"/>
    <s v="temperate"/>
  </r>
  <r>
    <n v="2"/>
    <s v="Bebars"/>
    <s v="Manzalah"/>
    <s v="yes"/>
    <x v="7"/>
    <x v="1"/>
    <x v="6"/>
    <s v="Press"/>
    <s v="negative"/>
    <x v="1"/>
    <n v="21551"/>
    <n v="25204"/>
    <n v="31.321000000000002"/>
    <n v="32.069000000000003"/>
    <n v="1"/>
    <s v="subtropical"/>
  </r>
  <r>
    <n v="27"/>
    <s v="IMOS"/>
    <s v="Maria Island"/>
    <s v="no"/>
    <x v="0"/>
    <x v="0"/>
    <x v="0"/>
    <s v="None"/>
    <s v="NA"/>
    <x v="0"/>
    <s v="NA"/>
    <s v="NA"/>
    <n v="-42.597000000000001"/>
    <n v="148.233"/>
    <n v="1"/>
    <s v="temperate"/>
  </r>
  <r>
    <n v="91"/>
    <s v="Barrett"/>
    <s v="Maria_fished"/>
    <s v="no"/>
    <x v="0"/>
    <x v="0"/>
    <x v="0"/>
    <s v="None"/>
    <s v="NA"/>
    <x v="0"/>
    <n v="33390"/>
    <s v="NA"/>
    <n v="-42.61"/>
    <n v="148.035"/>
    <n v="5"/>
    <s v="temperate"/>
  </r>
  <r>
    <n v="92"/>
    <s v="Barrett"/>
    <s v="Maria_mpa"/>
    <s v="yes"/>
    <x v="4"/>
    <x v="0"/>
    <x v="4"/>
    <s v="Press"/>
    <s v="positive"/>
    <x v="2"/>
    <n v="33390"/>
    <s v="NA"/>
    <n v="-42.631999999999998"/>
    <n v="147.95599999999999"/>
    <n v="7"/>
    <s v="temperate"/>
  </r>
  <r>
    <n v="24"/>
    <s v="Goodwin"/>
    <s v="MBL"/>
    <s v="no"/>
    <x v="0"/>
    <x v="0"/>
    <x v="0"/>
    <s v="None"/>
    <s v="NA"/>
    <x v="0"/>
    <s v="NA"/>
    <s v="NA"/>
    <n v="37.222499999999997"/>
    <n v="-76.385000000000005"/>
    <n v="1"/>
    <s v="subtropical"/>
  </r>
  <r>
    <n v="118"/>
    <s v="Keller"/>
    <s v="mid"/>
    <s v="no"/>
    <x v="0"/>
    <x v="0"/>
    <x v="0"/>
    <s v="None"/>
    <s v="NA"/>
    <x v="0"/>
    <s v="NA"/>
    <s v="NA"/>
    <n v="40"/>
    <n v="-124.75"/>
    <n v="220"/>
    <s v="temperate"/>
  </r>
  <r>
    <n v="73"/>
    <s v="SBC"/>
    <s v="MOHK"/>
    <s v="no"/>
    <x v="0"/>
    <x v="0"/>
    <x v="0"/>
    <s v="None"/>
    <s v="NA"/>
    <x v="0"/>
    <s v="NA"/>
    <s v="NA"/>
    <n v="34.394070800000001"/>
    <n v="-119.72957"/>
    <n v="1"/>
    <s v="subtropical"/>
  </r>
  <r>
    <n v="125"/>
    <s v="McClanahan"/>
    <s v="Mombasa"/>
    <s v="yes"/>
    <x v="2"/>
    <x v="0"/>
    <x v="1"/>
    <s v="Press"/>
    <s v="negative"/>
    <x v="1"/>
    <n v="35947"/>
    <s v="NA"/>
    <n v="-3.9889999999999999"/>
    <n v="39.750999999999998"/>
    <n v="1"/>
    <s v="tropical"/>
  </r>
  <r>
    <n v="74"/>
    <s v="SBC"/>
    <s v="NAPL"/>
    <s v="no"/>
    <x v="0"/>
    <x v="0"/>
    <x v="0"/>
    <s v="None"/>
    <s v="NA"/>
    <x v="0"/>
    <s v="NA"/>
    <s v="NA"/>
    <n v="34.422121599999997"/>
    <n v="-119.95153999999999"/>
    <n v="1"/>
    <s v="subtropical"/>
  </r>
  <r>
    <n v="120"/>
    <s v="Kilfoyle"/>
    <s v="natural"/>
    <s v="no"/>
    <x v="0"/>
    <x v="0"/>
    <x v="0"/>
    <s v="None"/>
    <s v="NA"/>
    <x v="0"/>
    <s v="NA"/>
    <s v="NA"/>
    <n v="26.018000000000001"/>
    <n v="-80.111999999999995"/>
    <n v="25"/>
    <s v="subtropical"/>
  </r>
  <r>
    <n v="154"/>
    <s v="Warwick"/>
    <s v="near23"/>
    <s v="yes"/>
    <x v="10"/>
    <x v="0"/>
    <x v="3"/>
    <s v="Press"/>
    <s v="positive"/>
    <x v="2"/>
    <n v="31048"/>
    <n v="35431"/>
    <n v="54.656999999999996"/>
    <n v="-1.1479999999999999"/>
    <n v="6"/>
    <s v="temperate"/>
  </r>
  <r>
    <n v="14"/>
    <s v="Edmunds"/>
    <s v="NeptunesTable"/>
    <s v="no"/>
    <x v="0"/>
    <x v="0"/>
    <x v="0"/>
    <s v="None"/>
    <s v="NA"/>
    <x v="0"/>
    <s v="NA"/>
    <s v="NA"/>
    <n v="18.317"/>
    <n v="-64.721000000000004"/>
    <n v="1"/>
    <s v="tropical"/>
  </r>
  <r>
    <n v="151"/>
    <s v="Valdes"/>
    <s v="neritic"/>
    <s v="no"/>
    <x v="0"/>
    <x v="0"/>
    <x v="0"/>
    <s v="None"/>
    <s v="NA"/>
    <x v="0"/>
    <s v="NA"/>
    <s v="NA"/>
    <n v="43.567"/>
    <n v="-3.7829999999999999"/>
    <n v="1"/>
    <s v="temperate"/>
  </r>
  <r>
    <n v="3"/>
    <s v="Bebars"/>
    <s v="Nile"/>
    <s v="yes"/>
    <x v="7"/>
    <x v="1"/>
    <x v="6"/>
    <s v="Press"/>
    <s v="negative"/>
    <x v="1"/>
    <n v="21551"/>
    <n v="25204"/>
    <n v="31.481000000000002"/>
    <n v="30.838000000000001"/>
    <n v="1"/>
    <s v="subtropical"/>
  </r>
  <r>
    <n v="110"/>
    <s v="Ivanov"/>
    <s v="NoFarm"/>
    <s v="yes"/>
    <x v="11"/>
    <x v="0"/>
    <x v="7"/>
    <s v="Press"/>
    <s v="positive"/>
    <x v="2"/>
    <n v="33786"/>
    <s v="NA"/>
    <n v="66.215000000000003"/>
    <n v="33.92"/>
    <n v="1"/>
    <s v="temperate"/>
  </r>
  <r>
    <n v="107"/>
    <s v="IbarraObando"/>
    <s v="Non-tidal"/>
    <s v="yes"/>
    <x v="12"/>
    <x v="0"/>
    <x v="5"/>
    <s v="Press"/>
    <s v="negative"/>
    <x v="1"/>
    <n v="30713"/>
    <s v="NA"/>
    <n v="31.72"/>
    <n v="-116.655"/>
    <n v="1"/>
    <s v="subtropical"/>
  </r>
  <r>
    <n v="28"/>
    <s v="IMOS"/>
    <s v="North Stradbroke"/>
    <s v="no"/>
    <x v="0"/>
    <x v="0"/>
    <x v="0"/>
    <s v="None"/>
    <s v="NA"/>
    <x v="0"/>
    <s v="NA"/>
    <s v="NA"/>
    <n v="-27.388999999999999"/>
    <n v="153.58000000000001"/>
    <n v="1"/>
    <s v="subtropical"/>
  </r>
  <r>
    <n v="100"/>
    <s v="Hall"/>
    <s v="NorthShields"/>
    <s v="yes"/>
    <x v="10"/>
    <x v="0"/>
    <x v="7"/>
    <s v="Press"/>
    <s v="positive"/>
    <x v="2"/>
    <n v="31686"/>
    <s v="NA"/>
    <n v="55.012"/>
    <n v="-1.4239999999999999"/>
    <n v="1"/>
    <s v="temperate"/>
  </r>
  <r>
    <n v="152"/>
    <s v="Valdes"/>
    <s v="oceanic"/>
    <s v="no"/>
    <x v="0"/>
    <x v="0"/>
    <x v="0"/>
    <s v="None"/>
    <s v="NA"/>
    <x v="0"/>
    <s v="NA"/>
    <s v="NA"/>
    <n v="43.7"/>
    <n v="-3.7829999999999999"/>
    <n v="1"/>
    <s v="temperate"/>
  </r>
  <r>
    <n v="8"/>
    <s v="BIOMON"/>
    <s v="offshore"/>
    <s v="no"/>
    <x v="0"/>
    <x v="0"/>
    <x v="0"/>
    <s v="None"/>
    <s v="NA"/>
    <x v="0"/>
    <s v="NA"/>
    <s v="NA"/>
    <n v="52.886000000000003"/>
    <n v="3.96"/>
    <n v="21"/>
    <s v="temperate"/>
  </r>
  <r>
    <n v="17"/>
    <s v="Elahi"/>
    <s v="ON"/>
    <s v="no"/>
    <x v="0"/>
    <x v="0"/>
    <x v="0"/>
    <s v="None"/>
    <s v="NA"/>
    <x v="0"/>
    <s v="NA"/>
    <s v="NA"/>
    <n v="48.604999999999997"/>
    <n v="-123.092"/>
    <n v="1"/>
    <s v="temperate"/>
  </r>
  <r>
    <n v="130"/>
    <s v="Noble"/>
    <s v="open"/>
    <s v="no"/>
    <x v="0"/>
    <x v="0"/>
    <x v="0"/>
    <s v="None"/>
    <s v="NA"/>
    <x v="0"/>
    <s v="NA"/>
    <s v="NA"/>
    <n v="17.614999999999998"/>
    <n v="-63.231999999999999"/>
    <n v="2"/>
    <s v="tropical"/>
  </r>
  <r>
    <n v="155"/>
    <s v="Warwick"/>
    <s v="outer"/>
    <s v="yes"/>
    <x v="10"/>
    <x v="0"/>
    <x v="3"/>
    <s v="Press"/>
    <s v="positive"/>
    <x v="2"/>
    <n v="31048"/>
    <n v="35431"/>
    <n v="54.631"/>
    <n v="-1.1599999999999999"/>
    <n v="4"/>
    <s v="temperate"/>
  </r>
  <r>
    <n v="9"/>
    <s v="BIOMON"/>
    <s v="Oyster grounds"/>
    <s v="no"/>
    <x v="0"/>
    <x v="0"/>
    <x v="0"/>
    <s v="None"/>
    <s v="NA"/>
    <x v="0"/>
    <s v="NA"/>
    <s v="NA"/>
    <n v="54.030999999999999"/>
    <n v="3.9809999999999999"/>
    <n v="45"/>
    <s v="temperate"/>
  </r>
  <r>
    <n v="98"/>
    <s v="Gooday"/>
    <s v="PAP"/>
    <s v="no"/>
    <x v="0"/>
    <x v="0"/>
    <x v="0"/>
    <s v="None"/>
    <s v="NA"/>
    <x v="0"/>
    <s v="NA"/>
    <s v="NA"/>
    <n v="49"/>
    <n v="-16.5"/>
    <n v="1"/>
    <s v="temperate"/>
  </r>
  <r>
    <n v="18"/>
    <s v="Elahi"/>
    <s v="PG"/>
    <s v="no"/>
    <x v="0"/>
    <x v="0"/>
    <x v="0"/>
    <s v="None"/>
    <s v="NA"/>
    <x v="0"/>
    <s v="NA"/>
    <s v="NA"/>
    <n v="48.558999999999997"/>
    <n v="-122.988"/>
    <n v="1"/>
    <s v="temperate"/>
  </r>
  <r>
    <n v="29"/>
    <s v="IMOS"/>
    <s v="Port Hacking"/>
    <s v="no"/>
    <x v="0"/>
    <x v="0"/>
    <x v="0"/>
    <s v="None"/>
    <s v="NA"/>
    <x v="0"/>
    <s v="NA"/>
    <s v="NA"/>
    <n v="-34.119199999999999"/>
    <n v="151.22669999999999"/>
    <n v="1"/>
    <s v="subtropical"/>
  </r>
  <r>
    <n v="30"/>
    <s v="IMOS"/>
    <s v="Port Hacking 4"/>
    <s v="no"/>
    <x v="0"/>
    <x v="0"/>
    <x v="0"/>
    <s v="None"/>
    <s v="NA"/>
    <x v="0"/>
    <s v="NA"/>
    <s v="NA"/>
    <n v="-34.117600000000003"/>
    <n v="151.2182"/>
    <n v="1"/>
    <s v="subtropical"/>
  </r>
  <r>
    <n v="103"/>
    <s v="Hall"/>
    <s v="Quayside"/>
    <s v="yes"/>
    <x v="10"/>
    <x v="0"/>
    <x v="7"/>
    <s v="Press"/>
    <s v="positive"/>
    <x v="2"/>
    <n v="31686"/>
    <s v="NA"/>
    <n v="54.97"/>
    <n v="-1.5880000000000001"/>
    <n v="1"/>
    <s v="temperate"/>
  </r>
  <r>
    <n v="81"/>
    <s v="SwedFishTrap"/>
    <s v="recipient"/>
    <s v="yes"/>
    <x v="1"/>
    <x v="3"/>
    <x v="1"/>
    <s v="Press"/>
    <s v="neutral"/>
    <x v="0"/>
    <n v="27395"/>
    <n v="29587"/>
    <n v="57.252000000000002"/>
    <n v="12.077"/>
    <n v="1"/>
    <s v="temperate"/>
  </r>
  <r>
    <n v="82"/>
    <s v="SwedFishTrap"/>
    <s v="referens"/>
    <s v="no"/>
    <x v="0"/>
    <x v="0"/>
    <x v="0"/>
    <s v="None"/>
    <s v="NA"/>
    <x v="0"/>
    <s v="NA"/>
    <s v="NA"/>
    <n v="57.225999999999999"/>
    <n v="12.09"/>
    <n v="1"/>
    <s v="temperate"/>
  </r>
  <r>
    <n v="106"/>
    <s v="Hawkins"/>
    <s v="reserve"/>
    <s v="yes"/>
    <x v="4"/>
    <x v="0"/>
    <x v="4"/>
    <s v="Press"/>
    <s v="positive"/>
    <x v="2"/>
    <n v="35065"/>
    <s v="NA"/>
    <n v="13.837"/>
    <n v="-61.076000000000001"/>
    <n v="8"/>
    <s v="tropical"/>
  </r>
  <r>
    <n v="134"/>
    <s v="Robinson"/>
    <s v="RI"/>
    <s v="no"/>
    <x v="0"/>
    <x v="0"/>
    <x v="0"/>
    <s v="None"/>
    <s v="NA"/>
    <x v="0"/>
    <s v="NA"/>
    <s v="NA"/>
    <n v="52.393000000000001"/>
    <n v="-131.23099999999999"/>
    <n v="1"/>
    <s v="temperate"/>
  </r>
  <r>
    <n v="166"/>
    <s v="Whomersley"/>
    <s v="Rn"/>
    <s v="no"/>
    <x v="0"/>
    <x v="0"/>
    <x v="0"/>
    <s v="None"/>
    <s v="NA"/>
    <x v="0"/>
    <s v="NA"/>
    <s v="NA"/>
    <n v="53.57"/>
    <n v="-3.3319999999999999"/>
    <n v="1"/>
    <s v="temperate"/>
  </r>
  <r>
    <n v="31"/>
    <s v="IMOS"/>
    <s v="Rottnest Island"/>
    <s v="no"/>
    <x v="0"/>
    <x v="0"/>
    <x v="0"/>
    <s v="None"/>
    <s v="NA"/>
    <x v="0"/>
    <s v="NA"/>
    <s v="NA"/>
    <n v="-32"/>
    <n v="115.417"/>
    <n v="1"/>
    <s v="subtropical"/>
  </r>
  <r>
    <n v="167"/>
    <s v="Whomersley"/>
    <s v="Rs"/>
    <s v="no"/>
    <x v="0"/>
    <x v="0"/>
    <x v="0"/>
    <s v="None"/>
    <s v="NA"/>
    <x v="0"/>
    <s v="NA"/>
    <s v="NA"/>
    <n v="53.57"/>
    <n v="-3.3319999999999999"/>
    <n v="1"/>
    <s v="temperate"/>
  </r>
  <r>
    <n v="138"/>
    <s v="Shimanaga"/>
    <s v="Sagami"/>
    <s v="no"/>
    <x v="0"/>
    <x v="0"/>
    <x v="0"/>
    <s v="None"/>
    <s v="NA"/>
    <x v="0"/>
    <s v="NA"/>
    <s v="NA"/>
    <n v="35"/>
    <n v="139.35"/>
    <n v="1"/>
    <s v="subtropical"/>
  </r>
  <r>
    <n v="19"/>
    <s v="Elahi"/>
    <s v="SC"/>
    <s v="no"/>
    <x v="0"/>
    <x v="0"/>
    <x v="0"/>
    <s v="None"/>
    <s v="NA"/>
    <x v="0"/>
    <s v="NA"/>
    <s v="NA"/>
    <n v="48.551000000000002"/>
    <n v="-123.005"/>
    <n v="1"/>
    <s v="temperate"/>
  </r>
  <r>
    <n v="75"/>
    <s v="SBC"/>
    <s v="SCDI"/>
    <s v="no"/>
    <x v="0"/>
    <x v="0"/>
    <x v="0"/>
    <s v="None"/>
    <s v="NA"/>
    <x v="0"/>
    <s v="NA"/>
    <s v="NA"/>
    <n v="34.05865"/>
    <n v="-119.75763000000001"/>
    <n v="1"/>
    <s v="subtropical"/>
  </r>
  <r>
    <n v="104"/>
    <s v="Hall"/>
    <s v="Scotswood"/>
    <s v="yes"/>
    <x v="10"/>
    <x v="0"/>
    <x v="7"/>
    <s v="Press"/>
    <s v="positive"/>
    <x v="2"/>
    <n v="31686"/>
    <s v="NA"/>
    <n v="54.966000000000001"/>
    <n v="-1.6890000000000001"/>
    <n v="1"/>
    <s v="temperate"/>
  </r>
  <r>
    <n v="76"/>
    <s v="SBC"/>
    <s v="SCTW"/>
    <s v="no"/>
    <x v="0"/>
    <x v="0"/>
    <x v="0"/>
    <s v="None"/>
    <s v="NA"/>
    <x v="0"/>
    <s v="NA"/>
    <s v="NA"/>
    <n v="34.044433499999997"/>
    <n v="-119.71513"/>
    <n v="1"/>
    <s v="subtropical"/>
  </r>
  <r>
    <n v="119"/>
    <s v="Keller"/>
    <s v="shallow"/>
    <s v="no"/>
    <x v="0"/>
    <x v="0"/>
    <x v="0"/>
    <s v="None"/>
    <s v="NA"/>
    <x v="0"/>
    <s v="NA"/>
    <s v="NA"/>
    <n v="40"/>
    <n v="-124.5"/>
    <n v="220"/>
    <s v="temperate"/>
  </r>
  <r>
    <n v="174"/>
    <s v="Sebens"/>
    <s v="SHI"/>
    <s v="no"/>
    <x v="0"/>
    <x v="0"/>
    <x v="0"/>
    <s v="NA"/>
    <s v="NA"/>
    <x v="0"/>
    <s v="NA"/>
    <s v="NA"/>
    <n v="42.414741999999997"/>
    <n v="-70.905682999999996"/>
    <n v="1"/>
    <s v="temperate"/>
  </r>
  <r>
    <n v="175"/>
    <s v="Sebens"/>
    <s v="SHO"/>
    <s v="no"/>
    <x v="0"/>
    <x v="0"/>
    <x v="0"/>
    <s v="NA"/>
    <s v="NA"/>
    <x v="0"/>
    <s v="NA"/>
    <s v="NA"/>
    <n v="42.414884999999998"/>
    <n v="-70.905210999999994"/>
    <n v="1"/>
    <s v="temperate"/>
  </r>
  <r>
    <n v="87"/>
    <s v="SwedMacro"/>
    <s v="Simp_deep"/>
    <s v="yes"/>
    <x v="1"/>
    <x v="0"/>
    <x v="1"/>
    <s v="Press"/>
    <s v="neutral"/>
    <x v="0"/>
    <n v="27395"/>
    <n v="29587"/>
    <n v="57.408000000000001"/>
    <n v="16.779"/>
    <n v="1"/>
    <s v="temperate"/>
  </r>
  <r>
    <n v="88"/>
    <s v="SwedMacro"/>
    <s v="Simp_shall"/>
    <s v="yes"/>
    <x v="1"/>
    <x v="3"/>
    <x v="1"/>
    <s v="Press"/>
    <s v="neutral"/>
    <x v="0"/>
    <n v="27395"/>
    <n v="29587"/>
    <n v="57.408000000000001"/>
    <n v="16.779"/>
    <n v="1"/>
    <s v="temperate"/>
  </r>
  <r>
    <n v="162"/>
    <s v="Bedford"/>
    <s v="SMBAR10"/>
    <s v="yes"/>
    <x v="3"/>
    <x v="0"/>
    <x v="3"/>
    <s v="Press"/>
    <s v="positive"/>
    <x v="2"/>
    <n v="31778"/>
    <s v="NA"/>
    <n v="34.01"/>
    <n v="-118.53400000000001"/>
    <n v="1"/>
    <s v="subtropical"/>
  </r>
  <r>
    <n v="163"/>
    <s v="Bedford"/>
    <s v="SMBAR18"/>
    <s v="yes"/>
    <x v="3"/>
    <x v="0"/>
    <x v="3"/>
    <s v="Press"/>
    <s v="positive"/>
    <x v="2"/>
    <n v="31778"/>
    <s v="NA"/>
    <n v="34.005000000000003"/>
    <n v="-118.53700000000001"/>
    <n v="1"/>
    <s v="subtropical"/>
  </r>
  <r>
    <n v="161"/>
    <s v="Bedford"/>
    <s v="SMBAR3"/>
    <s v="yes"/>
    <x v="3"/>
    <x v="0"/>
    <x v="3"/>
    <s v="Press"/>
    <s v="positive"/>
    <x v="2"/>
    <n v="31778"/>
    <s v="NA"/>
    <n v="34.017200000000003"/>
    <n v="-118.536"/>
    <n v="1"/>
    <s v="subtropical"/>
  </r>
  <r>
    <n v="101"/>
    <s v="Hall"/>
    <s v="SouthShields"/>
    <s v="yes"/>
    <x v="10"/>
    <x v="0"/>
    <x v="7"/>
    <s v="Press"/>
    <s v="positive"/>
    <x v="2"/>
    <n v="31686"/>
    <s v="NA"/>
    <n v="54.988"/>
    <n v="-1.452"/>
    <n v="1"/>
    <s v="temperate"/>
  </r>
  <r>
    <n v="115"/>
    <s v="Jones"/>
    <s v="StGeorges"/>
    <s v="no"/>
    <x v="0"/>
    <x v="0"/>
    <x v="0"/>
    <s v="None"/>
    <s v="NA"/>
    <x v="0"/>
    <s v="NA"/>
    <s v="NA"/>
    <n v="-35.124000000000002"/>
    <n v="150.61099999999999"/>
    <n v="12"/>
    <s v="subtropical"/>
  </r>
  <r>
    <n v="135"/>
    <s v="Robinson"/>
    <s v="T"/>
    <s v="no"/>
    <x v="0"/>
    <x v="0"/>
    <x v="0"/>
    <s v="None"/>
    <s v="NA"/>
    <x v="0"/>
    <s v="NA"/>
    <s v="NA"/>
    <n v="48.899000000000001"/>
    <n v="-125.27800000000001"/>
    <n v="1"/>
    <s v="temperate"/>
  </r>
  <r>
    <n v="164"/>
    <s v="Bedford"/>
    <s v="TAR"/>
    <s v="yes"/>
    <x v="3"/>
    <x v="0"/>
    <x v="3"/>
    <s v="Press"/>
    <s v="positive"/>
    <x v="2"/>
    <n v="31778"/>
    <s v="NA"/>
    <n v="34.027000000000001"/>
    <n v="-118.53100000000001"/>
    <n v="1"/>
    <s v="subtropical"/>
  </r>
  <r>
    <n v="108"/>
    <s v="IbarraObando"/>
    <s v="Tidal"/>
    <s v="no"/>
    <x v="0"/>
    <x v="0"/>
    <x v="0"/>
    <s v="None"/>
    <s v="NA"/>
    <x v="0"/>
    <s v="NA"/>
    <s v="NA"/>
    <n v="31.722000000000001"/>
    <n v="-116.651"/>
    <n v="1"/>
    <s v="subtropical"/>
  </r>
  <r>
    <n v="93"/>
    <s v="Barrett"/>
    <s v="Tinder_fished"/>
    <s v="no"/>
    <x v="0"/>
    <x v="0"/>
    <x v="0"/>
    <s v="None"/>
    <s v="NA"/>
    <x v="0"/>
    <n v="33390"/>
    <s v="NA"/>
    <n v="-43.048999999999999"/>
    <n v="147.35"/>
    <n v="2"/>
    <s v="temperate"/>
  </r>
  <r>
    <n v="94"/>
    <s v="Barrett"/>
    <s v="Tinder_mpa"/>
    <s v="yes"/>
    <x v="4"/>
    <x v="0"/>
    <x v="4"/>
    <s v="Press"/>
    <s v="positive"/>
    <x v="2"/>
    <n v="33390"/>
    <s v="NA"/>
    <n v="-43.057000000000002"/>
    <n v="147.34"/>
    <n v="2"/>
    <s v="temperate"/>
  </r>
  <r>
    <n v="157"/>
    <s v="Yildiz"/>
    <s v="Trabzon"/>
    <s v="no"/>
    <x v="0"/>
    <x v="0"/>
    <x v="0"/>
    <s v="None"/>
    <s v="NA"/>
    <x v="0"/>
    <s v="NA"/>
    <s v="NA"/>
    <n v="41.188000000000002"/>
    <n v="40.238"/>
    <n v="1"/>
    <s v="temperate"/>
  </r>
  <r>
    <n v="83"/>
    <s v="SwedFishTrawl"/>
    <s v="Usto"/>
    <s v="no"/>
    <x v="0"/>
    <x v="0"/>
    <x v="0"/>
    <s v="None"/>
    <s v="NA"/>
    <x v="0"/>
    <s v="NA"/>
    <s v="NA"/>
    <n v="57.289000000000001"/>
    <n v="12.05"/>
    <n v="1"/>
    <s v="temperate"/>
  </r>
  <r>
    <n v="84"/>
    <s v="SwedFishTrawl"/>
    <s v="Varo"/>
    <s v="yes"/>
    <x v="13"/>
    <x v="0"/>
    <x v="1"/>
    <s v="Press"/>
    <s v="negative"/>
    <x v="1"/>
    <n v="26665"/>
    <s v="NA"/>
    <n v="57.198999999999998"/>
    <n v="12.074"/>
    <n v="1"/>
    <s v="temperate"/>
  </r>
  <r>
    <n v="95"/>
    <s v="Carballo"/>
    <s v="Venados"/>
    <s v="no"/>
    <x v="0"/>
    <x v="0"/>
    <x v="0"/>
    <s v="None"/>
    <s v="NA"/>
    <x v="0"/>
    <s v="NA"/>
    <s v="NA"/>
    <n v="23.238"/>
    <n v="-106.471"/>
    <n v="1"/>
    <s v="tropical"/>
  </r>
  <r>
    <n v="126"/>
    <s v="McClanahan"/>
    <s v="Vipingo"/>
    <s v="yes"/>
    <x v="2"/>
    <x v="0"/>
    <x v="1"/>
    <s v="Press"/>
    <s v="negative"/>
    <x v="1"/>
    <n v="35947"/>
    <s v="NA"/>
    <n v="-3.8029999999999999"/>
    <n v="39.844999999999999"/>
    <n v="1"/>
    <s v="tropical"/>
  </r>
  <r>
    <n v="5"/>
    <s v="Beukema"/>
    <s v="Wadden15"/>
    <s v="no"/>
    <x v="14"/>
    <x v="4"/>
    <x v="6"/>
    <s v="Press"/>
    <s v="neutral"/>
    <x v="0"/>
    <n v="25569"/>
    <n v="29952"/>
    <n v="52.930999999999997"/>
    <n v="4.8630000000000004"/>
    <n v="15"/>
    <s v="temperate"/>
  </r>
  <r>
    <n v="122"/>
    <s v="Masuda"/>
    <s v="Wakasa"/>
    <s v="no"/>
    <x v="0"/>
    <x v="0"/>
    <x v="0"/>
    <s v="None"/>
    <s v="NA"/>
    <x v="0"/>
    <s v="NA"/>
    <s v="NA"/>
    <n v="35.546999999999997"/>
    <n v="135.34899999999999"/>
    <n v="1"/>
    <s v="subtropical"/>
  </r>
  <r>
    <n v="116"/>
    <s v="Jones"/>
    <s v="Wallaga"/>
    <s v="no"/>
    <x v="0"/>
    <x v="0"/>
    <x v="0"/>
    <s v="None"/>
    <s v="NA"/>
    <x v="0"/>
    <s v="NA"/>
    <s v="NA"/>
    <n v="-36.369"/>
    <n v="150.05799999999999"/>
    <n v="12"/>
    <s v="subtropical"/>
  </r>
  <r>
    <n v="15"/>
    <s v="Edmunds"/>
    <s v="WestLittleLameshur"/>
    <s v="no"/>
    <x v="0"/>
    <x v="0"/>
    <x v="0"/>
    <s v="None"/>
    <s v="NA"/>
    <x v="0"/>
    <s v="NA"/>
    <s v="NA"/>
    <n v="18.317"/>
    <n v="-64.727999999999994"/>
    <n v="1"/>
    <s v="tropical"/>
  </r>
  <r>
    <n v="16"/>
    <s v="Edmunds"/>
    <s v="WhitePoint"/>
    <s v="no"/>
    <x v="0"/>
    <x v="0"/>
    <x v="0"/>
    <s v="None"/>
    <s v="NA"/>
    <x v="0"/>
    <s v="NA"/>
    <s v="NA"/>
    <n v="18.314"/>
    <n v="-64.730999999999995"/>
    <n v="1"/>
    <s v="tropical"/>
  </r>
  <r>
    <n v="148"/>
    <s v="Svensson"/>
    <s v="WIB_3m"/>
    <s v="yes"/>
    <x v="4"/>
    <x v="0"/>
    <x v="4"/>
    <s v="Press"/>
    <s v="positive"/>
    <x v="2"/>
    <n v="36892"/>
    <s v="NA"/>
    <n v="12.653"/>
    <n v="109.395"/>
    <n v="1"/>
    <s v="tropical"/>
  </r>
  <r>
    <n v="147"/>
    <s v="Svensson"/>
    <s v="WIB_9m"/>
    <s v="yes"/>
    <x v="4"/>
    <x v="0"/>
    <x v="4"/>
    <s v="Press"/>
    <s v="positive"/>
    <x v="2"/>
    <n v="36892"/>
    <s v="NA"/>
    <n v="12.654"/>
    <n v="109.393"/>
    <n v="1"/>
    <s v="tropical"/>
  </r>
  <r>
    <n v="146"/>
    <s v="Svensson"/>
    <s v="WIBP_3m"/>
    <s v="yes"/>
    <x v="4"/>
    <x v="0"/>
    <x v="4"/>
    <s v="Press"/>
    <s v="positive"/>
    <x v="2"/>
    <n v="38565"/>
    <s v="NA"/>
    <n v="12.656000000000001"/>
    <n v="109.396"/>
    <n v="1"/>
    <s v="tropical"/>
  </r>
  <r>
    <n v="145"/>
    <s v="Svensson"/>
    <s v="WIBP_9m"/>
    <s v="yes"/>
    <x v="4"/>
    <x v="0"/>
    <x v="4"/>
    <s v="Press"/>
    <s v="positive"/>
    <x v="2"/>
    <n v="38565"/>
    <s v="NA"/>
    <n v="12.654999999999999"/>
    <n v="109.395"/>
    <n v="1"/>
    <s v="tropical"/>
  </r>
  <r>
    <n v="22"/>
    <s v="FriedBeets08"/>
    <s v="Yawzi"/>
    <s v="yes"/>
    <x v="15"/>
    <x v="5"/>
    <x v="6"/>
    <s v="Pulse"/>
    <s v="neutral"/>
    <x v="0"/>
    <n v="32387"/>
    <n v="32752"/>
    <n v="18.315000000000001"/>
    <n v="-64.725999999999999"/>
    <n v="1"/>
    <s v="tropical"/>
  </r>
  <r>
    <n v="32"/>
    <s v="IMOS"/>
    <s v="Yongala"/>
    <s v="no"/>
    <x v="0"/>
    <x v="0"/>
    <x v="0"/>
    <s v="None"/>
    <s v="NA"/>
    <x v="0"/>
    <s v="NA"/>
    <s v="NA"/>
    <n v="-19.306000000000001"/>
    <n v="147.26"/>
    <n v="1"/>
    <s v="tropical"/>
  </r>
  <r>
    <n v="168"/>
    <s v="Cardoso"/>
    <s v="Zostera"/>
    <s v="yes"/>
    <x v="8"/>
    <x v="0"/>
    <x v="5"/>
    <s v="Press"/>
    <s v="negative"/>
    <x v="1"/>
    <n v="32143"/>
    <s v="NA"/>
    <n v="40.131999999999998"/>
    <n v="-8.8510000000000009"/>
    <n v="1"/>
    <s v="tempera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O3:R20" firstHeaderRow="1" firstDataRow="2" firstDataCol="1"/>
  <pivotFields count="16">
    <pivotField subtotalTop="0" showAll="0"/>
    <pivotField subtotalTop="0" showAll="0"/>
    <pivotField subtotalTop="0" showAll="0"/>
    <pivotField subtotalTop="0" showAll="0"/>
    <pivotField axis="axisRow" subtotalTop="0" showAll="0">
      <items count="17">
        <item x="2"/>
        <item x="3"/>
        <item x="12"/>
        <item x="8"/>
        <item x="7"/>
        <item x="15"/>
        <item x="5"/>
        <item x="4"/>
        <item x="0"/>
        <item x="1"/>
        <item x="9"/>
        <item x="6"/>
        <item x="10"/>
        <item x="13"/>
        <item x="11"/>
        <item x="14"/>
        <item t="default"/>
      </items>
    </pivotField>
    <pivotField subtotalTop="0" showAll="0">
      <items count="7">
        <item x="1"/>
        <item x="5"/>
        <item x="2"/>
        <item x="4"/>
        <item x="0"/>
        <item x="3"/>
        <item t="default"/>
      </items>
    </pivotField>
    <pivotField subtotalTop="0" showAll="0">
      <items count="9">
        <item x="5"/>
        <item x="7"/>
        <item x="4"/>
        <item x="6"/>
        <item x="0"/>
        <item x="3"/>
        <item x="2"/>
        <item x="1"/>
        <item t="default"/>
      </items>
    </pivotField>
    <pivotField subtotalTop="0" showAll="0"/>
    <pivotField subtotalTop="0" showAll="0"/>
    <pivotField axis="axisCol" dataField="1" subtotalTop="0" showAll="0">
      <items count="4">
        <item x="1"/>
        <item x="0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9"/>
  </colFields>
  <colItems count="3">
    <i>
      <x/>
    </i>
    <i>
      <x v="1"/>
    </i>
    <i>
      <x v="2"/>
    </i>
  </colItems>
  <dataFields count="1">
    <dataField name="Count of Prediction" fld="9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56" firstHeaderRow="2" firstDataRow="2" firstDataCol="1"/>
  <pivotFields count="16">
    <pivotField showAll="0"/>
    <pivotField axis="axisRow" showAll="0">
      <items count="52">
        <item x="18"/>
        <item x="0"/>
        <item x="48"/>
        <item x="1"/>
        <item x="2"/>
        <item x="3"/>
        <item x="4"/>
        <item x="19"/>
        <item x="50"/>
        <item x="20"/>
        <item x="5"/>
        <item x="6"/>
        <item x="7"/>
        <item x="8"/>
        <item x="9"/>
        <item x="21"/>
        <item x="10"/>
        <item x="22"/>
        <item x="23"/>
        <item x="24"/>
        <item x="25"/>
        <item x="11"/>
        <item x="26"/>
        <item x="27"/>
        <item x="28"/>
        <item x="45"/>
        <item x="12"/>
        <item x="29"/>
        <item x="30"/>
        <item x="31"/>
        <item x="32"/>
        <item x="33"/>
        <item x="34"/>
        <item x="35"/>
        <item x="13"/>
        <item x="14"/>
        <item x="36"/>
        <item x="37"/>
        <item x="38"/>
        <item x="39"/>
        <item x="40"/>
        <item x="15"/>
        <item x="16"/>
        <item x="17"/>
        <item x="41"/>
        <item x="42"/>
        <item x="43"/>
        <item x="49"/>
        <item x="44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3:M56" firstHeaderRow="2" firstDataRow="2" firstDataCol="1"/>
  <pivotFields count="17">
    <pivotField showAll="0" defaultSubtotal="0"/>
    <pivotField axis="axisRow" showAll="0" defaultSubtotal="0">
      <items count="51">
        <item x="18"/>
        <item x="0"/>
        <item x="48"/>
        <item x="1"/>
        <item x="2"/>
        <item x="3"/>
        <item x="4"/>
        <item x="19"/>
        <item x="50"/>
        <item x="20"/>
        <item x="5"/>
        <item x="6"/>
        <item x="7"/>
        <item x="8"/>
        <item x="9"/>
        <item x="21"/>
        <item x="10"/>
        <item x="22"/>
        <item x="23"/>
        <item x="24"/>
        <item x="25"/>
        <item x="11"/>
        <item x="26"/>
        <item x="27"/>
        <item x="28"/>
        <item x="45"/>
        <item x="47"/>
        <item x="46"/>
        <item x="12"/>
        <item x="29"/>
        <item x="30"/>
        <item x="31"/>
        <item x="32"/>
        <item x="33"/>
        <item x="34"/>
        <item x="35"/>
        <item x="13"/>
        <item x="14"/>
        <item x="36"/>
        <item x="37"/>
        <item x="38"/>
        <item x="39"/>
        <item x="40"/>
        <item x="15"/>
        <item x="16"/>
        <item x="17"/>
        <item x="41"/>
        <item x="42"/>
        <item x="43"/>
        <item x="49"/>
        <item x="44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pane ySplit="1" topLeftCell="A2" activePane="bottomLeft" state="frozen"/>
      <selection pane="bottomLeft" activeCell="D11" sqref="D11"/>
    </sheetView>
  </sheetViews>
  <sheetFormatPr baseColWidth="10" defaultRowHeight="15" x14ac:dyDescent="0"/>
  <cols>
    <col min="1" max="1" width="3.83203125" style="1" customWidth="1"/>
    <col min="2" max="2" width="14" style="1" bestFit="1" customWidth="1"/>
    <col min="3" max="3" width="23.5" style="1" customWidth="1"/>
    <col min="4" max="4" width="58.1640625" style="1" bestFit="1" customWidth="1"/>
    <col min="5" max="5" width="13.6640625" style="1" bestFit="1" customWidth="1"/>
    <col min="6" max="6" width="11.6640625" style="1" bestFit="1" customWidth="1"/>
    <col min="7" max="7" width="11.6640625" style="1" customWidth="1"/>
    <col min="8" max="8" width="8.5" style="1" bestFit="1" customWidth="1"/>
    <col min="9" max="9" width="9.1640625" style="1" bestFit="1" customWidth="1"/>
    <col min="10" max="11" width="18.5" style="1" bestFit="1" customWidth="1"/>
    <col min="12" max="12" width="7.1640625" style="1" bestFit="1" customWidth="1"/>
    <col min="13" max="13" width="8.83203125" style="1" bestFit="1" customWidth="1"/>
    <col min="14" max="14" width="28.33203125" style="1" customWidth="1"/>
    <col min="15" max="15" width="6.83203125" style="1" bestFit="1" customWidth="1"/>
    <col min="16" max="16" width="17.6640625" style="1" bestFit="1" customWidth="1"/>
    <col min="17" max="17" width="18.1640625" style="1" bestFit="1" customWidth="1"/>
    <col min="18" max="18" width="69.6640625" style="1" customWidth="1"/>
    <col min="19" max="16384" width="10.83203125" style="1"/>
  </cols>
  <sheetData>
    <row r="1" spans="1:18">
      <c r="A1" s="1" t="s">
        <v>207</v>
      </c>
      <c r="B1" s="15" t="s">
        <v>0</v>
      </c>
      <c r="C1" s="2" t="s">
        <v>549</v>
      </c>
      <c r="D1" s="2" t="s">
        <v>26</v>
      </c>
      <c r="E1" s="2" t="s">
        <v>550</v>
      </c>
      <c r="F1" s="14" t="s">
        <v>544</v>
      </c>
      <c r="G1" s="14" t="s">
        <v>652</v>
      </c>
      <c r="H1" s="2" t="s">
        <v>11</v>
      </c>
      <c r="I1" s="14" t="s">
        <v>32</v>
      </c>
      <c r="J1" s="14" t="s">
        <v>627</v>
      </c>
      <c r="K1" s="14" t="s">
        <v>79</v>
      </c>
      <c r="L1" s="3" t="s">
        <v>17</v>
      </c>
      <c r="M1" s="3" t="s">
        <v>18</v>
      </c>
      <c r="N1" s="2" t="s">
        <v>19</v>
      </c>
      <c r="O1" s="2" t="s">
        <v>189</v>
      </c>
      <c r="P1" s="2" t="s">
        <v>557</v>
      </c>
      <c r="Q1" s="2" t="s">
        <v>556</v>
      </c>
      <c r="R1" s="4" t="s">
        <v>20</v>
      </c>
    </row>
    <row r="2" spans="1:18">
      <c r="A2" s="19">
        <v>2</v>
      </c>
      <c r="B2" t="s">
        <v>86</v>
      </c>
      <c r="C2" s="1" t="s">
        <v>36</v>
      </c>
      <c r="D2" s="1" t="s">
        <v>37</v>
      </c>
      <c r="E2" s="1" t="s">
        <v>34</v>
      </c>
      <c r="F2" s="1" t="s">
        <v>546</v>
      </c>
      <c r="G2" s="1" t="str">
        <f t="shared" ref="G2:G33" si="0">IF(F2 = "Pub","Published","Unpublished")</f>
        <v>Unpublished</v>
      </c>
      <c r="H2" s="1" t="s">
        <v>31</v>
      </c>
      <c r="I2" s="1" t="s">
        <v>35</v>
      </c>
      <c r="J2" s="1" t="s">
        <v>80</v>
      </c>
      <c r="K2" s="1" t="s">
        <v>649</v>
      </c>
      <c r="L2" s="6">
        <v>18.321999999999999</v>
      </c>
      <c r="M2" s="6">
        <v>-64.688000000000002</v>
      </c>
      <c r="N2" s="1" t="s">
        <v>46</v>
      </c>
      <c r="O2" s="1" t="s">
        <v>35</v>
      </c>
      <c r="P2" t="s">
        <v>566</v>
      </c>
      <c r="Q2" t="s">
        <v>567</v>
      </c>
      <c r="R2" s="1" t="s">
        <v>208</v>
      </c>
    </row>
    <row r="3" spans="1:18">
      <c r="A3" s="19">
        <v>4</v>
      </c>
      <c r="B3" s="1" t="s">
        <v>624</v>
      </c>
      <c r="C3" s="1" t="s">
        <v>91</v>
      </c>
      <c r="D3" s="1" t="s">
        <v>64</v>
      </c>
      <c r="E3" s="1" t="s">
        <v>43</v>
      </c>
      <c r="F3" s="1" t="s">
        <v>546</v>
      </c>
      <c r="G3" s="1" t="str">
        <f t="shared" si="0"/>
        <v>Unpublished</v>
      </c>
      <c r="H3" s="1" t="s">
        <v>59</v>
      </c>
      <c r="I3" s="1" t="s">
        <v>33</v>
      </c>
      <c r="J3" s="1" t="s">
        <v>84</v>
      </c>
      <c r="K3" s="1" t="s">
        <v>648</v>
      </c>
      <c r="L3" s="8">
        <v>52.651000000000003</v>
      </c>
      <c r="M3" s="8">
        <v>3.96</v>
      </c>
      <c r="N3" s="1" t="s">
        <v>65</v>
      </c>
      <c r="O3" s="1" t="s">
        <v>33</v>
      </c>
      <c r="P3" s="1" t="s">
        <v>43</v>
      </c>
      <c r="Q3" s="1" t="s">
        <v>43</v>
      </c>
      <c r="R3" s="5" t="s">
        <v>571</v>
      </c>
    </row>
    <row r="4" spans="1:18">
      <c r="A4" s="19">
        <v>9</v>
      </c>
      <c r="B4" s="1" t="s">
        <v>96</v>
      </c>
      <c r="C4" s="1" t="s">
        <v>56</v>
      </c>
      <c r="D4" s="1" t="s">
        <v>57</v>
      </c>
      <c r="E4" s="1" t="s">
        <v>577</v>
      </c>
      <c r="F4" s="1" t="s">
        <v>546</v>
      </c>
      <c r="G4" s="1" t="str">
        <f t="shared" si="0"/>
        <v>Unpublished</v>
      </c>
      <c r="H4" s="1" t="s">
        <v>31</v>
      </c>
      <c r="I4" s="1" t="s">
        <v>35</v>
      </c>
      <c r="J4" s="1" t="s">
        <v>80</v>
      </c>
      <c r="K4" s="1" t="s">
        <v>649</v>
      </c>
      <c r="L4" s="1">
        <v>18.309999999999999</v>
      </c>
      <c r="M4" s="1">
        <v>-64.739999999999995</v>
      </c>
      <c r="N4" s="1" t="s">
        <v>578</v>
      </c>
      <c r="O4" s="1" t="s">
        <v>35</v>
      </c>
      <c r="P4" s="1" t="s">
        <v>576</v>
      </c>
      <c r="Q4" s="1" t="s">
        <v>566</v>
      </c>
    </row>
    <row r="5" spans="1:18">
      <c r="A5" s="19">
        <v>10</v>
      </c>
      <c r="B5" s="1" t="s">
        <v>87</v>
      </c>
      <c r="C5" s="1" t="s">
        <v>36</v>
      </c>
      <c r="D5" s="1" t="s">
        <v>37</v>
      </c>
      <c r="E5" s="1" t="s">
        <v>54</v>
      </c>
      <c r="F5" s="1" t="s">
        <v>546</v>
      </c>
      <c r="G5" s="1" t="str">
        <f t="shared" si="0"/>
        <v>Unpublished</v>
      </c>
      <c r="H5" s="1" t="s">
        <v>31</v>
      </c>
      <c r="I5" s="1" t="s">
        <v>35</v>
      </c>
      <c r="J5" s="1" t="s">
        <v>80</v>
      </c>
      <c r="K5" s="1" t="s">
        <v>649</v>
      </c>
      <c r="L5" s="1">
        <v>22.21</v>
      </c>
      <c r="M5" s="1">
        <v>-159.51</v>
      </c>
      <c r="N5" s="1" t="s">
        <v>55</v>
      </c>
      <c r="O5" s="1" t="s">
        <v>33</v>
      </c>
      <c r="P5" s="1" t="s">
        <v>43</v>
      </c>
      <c r="Q5" s="1" t="s">
        <v>43</v>
      </c>
    </row>
    <row r="6" spans="1:18">
      <c r="A6" s="19">
        <v>15</v>
      </c>
      <c r="B6" s="1" t="s">
        <v>10</v>
      </c>
      <c r="C6" s="6" t="s">
        <v>548</v>
      </c>
      <c r="D6" s="6" t="s">
        <v>241</v>
      </c>
      <c r="E6" s="1" t="s">
        <v>61</v>
      </c>
      <c r="F6" s="1" t="s">
        <v>546</v>
      </c>
      <c r="G6" s="1" t="str">
        <f t="shared" si="0"/>
        <v>Unpublished</v>
      </c>
      <c r="H6" s="1" t="s">
        <v>31</v>
      </c>
      <c r="I6" s="1" t="s">
        <v>35</v>
      </c>
      <c r="J6" s="6" t="s">
        <v>85</v>
      </c>
      <c r="K6" s="6" t="s">
        <v>650</v>
      </c>
      <c r="L6" s="1">
        <v>42.9</v>
      </c>
      <c r="M6" s="1">
        <v>-70.790000000000006</v>
      </c>
      <c r="N6" s="1" t="s">
        <v>62</v>
      </c>
      <c r="O6" s="1" t="s">
        <v>35</v>
      </c>
      <c r="P6" s="1" t="s">
        <v>206</v>
      </c>
      <c r="Q6" s="1" t="s">
        <v>43</v>
      </c>
    </row>
    <row r="7" spans="1:18">
      <c r="A7" s="19">
        <v>16</v>
      </c>
      <c r="B7" t="s">
        <v>89</v>
      </c>
      <c r="C7" s="1" t="s">
        <v>73</v>
      </c>
      <c r="D7" s="1" t="s">
        <v>810</v>
      </c>
      <c r="E7" s="1" t="s">
        <v>75</v>
      </c>
      <c r="F7" s="1" t="s">
        <v>546</v>
      </c>
      <c r="G7" s="1" t="str">
        <f t="shared" si="0"/>
        <v>Unpublished</v>
      </c>
      <c r="H7" s="1" t="s">
        <v>31</v>
      </c>
      <c r="I7" s="1" t="s">
        <v>35</v>
      </c>
      <c r="J7" s="6" t="s">
        <v>85</v>
      </c>
      <c r="K7" s="6" t="s">
        <v>650</v>
      </c>
      <c r="L7" s="1">
        <v>57.26</v>
      </c>
      <c r="M7" s="1">
        <v>12.06</v>
      </c>
      <c r="N7" s="1" t="s">
        <v>77</v>
      </c>
      <c r="O7" s="1" t="s">
        <v>35</v>
      </c>
      <c r="P7" s="1" t="s">
        <v>206</v>
      </c>
      <c r="Q7" s="1" t="s">
        <v>43</v>
      </c>
    </row>
    <row r="8" spans="1:18">
      <c r="A8" s="19">
        <v>17</v>
      </c>
      <c r="B8" t="s">
        <v>90</v>
      </c>
      <c r="C8" s="1" t="s">
        <v>73</v>
      </c>
      <c r="D8" s="1" t="s">
        <v>810</v>
      </c>
      <c r="E8" s="1" t="s">
        <v>61</v>
      </c>
      <c r="F8" s="1" t="s">
        <v>546</v>
      </c>
      <c r="G8" s="1" t="str">
        <f t="shared" si="0"/>
        <v>Unpublished</v>
      </c>
      <c r="H8" s="1" t="s">
        <v>31</v>
      </c>
      <c r="I8" s="1" t="s">
        <v>35</v>
      </c>
      <c r="J8" s="6" t="s">
        <v>85</v>
      </c>
      <c r="K8" s="6" t="s">
        <v>650</v>
      </c>
      <c r="L8" s="1">
        <v>57.24</v>
      </c>
      <c r="M8" s="1">
        <v>12.06</v>
      </c>
      <c r="N8" s="1" t="s">
        <v>77</v>
      </c>
      <c r="O8" s="1" t="s">
        <v>35</v>
      </c>
      <c r="P8" s="1" t="s">
        <v>560</v>
      </c>
      <c r="Q8" s="1" t="s">
        <v>43</v>
      </c>
      <c r="R8" s="1" t="s">
        <v>247</v>
      </c>
    </row>
    <row r="9" spans="1:18">
      <c r="A9" s="19">
        <v>18</v>
      </c>
      <c r="B9" t="s">
        <v>88</v>
      </c>
      <c r="C9" s="1" t="s">
        <v>73</v>
      </c>
      <c r="D9" s="1" t="s">
        <v>810</v>
      </c>
      <c r="E9" s="1" t="s">
        <v>74</v>
      </c>
      <c r="F9" s="1" t="s">
        <v>546</v>
      </c>
      <c r="G9" s="1" t="str">
        <f t="shared" si="0"/>
        <v>Unpublished</v>
      </c>
      <c r="H9" s="1" t="s">
        <v>31</v>
      </c>
      <c r="I9" s="1" t="s">
        <v>35</v>
      </c>
      <c r="J9" s="1" t="s">
        <v>84</v>
      </c>
      <c r="K9" s="1" t="s">
        <v>648</v>
      </c>
      <c r="L9" s="1">
        <v>57.68</v>
      </c>
      <c r="M9" s="1">
        <v>16.88</v>
      </c>
      <c r="N9" s="1" t="s">
        <v>76</v>
      </c>
      <c r="O9" s="1" t="s">
        <v>35</v>
      </c>
      <c r="P9" s="1" t="s">
        <v>206</v>
      </c>
      <c r="Q9" s="1" t="s">
        <v>43</v>
      </c>
    </row>
    <row r="10" spans="1:18">
      <c r="A10" s="19">
        <v>49</v>
      </c>
      <c r="B10" s="1" t="s">
        <v>518</v>
      </c>
      <c r="C10" s="1" t="s">
        <v>519</v>
      </c>
      <c r="D10" s="1" t="s">
        <v>520</v>
      </c>
      <c r="E10" s="1" t="s">
        <v>30</v>
      </c>
      <c r="F10" s="1" t="s">
        <v>546</v>
      </c>
      <c r="G10" s="1" t="str">
        <f t="shared" si="0"/>
        <v>Unpublished</v>
      </c>
      <c r="H10" s="1" t="s">
        <v>354</v>
      </c>
      <c r="I10" s="1" t="s">
        <v>33</v>
      </c>
      <c r="J10" s="1" t="s">
        <v>85</v>
      </c>
      <c r="K10" s="1" t="s">
        <v>650</v>
      </c>
      <c r="L10" s="1">
        <v>34.005000000000003</v>
      </c>
      <c r="M10" s="1">
        <v>-118.53700000000001</v>
      </c>
      <c r="N10" s="1" t="s">
        <v>524</v>
      </c>
      <c r="O10" s="1" t="s">
        <v>35</v>
      </c>
      <c r="P10" s="1" t="s">
        <v>563</v>
      </c>
      <c r="Q10" s="1" t="s">
        <v>43</v>
      </c>
    </row>
    <row r="11" spans="1:18">
      <c r="A11" s="19">
        <v>1</v>
      </c>
      <c r="B11" s="1" t="s">
        <v>1</v>
      </c>
      <c r="C11" s="1" t="s">
        <v>28</v>
      </c>
      <c r="D11" s="1" t="s">
        <v>29</v>
      </c>
      <c r="E11" s="1" t="s">
        <v>30</v>
      </c>
      <c r="F11" s="1" t="s">
        <v>545</v>
      </c>
      <c r="G11" s="1" t="str">
        <f t="shared" si="0"/>
        <v>Published</v>
      </c>
      <c r="H11" s="1" t="s">
        <v>31</v>
      </c>
      <c r="I11" s="1" t="s">
        <v>33</v>
      </c>
      <c r="J11" s="1" t="s">
        <v>84</v>
      </c>
      <c r="K11" s="1" t="s">
        <v>648</v>
      </c>
      <c r="L11">
        <v>31.481000000000002</v>
      </c>
      <c r="M11">
        <v>30.838000000000001</v>
      </c>
      <c r="N11" s="1" t="s">
        <v>44</v>
      </c>
      <c r="O11" s="1" t="s">
        <v>35</v>
      </c>
      <c r="P11" s="1" t="s">
        <v>558</v>
      </c>
      <c r="Q11" s="1" t="s">
        <v>559</v>
      </c>
    </row>
    <row r="12" spans="1:18">
      <c r="A12" s="19">
        <v>3</v>
      </c>
      <c r="B12" s="1" t="s">
        <v>2</v>
      </c>
      <c r="C12" s="1" t="s">
        <v>40</v>
      </c>
      <c r="D12" s="1" t="s">
        <v>41</v>
      </c>
      <c r="E12" s="1" t="s">
        <v>42</v>
      </c>
      <c r="F12" s="1" t="s">
        <v>545</v>
      </c>
      <c r="G12" s="1" t="str">
        <f t="shared" si="0"/>
        <v>Published</v>
      </c>
      <c r="H12" s="1" t="s">
        <v>31</v>
      </c>
      <c r="I12" s="1" t="s">
        <v>35</v>
      </c>
      <c r="J12" s="1" t="s">
        <v>81</v>
      </c>
      <c r="K12" s="1" t="s">
        <v>648</v>
      </c>
      <c r="L12" s="6">
        <v>52.930999999999997</v>
      </c>
      <c r="M12" s="6">
        <v>4.8630000000000004</v>
      </c>
      <c r="N12" s="1" t="s">
        <v>48</v>
      </c>
      <c r="O12" s="1" t="s">
        <v>35</v>
      </c>
      <c r="P12" s="1" t="s">
        <v>568</v>
      </c>
      <c r="Q12" s="1" t="s">
        <v>45</v>
      </c>
      <c r="R12" s="1" t="s">
        <v>215</v>
      </c>
    </row>
    <row r="13" spans="1:18">
      <c r="A13" s="19">
        <v>8</v>
      </c>
      <c r="B13" s="1" t="s">
        <v>5</v>
      </c>
      <c r="C13" s="1" t="s">
        <v>51</v>
      </c>
      <c r="D13" s="1" t="s">
        <v>52</v>
      </c>
      <c r="E13" s="1" t="s">
        <v>72</v>
      </c>
      <c r="F13" s="1" t="s">
        <v>545</v>
      </c>
      <c r="G13" s="1" t="str">
        <f t="shared" si="0"/>
        <v>Published</v>
      </c>
      <c r="H13" s="1" t="s">
        <v>31</v>
      </c>
      <c r="I13" s="1" t="s">
        <v>35</v>
      </c>
      <c r="J13" s="1" t="s">
        <v>84</v>
      </c>
      <c r="K13" s="1" t="s">
        <v>648</v>
      </c>
      <c r="L13" s="1">
        <v>55.116999999999997</v>
      </c>
      <c r="M13" s="1">
        <v>-1.333</v>
      </c>
      <c r="N13" s="1" t="s">
        <v>53</v>
      </c>
      <c r="O13" s="1" t="s">
        <v>33</v>
      </c>
      <c r="P13" s="1" t="s">
        <v>43</v>
      </c>
      <c r="Q13" s="1" t="s">
        <v>43</v>
      </c>
      <c r="R13" s="1" t="s">
        <v>235</v>
      </c>
    </row>
    <row r="14" spans="1:18">
      <c r="A14" s="19">
        <v>19</v>
      </c>
      <c r="B14" s="1" t="s">
        <v>260</v>
      </c>
      <c r="C14" s="1" t="s">
        <v>261</v>
      </c>
      <c r="D14" s="1" t="s">
        <v>262</v>
      </c>
      <c r="E14" s="1" t="s">
        <v>263</v>
      </c>
      <c r="F14" s="1" t="s">
        <v>545</v>
      </c>
      <c r="G14" s="1" t="str">
        <f t="shared" si="0"/>
        <v>Published</v>
      </c>
      <c r="H14" s="1" t="s">
        <v>264</v>
      </c>
      <c r="I14" s="1" t="s">
        <v>35</v>
      </c>
      <c r="J14" s="6" t="s">
        <v>85</v>
      </c>
      <c r="K14" s="6" t="s">
        <v>650</v>
      </c>
      <c r="L14" s="1">
        <v>-42.81</v>
      </c>
      <c r="M14" s="1">
        <v>148.22999999999999</v>
      </c>
      <c r="N14" s="1" t="s">
        <v>265</v>
      </c>
      <c r="O14" s="1" t="s">
        <v>35</v>
      </c>
      <c r="P14" s="1" t="s">
        <v>198</v>
      </c>
      <c r="Q14" s="1" t="s">
        <v>43</v>
      </c>
    </row>
    <row r="15" spans="1:18">
      <c r="A15" s="19">
        <v>20</v>
      </c>
      <c r="B15" s="1" t="s">
        <v>273</v>
      </c>
      <c r="C15" s="1" t="s">
        <v>274</v>
      </c>
      <c r="D15" s="1" t="s">
        <v>275</v>
      </c>
      <c r="E15" s="1" t="s">
        <v>586</v>
      </c>
      <c r="F15" s="1" t="s">
        <v>545</v>
      </c>
      <c r="G15" s="1" t="str">
        <f t="shared" si="0"/>
        <v>Published</v>
      </c>
      <c r="H15" s="1" t="s">
        <v>31</v>
      </c>
      <c r="I15" s="1" t="s">
        <v>35</v>
      </c>
      <c r="J15" s="6" t="s">
        <v>85</v>
      </c>
      <c r="K15" s="6" t="s">
        <v>650</v>
      </c>
      <c r="L15">
        <v>23.238</v>
      </c>
      <c r="M15">
        <v>-106.471</v>
      </c>
      <c r="N15" s="1" t="s">
        <v>276</v>
      </c>
      <c r="O15" s="1" t="s">
        <v>33</v>
      </c>
      <c r="P15" s="1" t="s">
        <v>43</v>
      </c>
      <c r="Q15" s="1" t="s">
        <v>43</v>
      </c>
    </row>
    <row r="16" spans="1:18">
      <c r="A16" s="19">
        <v>21</v>
      </c>
      <c r="B16" s="1" t="s">
        <v>279</v>
      </c>
      <c r="C16" s="1" t="s">
        <v>280</v>
      </c>
      <c r="D16" s="1" t="s">
        <v>281</v>
      </c>
      <c r="E16" s="1" t="s">
        <v>282</v>
      </c>
      <c r="F16" s="1" t="s">
        <v>545</v>
      </c>
      <c r="G16" s="1" t="str">
        <f t="shared" si="0"/>
        <v>Published</v>
      </c>
      <c r="H16" s="1" t="s">
        <v>31</v>
      </c>
      <c r="I16" s="1" t="s">
        <v>33</v>
      </c>
      <c r="J16" s="1" t="s">
        <v>84</v>
      </c>
      <c r="K16" s="1" t="s">
        <v>648</v>
      </c>
      <c r="L16" s="1">
        <v>-18.308</v>
      </c>
      <c r="M16" s="1">
        <v>146.1</v>
      </c>
      <c r="N16" s="1" t="s">
        <v>283</v>
      </c>
      <c r="O16" s="1" t="s">
        <v>33</v>
      </c>
      <c r="P16" s="1" t="s">
        <v>43</v>
      </c>
      <c r="Q16" s="1" t="s">
        <v>43</v>
      </c>
    </row>
    <row r="17" spans="1:18">
      <c r="A17" s="19">
        <v>22</v>
      </c>
      <c r="B17" s="1" t="s">
        <v>292</v>
      </c>
      <c r="C17" s="1" t="s">
        <v>293</v>
      </c>
      <c r="D17" s="1" t="s">
        <v>294</v>
      </c>
      <c r="E17" s="1" t="s">
        <v>295</v>
      </c>
      <c r="F17" s="1" t="s">
        <v>545</v>
      </c>
      <c r="G17" s="1" t="str">
        <f t="shared" si="0"/>
        <v>Published</v>
      </c>
      <c r="H17" s="1" t="s">
        <v>31</v>
      </c>
      <c r="I17" s="1" t="s">
        <v>33</v>
      </c>
      <c r="J17" s="1" t="s">
        <v>84</v>
      </c>
      <c r="K17" s="1" t="s">
        <v>648</v>
      </c>
      <c r="L17" s="1">
        <v>49</v>
      </c>
      <c r="M17" s="1">
        <v>16.5</v>
      </c>
      <c r="N17" s="1" t="s">
        <v>291</v>
      </c>
      <c r="O17" s="1" t="s">
        <v>33</v>
      </c>
      <c r="P17" s="1" t="s">
        <v>43</v>
      </c>
      <c r="Q17" s="1" t="s">
        <v>43</v>
      </c>
    </row>
    <row r="18" spans="1:18">
      <c r="A18" s="19">
        <v>23</v>
      </c>
      <c r="B18" s="1" t="s">
        <v>306</v>
      </c>
      <c r="C18" s="1" t="s">
        <v>307</v>
      </c>
      <c r="D18" s="1" t="s">
        <v>308</v>
      </c>
      <c r="E18" s="1" t="s">
        <v>72</v>
      </c>
      <c r="F18" s="1" t="s">
        <v>545</v>
      </c>
      <c r="G18" s="1" t="str">
        <f t="shared" si="0"/>
        <v>Published</v>
      </c>
      <c r="H18" s="1" t="s">
        <v>31</v>
      </c>
      <c r="I18" s="1" t="s">
        <v>35</v>
      </c>
      <c r="J18" s="6" t="s">
        <v>85</v>
      </c>
      <c r="K18" s="6" t="s">
        <v>650</v>
      </c>
      <c r="L18" s="1">
        <v>56.034999999999997</v>
      </c>
      <c r="M18" s="1">
        <v>-3.5859999999999999</v>
      </c>
      <c r="N18" s="1" t="s">
        <v>309</v>
      </c>
      <c r="O18" s="1" t="s">
        <v>33</v>
      </c>
      <c r="P18" s="1" t="s">
        <v>43</v>
      </c>
      <c r="Q18" s="1" t="s">
        <v>43</v>
      </c>
    </row>
    <row r="19" spans="1:18">
      <c r="A19" s="19">
        <v>24</v>
      </c>
      <c r="B19" s="1" t="s">
        <v>313</v>
      </c>
      <c r="C19" s="1" t="s">
        <v>314</v>
      </c>
      <c r="D19" s="1" t="s">
        <v>315</v>
      </c>
      <c r="E19" s="1" t="s">
        <v>316</v>
      </c>
      <c r="F19" s="1" t="s">
        <v>545</v>
      </c>
      <c r="G19" s="1" t="str">
        <f t="shared" si="0"/>
        <v>Published</v>
      </c>
      <c r="H19" s="1" t="s">
        <v>31</v>
      </c>
      <c r="I19" s="1" t="s">
        <v>33</v>
      </c>
      <c r="J19" s="1" t="s">
        <v>84</v>
      </c>
      <c r="K19" s="1" t="s">
        <v>648</v>
      </c>
      <c r="L19" s="1">
        <v>54.98</v>
      </c>
      <c r="M19" s="1">
        <v>-1.532</v>
      </c>
      <c r="N19" s="1" t="s">
        <v>317</v>
      </c>
      <c r="O19" s="1" t="s">
        <v>35</v>
      </c>
      <c r="P19" s="1" t="s">
        <v>318</v>
      </c>
      <c r="Q19" s="1" t="s">
        <v>43</v>
      </c>
    </row>
    <row r="20" spans="1:18">
      <c r="A20" s="19">
        <v>25</v>
      </c>
      <c r="B20" s="1" t="s">
        <v>324</v>
      </c>
      <c r="C20" s="1" t="s">
        <v>325</v>
      </c>
      <c r="D20" s="1" t="s">
        <v>326</v>
      </c>
      <c r="E20" s="1" t="s">
        <v>252</v>
      </c>
      <c r="F20" s="1" t="s">
        <v>545</v>
      </c>
      <c r="G20" s="1" t="str">
        <f t="shared" si="0"/>
        <v>Published</v>
      </c>
      <c r="H20" s="1" t="s">
        <v>31</v>
      </c>
      <c r="I20" s="1" t="s">
        <v>35</v>
      </c>
      <c r="J20" s="1" t="s">
        <v>80</v>
      </c>
      <c r="K20" s="1" t="s">
        <v>649</v>
      </c>
      <c r="L20" s="1">
        <v>13.837</v>
      </c>
      <c r="M20" s="1">
        <v>-61.076000000000001</v>
      </c>
      <c r="N20" s="1" t="s">
        <v>327</v>
      </c>
      <c r="O20" s="1" t="s">
        <v>35</v>
      </c>
      <c r="P20" s="1" t="s">
        <v>198</v>
      </c>
      <c r="Q20" s="1" t="s">
        <v>43</v>
      </c>
    </row>
    <row r="21" spans="1:18">
      <c r="A21" s="19">
        <v>26</v>
      </c>
      <c r="B21" s="1" t="s">
        <v>331</v>
      </c>
      <c r="C21" s="1" t="s">
        <v>332</v>
      </c>
      <c r="D21" s="1" t="s">
        <v>333</v>
      </c>
      <c r="E21" s="1" t="s">
        <v>593</v>
      </c>
      <c r="F21" s="1" t="s">
        <v>545</v>
      </c>
      <c r="G21" s="1" t="str">
        <f t="shared" si="0"/>
        <v>Published</v>
      </c>
      <c r="H21" s="1" t="s">
        <v>31</v>
      </c>
      <c r="I21" s="1" t="s">
        <v>33</v>
      </c>
      <c r="J21" s="1" t="s">
        <v>334</v>
      </c>
      <c r="K21" s="1" t="s">
        <v>628</v>
      </c>
      <c r="L21" s="1">
        <v>31.72</v>
      </c>
      <c r="M21" s="1">
        <v>-116.654</v>
      </c>
      <c r="N21" s="1" t="s">
        <v>335</v>
      </c>
      <c r="O21" s="1" t="s">
        <v>35</v>
      </c>
      <c r="P21" s="1" t="s">
        <v>340</v>
      </c>
      <c r="Q21" s="1" t="s">
        <v>43</v>
      </c>
    </row>
    <row r="22" spans="1:18">
      <c r="A22" s="19">
        <v>27</v>
      </c>
      <c r="B22" s="1" t="s">
        <v>342</v>
      </c>
      <c r="C22" s="1" t="s">
        <v>343</v>
      </c>
      <c r="D22" s="1" t="s">
        <v>344</v>
      </c>
      <c r="E22" s="1" t="s">
        <v>316</v>
      </c>
      <c r="F22" s="1" t="s">
        <v>545</v>
      </c>
      <c r="G22" s="1" t="str">
        <f t="shared" si="0"/>
        <v>Published</v>
      </c>
      <c r="H22" s="1" t="s">
        <v>31</v>
      </c>
      <c r="I22" s="1" t="s">
        <v>33</v>
      </c>
      <c r="J22" s="1" t="s">
        <v>84</v>
      </c>
      <c r="K22" s="1" t="s">
        <v>648</v>
      </c>
      <c r="L22" s="1">
        <v>66.215000000000003</v>
      </c>
      <c r="M22" s="1">
        <v>33.92</v>
      </c>
      <c r="N22" s="1" t="s">
        <v>341</v>
      </c>
      <c r="O22" s="1" t="s">
        <v>35</v>
      </c>
      <c r="P22" s="1" t="s">
        <v>561</v>
      </c>
      <c r="Q22" s="1" t="s">
        <v>562</v>
      </c>
    </row>
    <row r="23" spans="1:18">
      <c r="A23" s="19">
        <v>28</v>
      </c>
      <c r="B23" s="1" t="s">
        <v>350</v>
      </c>
      <c r="C23" s="1" t="s">
        <v>351</v>
      </c>
      <c r="D23" s="1" t="s">
        <v>352</v>
      </c>
      <c r="E23" s="1" t="s">
        <v>353</v>
      </c>
      <c r="F23" s="1" t="s">
        <v>545</v>
      </c>
      <c r="G23" s="1" t="str">
        <f t="shared" si="0"/>
        <v>Published</v>
      </c>
      <c r="H23" s="1" t="s">
        <v>31</v>
      </c>
      <c r="I23" s="1" t="s">
        <v>35</v>
      </c>
      <c r="J23" s="1" t="s">
        <v>82</v>
      </c>
      <c r="K23" s="1" t="s">
        <v>628</v>
      </c>
      <c r="L23" s="1">
        <v>-35.511099999999999</v>
      </c>
      <c r="M23" s="1">
        <v>150.66</v>
      </c>
      <c r="N23" s="1" t="s">
        <v>355</v>
      </c>
      <c r="O23" s="1" t="s">
        <v>33</v>
      </c>
      <c r="P23" s="1" t="s">
        <v>43</v>
      </c>
      <c r="Q23" s="1" t="s">
        <v>43</v>
      </c>
    </row>
    <row r="24" spans="1:18">
      <c r="A24" s="19">
        <v>29</v>
      </c>
      <c r="B24" s="1" t="s">
        <v>364</v>
      </c>
      <c r="C24" s="1" t="s">
        <v>365</v>
      </c>
      <c r="D24" s="1" t="s">
        <v>366</v>
      </c>
      <c r="E24" s="1" t="s">
        <v>367</v>
      </c>
      <c r="F24" s="1" t="s">
        <v>545</v>
      </c>
      <c r="G24" s="1" t="str">
        <f t="shared" si="0"/>
        <v>Published</v>
      </c>
      <c r="H24" s="1" t="s">
        <v>368</v>
      </c>
      <c r="I24" s="1" t="s">
        <v>35</v>
      </c>
      <c r="J24" s="1" t="s">
        <v>85</v>
      </c>
      <c r="K24" s="1" t="s">
        <v>650</v>
      </c>
      <c r="L24" s="1">
        <v>45.411999999999999</v>
      </c>
      <c r="M24" s="1">
        <v>-124.187</v>
      </c>
      <c r="N24" s="1" t="s">
        <v>369</v>
      </c>
      <c r="O24" s="1" t="s">
        <v>33</v>
      </c>
      <c r="P24" s="1" t="s">
        <v>43</v>
      </c>
      <c r="Q24" s="1" t="s">
        <v>43</v>
      </c>
      <c r="R24" s="1" t="s">
        <v>595</v>
      </c>
    </row>
    <row r="25" spans="1:18">
      <c r="A25" s="19">
        <v>30</v>
      </c>
      <c r="B25" s="1" t="s">
        <v>374</v>
      </c>
      <c r="C25" s="1" t="s">
        <v>375</v>
      </c>
      <c r="D25" s="1" t="s">
        <v>376</v>
      </c>
      <c r="E25" s="1" t="s">
        <v>377</v>
      </c>
      <c r="F25" s="1" t="s">
        <v>545</v>
      </c>
      <c r="G25" s="1" t="str">
        <f t="shared" si="0"/>
        <v>Published</v>
      </c>
      <c r="H25" s="1" t="s">
        <v>378</v>
      </c>
      <c r="I25" s="1" t="s">
        <v>33</v>
      </c>
      <c r="J25" s="1" t="s">
        <v>85</v>
      </c>
      <c r="K25" s="1" t="s">
        <v>650</v>
      </c>
      <c r="L25" s="1">
        <v>26.018000000000001</v>
      </c>
      <c r="M25" s="1">
        <v>-80.111999999999995</v>
      </c>
      <c r="N25" s="1" t="s">
        <v>379</v>
      </c>
      <c r="O25" s="1" t="s">
        <v>35</v>
      </c>
      <c r="P25" s="1" t="s">
        <v>563</v>
      </c>
      <c r="Q25" s="1" t="s">
        <v>43</v>
      </c>
    </row>
    <row r="26" spans="1:18">
      <c r="A26" s="19">
        <v>31</v>
      </c>
      <c r="B26" s="1" t="s">
        <v>384</v>
      </c>
      <c r="C26" s="1" t="s">
        <v>385</v>
      </c>
      <c r="D26" s="1" t="s">
        <v>386</v>
      </c>
      <c r="E26" s="1" t="s">
        <v>72</v>
      </c>
      <c r="F26" s="1" t="s">
        <v>545</v>
      </c>
      <c r="G26" s="1" t="str">
        <f t="shared" si="0"/>
        <v>Published</v>
      </c>
      <c r="H26" s="1" t="s">
        <v>31</v>
      </c>
      <c r="I26" s="1" t="s">
        <v>35</v>
      </c>
      <c r="J26" s="1" t="s">
        <v>85</v>
      </c>
      <c r="K26" s="1" t="s">
        <v>650</v>
      </c>
      <c r="L26" s="1">
        <v>35.546999999999997</v>
      </c>
      <c r="M26" s="1">
        <v>135.34899999999999</v>
      </c>
      <c r="N26" s="1" t="s">
        <v>387</v>
      </c>
      <c r="O26" s="1" t="s">
        <v>33</v>
      </c>
      <c r="P26" s="1" t="s">
        <v>43</v>
      </c>
      <c r="Q26" s="1" t="s">
        <v>43</v>
      </c>
    </row>
    <row r="27" spans="1:18">
      <c r="A27" s="19">
        <v>32</v>
      </c>
      <c r="B27" s="1" t="s">
        <v>390</v>
      </c>
      <c r="C27" s="1" t="s">
        <v>391</v>
      </c>
      <c r="D27" s="1" t="s">
        <v>392</v>
      </c>
      <c r="E27" s="1" t="s">
        <v>596</v>
      </c>
      <c r="F27" s="1" t="s">
        <v>545</v>
      </c>
      <c r="G27" s="1" t="str">
        <f t="shared" si="0"/>
        <v>Published</v>
      </c>
      <c r="H27" s="1" t="s">
        <v>253</v>
      </c>
      <c r="I27" s="1" t="s">
        <v>35</v>
      </c>
      <c r="J27" s="1" t="s">
        <v>80</v>
      </c>
      <c r="K27" s="1" t="s">
        <v>649</v>
      </c>
      <c r="L27" s="1">
        <v>-4.05</v>
      </c>
      <c r="M27" s="1">
        <v>39.72</v>
      </c>
      <c r="N27" s="1" t="s">
        <v>398</v>
      </c>
      <c r="O27" s="1" t="s">
        <v>35</v>
      </c>
      <c r="P27" s="1" t="s">
        <v>564</v>
      </c>
      <c r="Q27" s="1" t="s">
        <v>43</v>
      </c>
    </row>
    <row r="28" spans="1:18">
      <c r="A28" s="19">
        <v>33</v>
      </c>
      <c r="B28" s="1" t="s">
        <v>399</v>
      </c>
      <c r="C28" s="1" t="s">
        <v>400</v>
      </c>
      <c r="D28" s="1" t="s">
        <v>401</v>
      </c>
      <c r="E28" s="1" t="s">
        <v>30</v>
      </c>
      <c r="F28" s="1" t="s">
        <v>545</v>
      </c>
      <c r="G28" s="1" t="str">
        <f t="shared" si="0"/>
        <v>Published</v>
      </c>
      <c r="H28" s="1" t="s">
        <v>31</v>
      </c>
      <c r="I28" s="1" t="s">
        <v>33</v>
      </c>
      <c r="J28" s="1" t="s">
        <v>81</v>
      </c>
      <c r="K28" s="1" t="s">
        <v>648</v>
      </c>
      <c r="L28" s="1">
        <v>56.029000000000003</v>
      </c>
      <c r="M28" s="1">
        <v>-3.657</v>
      </c>
      <c r="N28" s="1" t="s">
        <v>402</v>
      </c>
      <c r="O28" s="1" t="s">
        <v>35</v>
      </c>
      <c r="P28" s="1" t="s">
        <v>318</v>
      </c>
      <c r="Q28" s="1" t="s">
        <v>43</v>
      </c>
    </row>
    <row r="29" spans="1:18">
      <c r="A29" s="19">
        <v>34</v>
      </c>
      <c r="B29" s="1" t="s">
        <v>405</v>
      </c>
      <c r="C29" s="1" t="s">
        <v>406</v>
      </c>
      <c r="D29" s="1" t="s">
        <v>407</v>
      </c>
      <c r="E29" s="1" t="s">
        <v>316</v>
      </c>
      <c r="F29" s="1" t="s">
        <v>545</v>
      </c>
      <c r="G29" s="1" t="str">
        <f t="shared" si="0"/>
        <v>Published</v>
      </c>
      <c r="H29" s="1" t="s">
        <v>31</v>
      </c>
      <c r="I29" s="1" t="s">
        <v>33</v>
      </c>
      <c r="J29" s="1" t="s">
        <v>83</v>
      </c>
      <c r="K29" s="1" t="s">
        <v>83</v>
      </c>
      <c r="L29" s="1">
        <v>43.347000000000001</v>
      </c>
      <c r="M29" s="1">
        <v>-124.321</v>
      </c>
      <c r="N29" s="1" t="s">
        <v>408</v>
      </c>
      <c r="O29" s="1" t="s">
        <v>33</v>
      </c>
      <c r="P29" s="1" t="s">
        <v>43</v>
      </c>
      <c r="Q29" s="1" t="s">
        <v>43</v>
      </c>
    </row>
    <row r="30" spans="1:18">
      <c r="A30" s="19">
        <v>35</v>
      </c>
      <c r="B30" s="1" t="s">
        <v>410</v>
      </c>
      <c r="C30" s="1" t="s">
        <v>411</v>
      </c>
      <c r="D30" s="1" t="s">
        <v>412</v>
      </c>
      <c r="E30" s="1" t="s">
        <v>600</v>
      </c>
      <c r="F30" s="1" t="s">
        <v>545</v>
      </c>
      <c r="G30" s="1" t="str">
        <f t="shared" si="0"/>
        <v>Published</v>
      </c>
      <c r="H30" s="1" t="s">
        <v>31</v>
      </c>
      <c r="I30" s="1" t="s">
        <v>35</v>
      </c>
      <c r="J30" s="1" t="s">
        <v>80</v>
      </c>
      <c r="K30" s="1" t="s">
        <v>649</v>
      </c>
      <c r="L30" s="1">
        <v>17.614999999999998</v>
      </c>
      <c r="M30" s="1">
        <v>-63.253999999999998</v>
      </c>
      <c r="N30" s="1" t="s">
        <v>413</v>
      </c>
      <c r="O30" s="1" t="s">
        <v>35</v>
      </c>
      <c r="P30" s="1" t="s">
        <v>198</v>
      </c>
      <c r="Q30" s="1" t="s">
        <v>43</v>
      </c>
    </row>
    <row r="31" spans="1:18">
      <c r="A31" s="19">
        <v>36</v>
      </c>
      <c r="B31" s="1" t="s">
        <v>416</v>
      </c>
      <c r="C31" s="1" t="s">
        <v>417</v>
      </c>
      <c r="D31" s="1" t="s">
        <v>418</v>
      </c>
      <c r="E31" s="1" t="s">
        <v>353</v>
      </c>
      <c r="F31" s="1" t="s">
        <v>545</v>
      </c>
      <c r="G31" s="1" t="str">
        <f t="shared" si="0"/>
        <v>Published</v>
      </c>
      <c r="H31" s="1" t="s">
        <v>368</v>
      </c>
      <c r="I31" s="1" t="s">
        <v>35</v>
      </c>
      <c r="J31" s="1" t="s">
        <v>82</v>
      </c>
      <c r="K31" s="1" t="s">
        <v>628</v>
      </c>
      <c r="L31" s="1">
        <v>49.133000000000003</v>
      </c>
      <c r="M31" s="1">
        <v>-125.96299999999999</v>
      </c>
      <c r="N31" s="1" t="s">
        <v>419</v>
      </c>
      <c r="O31" s="1" t="s">
        <v>33</v>
      </c>
      <c r="P31" s="1" t="s">
        <v>43</v>
      </c>
      <c r="Q31" s="1" t="s">
        <v>43</v>
      </c>
      <c r="R31" s="1" t="s">
        <v>602</v>
      </c>
    </row>
    <row r="32" spans="1:18">
      <c r="A32" s="19">
        <v>37</v>
      </c>
      <c r="B32" s="1" t="s">
        <v>426</v>
      </c>
      <c r="C32" s="1" t="s">
        <v>427</v>
      </c>
      <c r="D32" s="1" t="s">
        <v>428</v>
      </c>
      <c r="E32" s="1" t="s">
        <v>316</v>
      </c>
      <c r="F32" s="1" t="s">
        <v>545</v>
      </c>
      <c r="G32" s="1" t="str">
        <f t="shared" si="0"/>
        <v>Published</v>
      </c>
      <c r="H32" s="1" t="s">
        <v>429</v>
      </c>
      <c r="I32" s="1" t="s">
        <v>33</v>
      </c>
      <c r="J32" s="1" t="s">
        <v>84</v>
      </c>
      <c r="K32" s="1" t="s">
        <v>648</v>
      </c>
      <c r="L32" s="1">
        <v>-19.271000000000001</v>
      </c>
      <c r="M32" s="1">
        <v>146.78800000000001</v>
      </c>
      <c r="N32" s="1" t="s">
        <v>430</v>
      </c>
      <c r="O32" s="1" t="s">
        <v>33</v>
      </c>
      <c r="P32" s="1" t="s">
        <v>43</v>
      </c>
      <c r="Q32" s="1" t="s">
        <v>43</v>
      </c>
    </row>
    <row r="33" spans="1:18">
      <c r="A33" s="19">
        <v>38</v>
      </c>
      <c r="B33" s="1" t="s">
        <v>434</v>
      </c>
      <c r="C33" s="1" t="s">
        <v>435</v>
      </c>
      <c r="D33" s="1" t="s">
        <v>436</v>
      </c>
      <c r="E33" s="1" t="s">
        <v>282</v>
      </c>
      <c r="F33" s="1" t="s">
        <v>545</v>
      </c>
      <c r="G33" s="1" t="str">
        <f t="shared" si="0"/>
        <v>Published</v>
      </c>
      <c r="H33" s="1" t="s">
        <v>31</v>
      </c>
      <c r="I33" s="1" t="s">
        <v>33</v>
      </c>
      <c r="J33" s="1" t="s">
        <v>84</v>
      </c>
      <c r="K33" s="1" t="s">
        <v>648</v>
      </c>
      <c r="L33" s="1">
        <v>35</v>
      </c>
      <c r="M33" s="1">
        <v>139.35</v>
      </c>
      <c r="N33" s="1" t="s">
        <v>437</v>
      </c>
      <c r="O33" s="1" t="s">
        <v>33</v>
      </c>
      <c r="P33" s="1" t="s">
        <v>43</v>
      </c>
      <c r="Q33" s="1" t="s">
        <v>43</v>
      </c>
      <c r="R33" s="1" t="s">
        <v>653</v>
      </c>
    </row>
    <row r="34" spans="1:18">
      <c r="A34" s="19">
        <v>39</v>
      </c>
      <c r="B34" s="1" t="s">
        <v>441</v>
      </c>
      <c r="C34" s="1" t="s">
        <v>442</v>
      </c>
      <c r="D34" s="1" t="s">
        <v>443</v>
      </c>
      <c r="E34" s="1" t="s">
        <v>72</v>
      </c>
      <c r="F34" s="1" t="s">
        <v>545</v>
      </c>
      <c r="G34" s="1" t="str">
        <f t="shared" ref="G34:G56" si="1">IF(F34 = "Pub","Published","Unpublished")</f>
        <v>Published</v>
      </c>
      <c r="H34" s="1" t="s">
        <v>253</v>
      </c>
      <c r="I34" s="1" t="s">
        <v>35</v>
      </c>
      <c r="J34" s="1" t="s">
        <v>80</v>
      </c>
      <c r="K34" s="1" t="s">
        <v>649</v>
      </c>
      <c r="L34" s="1">
        <v>24.814</v>
      </c>
      <c r="M34" s="1">
        <v>-80.736999999999995</v>
      </c>
      <c r="N34" s="1" t="s">
        <v>444</v>
      </c>
      <c r="O34" s="1" t="s">
        <v>33</v>
      </c>
      <c r="P34" s="1" t="s">
        <v>43</v>
      </c>
      <c r="Q34" s="1" t="s">
        <v>43</v>
      </c>
    </row>
    <row r="35" spans="1:18">
      <c r="A35" s="19">
        <v>40</v>
      </c>
      <c r="B35" s="1" t="s">
        <v>452</v>
      </c>
      <c r="C35" s="1" t="s">
        <v>453</v>
      </c>
      <c r="D35" s="1" t="s">
        <v>454</v>
      </c>
      <c r="E35" s="1" t="s">
        <v>72</v>
      </c>
      <c r="F35" s="1" t="s">
        <v>545</v>
      </c>
      <c r="G35" s="1" t="str">
        <f t="shared" si="1"/>
        <v>Published</v>
      </c>
      <c r="H35" s="1" t="s">
        <v>31</v>
      </c>
      <c r="I35" s="1" t="s">
        <v>35</v>
      </c>
      <c r="J35" s="1" t="s">
        <v>84</v>
      </c>
      <c r="K35" s="1" t="s">
        <v>648</v>
      </c>
      <c r="L35" s="1">
        <v>55</v>
      </c>
      <c r="M35" s="1">
        <v>2.5</v>
      </c>
      <c r="N35" s="1" t="s">
        <v>455</v>
      </c>
      <c r="O35" s="1" t="s">
        <v>33</v>
      </c>
      <c r="P35" s="1" t="s">
        <v>43</v>
      </c>
      <c r="Q35" s="1" t="s">
        <v>43</v>
      </c>
    </row>
    <row r="36" spans="1:18">
      <c r="A36" s="19">
        <v>41</v>
      </c>
      <c r="B36" s="1" t="s">
        <v>458</v>
      </c>
      <c r="C36" s="1" t="s">
        <v>459</v>
      </c>
      <c r="D36" s="1" t="s">
        <v>460</v>
      </c>
      <c r="E36" s="1" t="s">
        <v>353</v>
      </c>
      <c r="F36" s="1" t="s">
        <v>545</v>
      </c>
      <c r="G36" s="1" t="str">
        <f t="shared" si="1"/>
        <v>Published</v>
      </c>
      <c r="H36" s="1" t="s">
        <v>31</v>
      </c>
      <c r="I36" s="1" t="s">
        <v>35</v>
      </c>
      <c r="J36" s="1" t="s">
        <v>80</v>
      </c>
      <c r="K36" s="1" t="s">
        <v>649</v>
      </c>
      <c r="L36" s="1">
        <v>12.65</v>
      </c>
      <c r="M36" s="1">
        <v>109.392</v>
      </c>
      <c r="N36" s="1" t="s">
        <v>461</v>
      </c>
      <c r="O36" s="1" t="s">
        <v>35</v>
      </c>
      <c r="P36" s="1" t="s">
        <v>198</v>
      </c>
      <c r="Q36" s="1" t="s">
        <v>43</v>
      </c>
    </row>
    <row r="37" spans="1:18">
      <c r="A37" s="19">
        <v>42</v>
      </c>
      <c r="B37" s="1" t="s">
        <v>470</v>
      </c>
      <c r="C37" s="1" t="s">
        <v>471</v>
      </c>
      <c r="D37" s="1" t="s">
        <v>472</v>
      </c>
      <c r="E37" s="1" t="s">
        <v>473</v>
      </c>
      <c r="F37" s="1" t="s">
        <v>545</v>
      </c>
      <c r="G37" s="1" t="str">
        <f t="shared" si="1"/>
        <v>Published</v>
      </c>
      <c r="H37" s="1" t="s">
        <v>253</v>
      </c>
      <c r="I37" s="1" t="s">
        <v>35</v>
      </c>
      <c r="J37" s="1" t="s">
        <v>83</v>
      </c>
      <c r="K37" s="1" t="s">
        <v>83</v>
      </c>
      <c r="L37">
        <v>37.15</v>
      </c>
      <c r="M37">
        <v>9.5500000000000007</v>
      </c>
      <c r="N37" s="1" t="s">
        <v>474</v>
      </c>
      <c r="O37" s="1" t="s">
        <v>33</v>
      </c>
      <c r="P37" s="1" t="s">
        <v>43</v>
      </c>
      <c r="Q37" s="1" t="s">
        <v>43</v>
      </c>
    </row>
    <row r="38" spans="1:18">
      <c r="A38" s="19">
        <v>43</v>
      </c>
      <c r="B38" s="1" t="s">
        <v>477</v>
      </c>
      <c r="C38" s="1" t="s">
        <v>478</v>
      </c>
      <c r="D38" s="1" t="s">
        <v>479</v>
      </c>
      <c r="E38" s="1" t="s">
        <v>480</v>
      </c>
      <c r="F38" s="1" t="s">
        <v>545</v>
      </c>
      <c r="G38" s="1" t="str">
        <f t="shared" si="1"/>
        <v>Published</v>
      </c>
      <c r="H38" s="1" t="s">
        <v>31</v>
      </c>
      <c r="I38" s="1" t="s">
        <v>35</v>
      </c>
      <c r="J38" s="1" t="s">
        <v>83</v>
      </c>
      <c r="K38" s="1" t="s">
        <v>83</v>
      </c>
      <c r="L38" s="1">
        <v>43.6</v>
      </c>
      <c r="M38" s="1">
        <v>-3.7829999999999999</v>
      </c>
      <c r="N38" s="1" t="s">
        <v>481</v>
      </c>
      <c r="O38" s="1" t="s">
        <v>33</v>
      </c>
      <c r="P38" s="1" t="s">
        <v>43</v>
      </c>
      <c r="Q38" s="1" t="s">
        <v>43</v>
      </c>
      <c r="R38" s="1" t="s">
        <v>617</v>
      </c>
    </row>
    <row r="39" spans="1:18">
      <c r="A39" s="19">
        <v>44</v>
      </c>
      <c r="B39" s="1" t="s">
        <v>484</v>
      </c>
      <c r="C39" s="1" t="s">
        <v>485</v>
      </c>
      <c r="D39" s="1" t="s">
        <v>486</v>
      </c>
      <c r="E39" s="1" t="s">
        <v>487</v>
      </c>
      <c r="F39" s="1" t="s">
        <v>545</v>
      </c>
      <c r="G39" s="1" t="str">
        <f t="shared" si="1"/>
        <v>Published</v>
      </c>
      <c r="H39" s="1" t="s">
        <v>31</v>
      </c>
      <c r="I39" s="1" t="s">
        <v>35</v>
      </c>
      <c r="J39" s="1" t="s">
        <v>84</v>
      </c>
      <c r="K39" s="1" t="s">
        <v>648</v>
      </c>
      <c r="L39" s="1">
        <v>54.646999999999998</v>
      </c>
      <c r="M39" s="1">
        <v>-1.153</v>
      </c>
      <c r="N39" s="1" t="s">
        <v>488</v>
      </c>
      <c r="O39" s="1" t="s">
        <v>35</v>
      </c>
      <c r="P39" s="1" t="s">
        <v>318</v>
      </c>
      <c r="Q39" s="1" t="s">
        <v>43</v>
      </c>
    </row>
    <row r="40" spans="1:18">
      <c r="A40" s="19">
        <v>45</v>
      </c>
      <c r="B40" s="1" t="s">
        <v>498</v>
      </c>
      <c r="C40" s="1" t="s">
        <v>499</v>
      </c>
      <c r="D40" s="1" t="s">
        <v>500</v>
      </c>
      <c r="E40" s="1" t="s">
        <v>316</v>
      </c>
      <c r="F40" s="1" t="s">
        <v>545</v>
      </c>
      <c r="G40" s="1" t="str">
        <f t="shared" si="1"/>
        <v>Published</v>
      </c>
      <c r="H40" s="1" t="s">
        <v>253</v>
      </c>
      <c r="I40" s="1" t="s">
        <v>33</v>
      </c>
      <c r="J40" s="1" t="s">
        <v>83</v>
      </c>
      <c r="K40" s="1" t="s">
        <v>83</v>
      </c>
      <c r="L40">
        <v>41.188000000000002</v>
      </c>
      <c r="M40">
        <v>40.238</v>
      </c>
      <c r="N40" s="1" t="s">
        <v>501</v>
      </c>
      <c r="O40" s="1" t="s">
        <v>33</v>
      </c>
      <c r="P40" s="1" t="s">
        <v>43</v>
      </c>
      <c r="Q40" s="1" t="s">
        <v>43</v>
      </c>
    </row>
    <row r="41" spans="1:18">
      <c r="A41" s="19">
        <v>46</v>
      </c>
      <c r="B41" s="1" t="s">
        <v>509</v>
      </c>
      <c r="C41" s="1" t="s">
        <v>505</v>
      </c>
      <c r="D41" s="1" t="s">
        <v>506</v>
      </c>
      <c r="E41" s="1" t="s">
        <v>507</v>
      </c>
      <c r="F41" s="1" t="s">
        <v>545</v>
      </c>
      <c r="G41" s="1" t="str">
        <f t="shared" si="1"/>
        <v>Published</v>
      </c>
      <c r="H41" s="1" t="s">
        <v>31</v>
      </c>
      <c r="I41" s="1" t="s">
        <v>35</v>
      </c>
      <c r="J41" s="1" t="s">
        <v>84</v>
      </c>
      <c r="K41" s="1" t="s">
        <v>648</v>
      </c>
      <c r="L41" s="1">
        <v>-12.64</v>
      </c>
      <c r="M41" s="1">
        <v>-38.04</v>
      </c>
      <c r="N41" s="1" t="s">
        <v>508</v>
      </c>
      <c r="O41" s="1" t="s">
        <v>35</v>
      </c>
      <c r="P41" s="1" t="s">
        <v>564</v>
      </c>
      <c r="Q41" s="1" t="s">
        <v>43</v>
      </c>
    </row>
    <row r="42" spans="1:18">
      <c r="A42" s="19">
        <v>47</v>
      </c>
      <c r="B42" s="1" t="s">
        <v>510</v>
      </c>
      <c r="C42" s="1" t="s">
        <v>512</v>
      </c>
      <c r="D42" s="1" t="s">
        <v>513</v>
      </c>
      <c r="E42" s="1" t="s">
        <v>353</v>
      </c>
      <c r="F42" s="1" t="s">
        <v>545</v>
      </c>
      <c r="G42" s="1" t="str">
        <f t="shared" si="1"/>
        <v>Published</v>
      </c>
      <c r="H42" s="1" t="s">
        <v>31</v>
      </c>
      <c r="I42" s="1" t="s">
        <v>35</v>
      </c>
      <c r="J42" s="1" t="s">
        <v>80</v>
      </c>
      <c r="K42" s="1" t="s">
        <v>649</v>
      </c>
      <c r="L42" s="1">
        <v>-12.64</v>
      </c>
      <c r="M42" s="1">
        <v>-38.04</v>
      </c>
      <c r="N42" s="1" t="s">
        <v>508</v>
      </c>
      <c r="O42" s="1" t="s">
        <v>35</v>
      </c>
      <c r="P42" s="1" t="s">
        <v>564</v>
      </c>
      <c r="Q42" s="1" t="s">
        <v>43</v>
      </c>
    </row>
    <row r="43" spans="1:18">
      <c r="A43" s="19">
        <v>48</v>
      </c>
      <c r="B43" s="1" t="s">
        <v>511</v>
      </c>
      <c r="C43" s="1" t="s">
        <v>514</v>
      </c>
      <c r="D43" s="1" t="s">
        <v>515</v>
      </c>
      <c r="E43" s="1" t="s">
        <v>516</v>
      </c>
      <c r="F43" s="1" t="s">
        <v>545</v>
      </c>
      <c r="G43" s="1" t="str">
        <f t="shared" si="1"/>
        <v>Published</v>
      </c>
      <c r="H43" s="1" t="s">
        <v>31</v>
      </c>
      <c r="I43" s="1" t="s">
        <v>35</v>
      </c>
      <c r="J43" s="1" t="s">
        <v>80</v>
      </c>
      <c r="K43" s="1" t="s">
        <v>649</v>
      </c>
      <c r="L43" s="1">
        <v>-12.64</v>
      </c>
      <c r="M43" s="1">
        <v>-38.04</v>
      </c>
      <c r="N43" s="1" t="s">
        <v>508</v>
      </c>
      <c r="O43" s="1" t="s">
        <v>35</v>
      </c>
      <c r="P43" s="1" t="s">
        <v>564</v>
      </c>
      <c r="Q43" s="1" t="s">
        <v>43</v>
      </c>
    </row>
    <row r="44" spans="1:18">
      <c r="A44" s="19">
        <v>50</v>
      </c>
      <c r="B44" s="1" t="s">
        <v>525</v>
      </c>
      <c r="C44" s="1" t="s">
        <v>526</v>
      </c>
      <c r="D44" s="1" t="s">
        <v>527</v>
      </c>
      <c r="E44" s="1" t="s">
        <v>72</v>
      </c>
      <c r="F44" s="1" t="s">
        <v>545</v>
      </c>
      <c r="G44" s="1" t="str">
        <f t="shared" si="1"/>
        <v>Published</v>
      </c>
      <c r="H44" s="1" t="s">
        <v>354</v>
      </c>
      <c r="I44" s="1" t="s">
        <v>35</v>
      </c>
      <c r="J44" s="1" t="s">
        <v>84</v>
      </c>
      <c r="K44" s="1" t="s">
        <v>648</v>
      </c>
      <c r="L44" s="1">
        <v>53.57</v>
      </c>
      <c r="M44" s="1">
        <v>-3.3319999999999999</v>
      </c>
      <c r="N44" s="1" t="s">
        <v>528</v>
      </c>
      <c r="O44" s="1" t="s">
        <v>35</v>
      </c>
      <c r="P44" s="1" t="s">
        <v>529</v>
      </c>
      <c r="Q44" s="1" t="s">
        <v>43</v>
      </c>
    </row>
    <row r="45" spans="1:18">
      <c r="A45" s="19">
        <v>51</v>
      </c>
      <c r="B45" s="1" t="s">
        <v>533</v>
      </c>
      <c r="C45" s="1" t="s">
        <v>534</v>
      </c>
      <c r="D45" s="1" t="s">
        <v>535</v>
      </c>
      <c r="E45" s="1" t="s">
        <v>536</v>
      </c>
      <c r="F45" s="1" t="s">
        <v>545</v>
      </c>
      <c r="G45" s="1" t="str">
        <f t="shared" si="1"/>
        <v>Published</v>
      </c>
      <c r="H45" s="1" t="s">
        <v>31</v>
      </c>
      <c r="I45" s="1" t="s">
        <v>35</v>
      </c>
      <c r="J45" s="1" t="s">
        <v>82</v>
      </c>
      <c r="K45" s="1" t="s">
        <v>628</v>
      </c>
      <c r="L45" s="1">
        <v>40.128999999999998</v>
      </c>
      <c r="M45" s="1">
        <v>-8.8450000000000006</v>
      </c>
      <c r="N45" s="1" t="s">
        <v>540</v>
      </c>
      <c r="O45" s="1" t="s">
        <v>35</v>
      </c>
      <c r="P45" s="1" t="s">
        <v>541</v>
      </c>
      <c r="Q45" s="1" t="s">
        <v>43</v>
      </c>
    </row>
    <row r="46" spans="1:18">
      <c r="A46" s="19">
        <v>5</v>
      </c>
      <c r="B46" s="1" t="s">
        <v>3</v>
      </c>
      <c r="C46" s="1" t="s">
        <v>229</v>
      </c>
      <c r="D46" s="1" t="s">
        <v>807</v>
      </c>
      <c r="E46" s="1" t="s">
        <v>43</v>
      </c>
      <c r="F46" s="1" t="s">
        <v>547</v>
      </c>
      <c r="G46" s="1" t="str">
        <f t="shared" si="1"/>
        <v>Unpublished</v>
      </c>
      <c r="H46" s="1" t="s">
        <v>31</v>
      </c>
      <c r="I46" s="1" t="s">
        <v>33</v>
      </c>
      <c r="J46" s="6" t="s">
        <v>85</v>
      </c>
      <c r="K46" s="6" t="s">
        <v>650</v>
      </c>
      <c r="L46" s="1">
        <v>48.551000000000002</v>
      </c>
      <c r="M46" s="1">
        <v>-123.005</v>
      </c>
      <c r="N46" s="1" t="s">
        <v>47</v>
      </c>
      <c r="O46" s="1" t="s">
        <v>33</v>
      </c>
      <c r="P46" s="1" t="s">
        <v>43</v>
      </c>
      <c r="Q46" s="1" t="s">
        <v>43</v>
      </c>
    </row>
    <row r="47" spans="1:18">
      <c r="A47" s="19">
        <v>6</v>
      </c>
      <c r="B47" s="1" t="s">
        <v>66</v>
      </c>
      <c r="C47" s="1" t="s">
        <v>228</v>
      </c>
      <c r="D47" s="1" t="s">
        <v>808</v>
      </c>
      <c r="E47" s="1" t="s">
        <v>43</v>
      </c>
      <c r="F47" s="1" t="s">
        <v>547</v>
      </c>
      <c r="G47" s="1" t="str">
        <f t="shared" si="1"/>
        <v>Unpublished</v>
      </c>
      <c r="H47" s="1" t="s">
        <v>31</v>
      </c>
      <c r="I47" s="1" t="s">
        <v>33</v>
      </c>
      <c r="J47" s="1" t="s">
        <v>80</v>
      </c>
      <c r="K47" s="1" t="s">
        <v>650</v>
      </c>
      <c r="L47" s="1">
        <v>18.309999999999999</v>
      </c>
      <c r="M47" s="1">
        <v>-64.73</v>
      </c>
      <c r="N47" s="1" t="s">
        <v>49</v>
      </c>
      <c r="O47" s="1" t="s">
        <v>33</v>
      </c>
      <c r="P47" s="1" t="s">
        <v>43</v>
      </c>
      <c r="Q47" s="1" t="s">
        <v>43</v>
      </c>
    </row>
    <row r="48" spans="1:18">
      <c r="A48" s="19">
        <v>7</v>
      </c>
      <c r="B48" s="1" t="s">
        <v>4</v>
      </c>
      <c r="C48" s="1" t="s">
        <v>229</v>
      </c>
      <c r="D48" s="1" t="s">
        <v>806</v>
      </c>
      <c r="E48" s="1" t="s">
        <v>43</v>
      </c>
      <c r="F48" s="1" t="s">
        <v>547</v>
      </c>
      <c r="G48" s="1" t="str">
        <f t="shared" si="1"/>
        <v>Unpublished</v>
      </c>
      <c r="H48" s="1" t="s">
        <v>31</v>
      </c>
      <c r="I48" s="1" t="s">
        <v>33</v>
      </c>
      <c r="J48" s="6" t="s">
        <v>85</v>
      </c>
      <c r="K48" s="6" t="s">
        <v>650</v>
      </c>
      <c r="L48" s="1">
        <v>48.58</v>
      </c>
      <c r="M48" s="1">
        <v>-123.03</v>
      </c>
      <c r="N48" s="1" t="s">
        <v>50</v>
      </c>
      <c r="O48" s="1" t="s">
        <v>33</v>
      </c>
      <c r="P48" s="1" t="s">
        <v>43</v>
      </c>
      <c r="Q48" s="1" t="s">
        <v>43</v>
      </c>
    </row>
    <row r="49" spans="1:18">
      <c r="A49" s="19">
        <v>11</v>
      </c>
      <c r="B49" s="1" t="s">
        <v>6</v>
      </c>
      <c r="C49" s="1" t="s">
        <v>227</v>
      </c>
      <c r="D49" s="1" t="s">
        <v>805</v>
      </c>
      <c r="E49" s="1" t="s">
        <v>43</v>
      </c>
      <c r="F49" s="1" t="s">
        <v>546</v>
      </c>
      <c r="G49" s="1" t="str">
        <f t="shared" si="1"/>
        <v>Unpublished</v>
      </c>
      <c r="H49" s="1" t="s">
        <v>59</v>
      </c>
      <c r="I49" s="1" t="s">
        <v>33</v>
      </c>
      <c r="J49" s="1" t="s">
        <v>82</v>
      </c>
      <c r="K49" s="1" t="s">
        <v>628</v>
      </c>
      <c r="L49" s="1">
        <v>37.222499999999997</v>
      </c>
      <c r="M49" s="1">
        <v>-76.385000000000005</v>
      </c>
      <c r="N49" s="1" t="s">
        <v>58</v>
      </c>
      <c r="O49" s="1" t="s">
        <v>33</v>
      </c>
      <c r="P49" s="1" t="s">
        <v>43</v>
      </c>
      <c r="Q49" s="1" t="s">
        <v>43</v>
      </c>
    </row>
    <row r="50" spans="1:18">
      <c r="A50" s="19">
        <v>12</v>
      </c>
      <c r="B50" s="1" t="s">
        <v>7</v>
      </c>
      <c r="C50" s="1" t="s">
        <v>67</v>
      </c>
      <c r="D50" t="s">
        <v>60</v>
      </c>
      <c r="E50" s="1" t="s">
        <v>43</v>
      </c>
      <c r="F50" s="1" t="s">
        <v>547</v>
      </c>
      <c r="G50" s="1" t="str">
        <f t="shared" si="1"/>
        <v>Unpublished</v>
      </c>
      <c r="H50" s="1" t="s">
        <v>31</v>
      </c>
      <c r="I50" s="1" t="s">
        <v>33</v>
      </c>
      <c r="J50" s="1" t="s">
        <v>83</v>
      </c>
      <c r="K50" s="1" t="s">
        <v>83</v>
      </c>
      <c r="L50" s="1">
        <v>-26.32</v>
      </c>
      <c r="M50" s="1">
        <v>132.97</v>
      </c>
      <c r="N50" s="1" t="s">
        <v>71</v>
      </c>
      <c r="O50" s="1" t="s">
        <v>33</v>
      </c>
      <c r="P50" s="1" t="s">
        <v>43</v>
      </c>
      <c r="Q50" s="1" t="s">
        <v>43</v>
      </c>
    </row>
    <row r="51" spans="1:18">
      <c r="A51" s="19">
        <v>13</v>
      </c>
      <c r="B51" s="1" t="s">
        <v>8</v>
      </c>
      <c r="C51" s="1" t="s">
        <v>68</v>
      </c>
      <c r="D51" s="1" t="s">
        <v>804</v>
      </c>
      <c r="E51" s="1" t="s">
        <v>43</v>
      </c>
      <c r="F51" s="1" t="s">
        <v>547</v>
      </c>
      <c r="G51" s="1" t="str">
        <f t="shared" si="1"/>
        <v>Unpublished</v>
      </c>
      <c r="H51" s="1" t="s">
        <v>31</v>
      </c>
      <c r="I51" s="1" t="s">
        <v>33</v>
      </c>
      <c r="J51" s="6" t="s">
        <v>85</v>
      </c>
      <c r="K51" s="6" t="s">
        <v>650</v>
      </c>
      <c r="L51" s="1">
        <v>34.06</v>
      </c>
      <c r="M51" s="1">
        <v>-120.01</v>
      </c>
      <c r="N51" s="1" t="s">
        <v>70</v>
      </c>
      <c r="O51" s="1" t="s">
        <v>35</v>
      </c>
      <c r="P51" s="1" t="s">
        <v>198</v>
      </c>
      <c r="Q51" s="1" t="s">
        <v>43</v>
      </c>
      <c r="R51" s="1" t="s">
        <v>623</v>
      </c>
    </row>
    <row r="52" spans="1:18">
      <c r="A52" s="19">
        <v>14</v>
      </c>
      <c r="B52" s="1" t="s">
        <v>9</v>
      </c>
      <c r="C52" s="1" t="s">
        <v>239</v>
      </c>
      <c r="D52" s="1" t="s">
        <v>39</v>
      </c>
      <c r="E52" s="1" t="s">
        <v>43</v>
      </c>
      <c r="F52" s="1" t="s">
        <v>547</v>
      </c>
      <c r="G52" s="1" t="str">
        <f t="shared" si="1"/>
        <v>Unpublished</v>
      </c>
      <c r="H52" s="1" t="s">
        <v>31</v>
      </c>
      <c r="I52" s="1" t="s">
        <v>33</v>
      </c>
      <c r="J52" s="6" t="s">
        <v>85</v>
      </c>
      <c r="K52" s="6" t="s">
        <v>650</v>
      </c>
      <c r="L52" s="1">
        <v>34.39</v>
      </c>
      <c r="M52" s="1">
        <v>-119.7</v>
      </c>
      <c r="N52" s="1" t="s">
        <v>63</v>
      </c>
      <c r="O52" s="1" t="s">
        <v>33</v>
      </c>
      <c r="P52" s="1" t="s">
        <v>43</v>
      </c>
      <c r="Q52" s="1" t="s">
        <v>43</v>
      </c>
    </row>
    <row r="53" spans="1:18">
      <c r="A53" s="19">
        <v>52</v>
      </c>
      <c r="B53" s="1" t="s">
        <v>656</v>
      </c>
      <c r="C53" s="1" t="s">
        <v>656</v>
      </c>
      <c r="D53" s="1" t="s">
        <v>809</v>
      </c>
      <c r="E53" s="1" t="s">
        <v>43</v>
      </c>
      <c r="F53" s="1" t="s">
        <v>547</v>
      </c>
      <c r="G53" s="1" t="str">
        <f t="shared" si="1"/>
        <v>Unpublished</v>
      </c>
      <c r="H53" s="1" t="s">
        <v>31</v>
      </c>
      <c r="I53" s="1" t="s">
        <v>33</v>
      </c>
      <c r="J53" s="1" t="s">
        <v>85</v>
      </c>
      <c r="K53" s="1" t="s">
        <v>650</v>
      </c>
      <c r="L53" s="1">
        <v>42.414999999999999</v>
      </c>
      <c r="M53" s="1">
        <v>-70.905000000000001</v>
      </c>
      <c r="N53" s="1" t="s">
        <v>657</v>
      </c>
      <c r="O53" s="1" t="s">
        <v>33</v>
      </c>
      <c r="P53" s="1" t="s">
        <v>43</v>
      </c>
      <c r="Q53" s="1" t="s">
        <v>43</v>
      </c>
    </row>
    <row r="54" spans="1:18">
      <c r="A54" s="19">
        <v>53</v>
      </c>
      <c r="B54" s="1" t="s">
        <v>698</v>
      </c>
      <c r="C54" s="1" t="s">
        <v>699</v>
      </c>
      <c r="D54" s="1" t="s">
        <v>700</v>
      </c>
      <c r="E54" s="1" t="s">
        <v>30</v>
      </c>
      <c r="F54" s="1" t="s">
        <v>545</v>
      </c>
      <c r="G54" s="1" t="str">
        <f t="shared" si="1"/>
        <v>Published</v>
      </c>
      <c r="H54" s="1" t="s">
        <v>31</v>
      </c>
      <c r="I54" s="1" t="s">
        <v>33</v>
      </c>
      <c r="J54" s="1" t="s">
        <v>85</v>
      </c>
      <c r="K54" s="1" t="s">
        <v>650</v>
      </c>
      <c r="L54" s="1">
        <v>38.457000000000001</v>
      </c>
      <c r="M54" s="1">
        <v>-9.0020000000000007</v>
      </c>
      <c r="N54" s="1" t="s">
        <v>701</v>
      </c>
      <c r="O54" s="1" t="s">
        <v>33</v>
      </c>
      <c r="P54" s="1" t="s">
        <v>43</v>
      </c>
      <c r="Q54" s="1" t="s">
        <v>43</v>
      </c>
    </row>
    <row r="55" spans="1:18">
      <c r="A55" s="19">
        <v>54</v>
      </c>
      <c r="B55" s="1" t="s">
        <v>706</v>
      </c>
      <c r="C55" s="1" t="s">
        <v>707</v>
      </c>
      <c r="D55" s="1" t="s">
        <v>708</v>
      </c>
      <c r="E55" s="1" t="s">
        <v>72</v>
      </c>
      <c r="F55" s="1" t="s">
        <v>545</v>
      </c>
      <c r="G55" s="1" t="str">
        <f t="shared" si="1"/>
        <v>Published</v>
      </c>
      <c r="H55" s="1" t="s">
        <v>429</v>
      </c>
      <c r="I55" s="1" t="s">
        <v>35</v>
      </c>
      <c r="J55" s="1" t="s">
        <v>84</v>
      </c>
      <c r="K55" s="1" t="s">
        <v>648</v>
      </c>
      <c r="L55" s="1">
        <v>55.033000000000001</v>
      </c>
      <c r="M55" s="1">
        <v>-1.35</v>
      </c>
      <c r="N55" s="1" t="s">
        <v>709</v>
      </c>
      <c r="O55" s="1" t="s">
        <v>35</v>
      </c>
      <c r="P55" s="1" t="s">
        <v>318</v>
      </c>
      <c r="Q55" s="1" t="s">
        <v>43</v>
      </c>
      <c r="R55" s="1" t="s">
        <v>710</v>
      </c>
    </row>
    <row r="56" spans="1:18">
      <c r="A56" s="19">
        <v>55</v>
      </c>
      <c r="B56" s="1" t="s">
        <v>716</v>
      </c>
      <c r="C56" s="1" t="s">
        <v>717</v>
      </c>
      <c r="D56" s="1" t="s">
        <v>718</v>
      </c>
      <c r="E56" s="1" t="s">
        <v>72</v>
      </c>
      <c r="F56" s="1" t="s">
        <v>545</v>
      </c>
      <c r="G56" s="1" t="str">
        <f t="shared" si="1"/>
        <v>Published</v>
      </c>
      <c r="H56" s="1" t="s">
        <v>31</v>
      </c>
      <c r="I56" s="1" t="s">
        <v>35</v>
      </c>
      <c r="J56" s="1" t="s">
        <v>83</v>
      </c>
      <c r="K56" s="1" t="s">
        <v>83</v>
      </c>
      <c r="L56" s="1">
        <v>37.832999999999998</v>
      </c>
      <c r="M56" s="1">
        <v>-122.333</v>
      </c>
      <c r="N56" s="1" t="s">
        <v>719</v>
      </c>
      <c r="O56" s="1" t="s">
        <v>33</v>
      </c>
      <c r="P56" s="1" t="s">
        <v>43</v>
      </c>
      <c r="Q56" s="1" t="s">
        <v>43</v>
      </c>
    </row>
    <row r="57" spans="1:18">
      <c r="A57" s="19">
        <v>56</v>
      </c>
      <c r="B57" s="1" t="s">
        <v>724</v>
      </c>
      <c r="C57" s="1" t="s">
        <v>725</v>
      </c>
      <c r="D57" s="1" t="s">
        <v>726</v>
      </c>
      <c r="E57" s="1" t="s">
        <v>72</v>
      </c>
      <c r="F57" s="1" t="s">
        <v>545</v>
      </c>
      <c r="G57" s="1" t="str">
        <f t="shared" ref="G57:G58" si="2">IF(F57 = "Pub","Published","Unpublished")</f>
        <v>Published</v>
      </c>
      <c r="H57" s="1" t="s">
        <v>31</v>
      </c>
      <c r="I57" s="1" t="s">
        <v>35</v>
      </c>
      <c r="J57" s="1" t="s">
        <v>85</v>
      </c>
      <c r="K57" s="1" t="s">
        <v>650</v>
      </c>
      <c r="L57">
        <v>-36.534999999999997</v>
      </c>
      <c r="M57">
        <v>-72.95</v>
      </c>
      <c r="N57" t="s">
        <v>727</v>
      </c>
      <c r="O57" s="1" t="s">
        <v>35</v>
      </c>
      <c r="P57" s="1" t="s">
        <v>729</v>
      </c>
      <c r="Q57" s="1" t="s">
        <v>43</v>
      </c>
    </row>
    <row r="58" spans="1:18">
      <c r="A58" s="19">
        <v>57</v>
      </c>
      <c r="B58" s="1" t="s">
        <v>735</v>
      </c>
      <c r="C58" s="1" t="s">
        <v>736</v>
      </c>
      <c r="D58" s="1" t="s">
        <v>737</v>
      </c>
      <c r="E58" s="1" t="s">
        <v>353</v>
      </c>
      <c r="F58" s="1" t="s">
        <v>545</v>
      </c>
      <c r="G58" s="1" t="str">
        <f t="shared" si="2"/>
        <v>Published</v>
      </c>
      <c r="H58" s="1" t="s">
        <v>31</v>
      </c>
      <c r="I58" s="1" t="s">
        <v>35</v>
      </c>
      <c r="J58" s="1" t="s">
        <v>83</v>
      </c>
      <c r="K58" s="1" t="s">
        <v>83</v>
      </c>
      <c r="L58" s="1">
        <v>-23.016999999999999</v>
      </c>
      <c r="M58" s="1">
        <v>-70.441999999999993</v>
      </c>
      <c r="N58" s="1" t="s">
        <v>738</v>
      </c>
      <c r="O58" s="1" t="s">
        <v>35</v>
      </c>
      <c r="P58" s="1" t="s">
        <v>564</v>
      </c>
      <c r="Q58" s="1" t="s">
        <v>43</v>
      </c>
    </row>
    <row r="59" spans="1:18">
      <c r="A59" s="19">
        <v>58</v>
      </c>
      <c r="B59" s="1" t="s">
        <v>742</v>
      </c>
      <c r="C59" s="1" t="s">
        <v>743</v>
      </c>
      <c r="D59" s="1" t="s">
        <v>744</v>
      </c>
      <c r="E59" s="1" t="s">
        <v>353</v>
      </c>
      <c r="F59" s="1" t="s">
        <v>545</v>
      </c>
      <c r="G59" s="1" t="str">
        <f t="shared" ref="G59:G63" si="3">IF(F59 = "Pub","Published","Unpublished")</f>
        <v>Published</v>
      </c>
      <c r="H59" s="1" t="s">
        <v>253</v>
      </c>
      <c r="I59" s="1" t="s">
        <v>35</v>
      </c>
      <c r="J59" s="1" t="s">
        <v>84</v>
      </c>
      <c r="K59" s="1" t="s">
        <v>648</v>
      </c>
      <c r="L59">
        <v>42.12</v>
      </c>
      <c r="M59">
        <v>-8.85</v>
      </c>
      <c r="N59" s="1" t="s">
        <v>745</v>
      </c>
      <c r="O59" s="1" t="s">
        <v>33</v>
      </c>
      <c r="P59" s="1" t="s">
        <v>43</v>
      </c>
      <c r="Q59" s="1" t="s">
        <v>43</v>
      </c>
    </row>
    <row r="60" spans="1:18">
      <c r="A60" s="19">
        <v>59</v>
      </c>
      <c r="B60" s="1" t="s">
        <v>748</v>
      </c>
      <c r="C60" s="1" t="s">
        <v>749</v>
      </c>
      <c r="D60" s="1" t="s">
        <v>750</v>
      </c>
      <c r="E60" s="1" t="s">
        <v>751</v>
      </c>
      <c r="F60" s="1" t="s">
        <v>545</v>
      </c>
      <c r="G60" s="1" t="str">
        <f t="shared" si="3"/>
        <v>Published</v>
      </c>
      <c r="H60" s="1" t="s">
        <v>31</v>
      </c>
      <c r="I60" s="1" t="s">
        <v>35</v>
      </c>
      <c r="J60" s="1" t="s">
        <v>84</v>
      </c>
      <c r="K60" s="1" t="s">
        <v>648</v>
      </c>
      <c r="L60" s="1">
        <v>44.453000000000003</v>
      </c>
      <c r="M60" s="1">
        <v>12.451000000000001</v>
      </c>
      <c r="N60" s="1" t="s">
        <v>758</v>
      </c>
      <c r="O60" s="1" t="s">
        <v>33</v>
      </c>
      <c r="P60" s="1" t="s">
        <v>43</v>
      </c>
      <c r="Q60" s="1" t="s">
        <v>43</v>
      </c>
    </row>
    <row r="61" spans="1:18">
      <c r="A61" s="19">
        <v>60</v>
      </c>
      <c r="B61" t="s">
        <v>763</v>
      </c>
      <c r="C61" s="1" t="s">
        <v>766</v>
      </c>
      <c r="D61" s="1" t="s">
        <v>767</v>
      </c>
      <c r="E61" s="1" t="s">
        <v>316</v>
      </c>
      <c r="F61" s="1" t="s">
        <v>545</v>
      </c>
      <c r="G61" s="1" t="str">
        <f t="shared" si="3"/>
        <v>Published</v>
      </c>
      <c r="H61" s="1" t="s">
        <v>31</v>
      </c>
      <c r="I61" s="1" t="s">
        <v>33</v>
      </c>
      <c r="J61" s="1" t="s">
        <v>765</v>
      </c>
      <c r="K61" s="1" t="s">
        <v>648</v>
      </c>
      <c r="L61" s="1">
        <v>35.999000000000002</v>
      </c>
      <c r="M61" s="1">
        <v>14.343999999999999</v>
      </c>
      <c r="N61" s="1" t="s">
        <v>764</v>
      </c>
      <c r="O61" s="1" t="s">
        <v>33</v>
      </c>
      <c r="P61" s="1" t="s">
        <v>43</v>
      </c>
      <c r="Q61" s="1" t="s">
        <v>43</v>
      </c>
    </row>
    <row r="62" spans="1:18">
      <c r="A62" s="19">
        <v>61</v>
      </c>
      <c r="B62" s="1" t="s">
        <v>768</v>
      </c>
      <c r="C62" s="1" t="s">
        <v>769</v>
      </c>
      <c r="D62" s="1" t="s">
        <v>770</v>
      </c>
      <c r="E62" s="1" t="s">
        <v>61</v>
      </c>
      <c r="F62" s="1" t="s">
        <v>545</v>
      </c>
      <c r="G62" s="1" t="str">
        <f t="shared" si="3"/>
        <v>Published</v>
      </c>
      <c r="H62" s="1" t="s">
        <v>31</v>
      </c>
      <c r="I62" s="1" t="s">
        <v>35</v>
      </c>
      <c r="J62" s="1" t="s">
        <v>80</v>
      </c>
      <c r="K62" s="1" t="s">
        <v>650</v>
      </c>
      <c r="L62" s="1">
        <v>27.561</v>
      </c>
      <c r="M62" s="1">
        <v>-83.006</v>
      </c>
      <c r="N62" s="1" t="s">
        <v>771</v>
      </c>
      <c r="O62" s="1" t="s">
        <v>35</v>
      </c>
      <c r="P62" s="1" t="s">
        <v>772</v>
      </c>
      <c r="Q62" s="1" t="s">
        <v>43</v>
      </c>
    </row>
    <row r="63" spans="1:18">
      <c r="A63" s="19">
        <v>62</v>
      </c>
      <c r="B63" s="1" t="s">
        <v>779</v>
      </c>
      <c r="C63" s="1" t="s">
        <v>780</v>
      </c>
      <c r="D63" s="1" t="s">
        <v>781</v>
      </c>
      <c r="E63" s="1" t="s">
        <v>353</v>
      </c>
      <c r="F63" s="1" t="s">
        <v>545</v>
      </c>
      <c r="G63" s="1" t="str">
        <f t="shared" si="3"/>
        <v>Published</v>
      </c>
      <c r="H63" s="1" t="s">
        <v>31</v>
      </c>
      <c r="I63" s="1" t="s">
        <v>35</v>
      </c>
      <c r="J63" s="1" t="s">
        <v>84</v>
      </c>
      <c r="K63" s="1" t="s">
        <v>648</v>
      </c>
      <c r="L63" s="1">
        <v>22.3</v>
      </c>
      <c r="M63" s="1">
        <v>114.14</v>
      </c>
      <c r="N63" s="1" t="s">
        <v>782</v>
      </c>
      <c r="O63" s="1" t="s">
        <v>33</v>
      </c>
      <c r="P63" s="1" t="s">
        <v>43</v>
      </c>
      <c r="Q63" s="1" t="s">
        <v>43</v>
      </c>
    </row>
  </sheetData>
  <sortState ref="A2:R53">
    <sortCondition ref="F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9"/>
  <sheetViews>
    <sheetView tabSelected="1" workbookViewId="0">
      <pane ySplit="1" topLeftCell="A50" activePane="bottomLeft" state="frozen"/>
      <selection pane="bottomLeft" activeCell="AN80" sqref="AN80"/>
    </sheetView>
  </sheetViews>
  <sheetFormatPr baseColWidth="10" defaultRowHeight="15" x14ac:dyDescent="0"/>
  <cols>
    <col min="1" max="1" width="3.1640625" bestFit="1" customWidth="1"/>
    <col min="2" max="2" width="13.33203125" bestFit="1" customWidth="1"/>
    <col min="3" max="3" width="16.33203125" bestFit="1" customWidth="1"/>
    <col min="4" max="4" width="4" hidden="1" customWidth="1"/>
    <col min="5" max="14" width="4" style="1" hidden="1" customWidth="1"/>
    <col min="15" max="15" width="9.1640625" style="1" hidden="1" customWidth="1"/>
    <col min="16" max="16" width="7.6640625" style="1" hidden="1" customWidth="1"/>
    <col min="17" max="17" width="34.1640625" style="1" hidden="1" customWidth="1"/>
    <col min="18" max="18" width="7.1640625" style="1" hidden="1" customWidth="1"/>
    <col min="19" max="19" width="14.33203125" style="1" hidden="1" customWidth="1"/>
    <col min="20" max="20" width="19" style="7" hidden="1" customWidth="1"/>
    <col min="21" max="21" width="6" style="7" hidden="1" customWidth="1"/>
    <col min="22" max="22" width="3.6640625" hidden="1" customWidth="1"/>
    <col min="23" max="23" width="4.83203125" hidden="1" customWidth="1"/>
    <col min="24" max="24" width="4.6640625" hidden="1" customWidth="1"/>
    <col min="25" max="25" width="5.1640625" hidden="1" customWidth="1"/>
    <col min="26" max="26" width="4" hidden="1" customWidth="1"/>
    <col min="27" max="27" width="12.1640625" hidden="1" customWidth="1"/>
    <col min="28" max="28" width="10.83203125" customWidth="1"/>
    <col min="29" max="29" width="7.5" style="10" customWidth="1"/>
    <col min="30" max="30" width="5.5" customWidth="1"/>
    <col min="31" max="31" width="12.1640625" bestFit="1" customWidth="1"/>
    <col min="32" max="32" width="14" bestFit="1" customWidth="1"/>
    <col min="33" max="33" width="12.83203125" bestFit="1" customWidth="1"/>
    <col min="34" max="34" width="17.1640625" bestFit="1" customWidth="1"/>
    <col min="35" max="35" width="9.6640625" style="10" customWidth="1"/>
    <col min="36" max="36" width="11.5" customWidth="1"/>
    <col min="37" max="37" width="16.6640625" style="1" bestFit="1" customWidth="1"/>
    <col min="38" max="38" width="12.1640625" style="1" bestFit="1" customWidth="1"/>
    <col min="39" max="39" width="19.5" style="1" bestFit="1" customWidth="1"/>
    <col min="40" max="41" width="12.1640625" style="1" bestFit="1" customWidth="1"/>
    <col min="42" max="42" width="10.83203125" style="1" bestFit="1" customWidth="1"/>
    <col min="43" max="43" width="10.83203125" style="1" customWidth="1"/>
    <col min="44" max="44" width="18.83203125" customWidth="1"/>
    <col min="45" max="46" width="10.83203125" customWidth="1"/>
  </cols>
  <sheetData>
    <row r="1" spans="1:45">
      <c r="A1" t="s">
        <v>207</v>
      </c>
      <c r="B1" s="13" t="s">
        <v>0</v>
      </c>
      <c r="C1" s="13" t="s">
        <v>92</v>
      </c>
      <c r="D1" s="7" t="s">
        <v>299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t="s">
        <v>258</v>
      </c>
      <c r="K1" t="s">
        <v>259</v>
      </c>
      <c r="L1" s="2" t="s">
        <v>254</v>
      </c>
      <c r="M1" s="2" t="s">
        <v>255</v>
      </c>
      <c r="N1" s="2" t="s">
        <v>78</v>
      </c>
      <c r="O1" t="s">
        <v>256</v>
      </c>
      <c r="P1" t="s">
        <v>257</v>
      </c>
      <c r="Q1" t="s">
        <v>251</v>
      </c>
      <c r="R1" s="14" t="s">
        <v>250</v>
      </c>
      <c r="S1" s="14" t="s">
        <v>690</v>
      </c>
      <c r="T1" s="4" t="s">
        <v>209</v>
      </c>
      <c r="U1" s="14" t="s">
        <v>230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27</v>
      </c>
      <c r="AB1" s="2" t="s">
        <v>552</v>
      </c>
      <c r="AC1" s="9" t="s">
        <v>213</v>
      </c>
      <c r="AD1" s="2" t="s">
        <v>214</v>
      </c>
      <c r="AE1" s="2" t="s">
        <v>584</v>
      </c>
      <c r="AF1" s="2" t="s">
        <v>585</v>
      </c>
      <c r="AG1" s="2" t="s">
        <v>569</v>
      </c>
      <c r="AH1" s="2" t="s">
        <v>570</v>
      </c>
      <c r="AI1" s="29" t="s">
        <v>614</v>
      </c>
      <c r="AJ1" s="22" t="s">
        <v>615</v>
      </c>
      <c r="AK1" s="2" t="s">
        <v>551</v>
      </c>
      <c r="AL1" s="2" t="s">
        <v>616</v>
      </c>
      <c r="AM1" s="2" t="s">
        <v>630</v>
      </c>
      <c r="AN1" s="2" t="s">
        <v>633</v>
      </c>
      <c r="AO1" s="2" t="s">
        <v>634</v>
      </c>
      <c r="AP1" s="2" t="s">
        <v>580</v>
      </c>
      <c r="AQ1" s="2" t="s">
        <v>668</v>
      </c>
      <c r="AR1" s="2" t="s">
        <v>20</v>
      </c>
    </row>
    <row r="2" spans="1:45">
      <c r="A2" s="20">
        <v>1</v>
      </c>
      <c r="B2" t="s">
        <v>1</v>
      </c>
      <c r="C2" t="s">
        <v>1</v>
      </c>
      <c r="D2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>
        <v>0</v>
      </c>
      <c r="M2">
        <v>0</v>
      </c>
      <c r="N2" s="1">
        <v>0</v>
      </c>
      <c r="O2" s="1" t="s">
        <v>43</v>
      </c>
      <c r="P2" s="1" t="s">
        <v>43</v>
      </c>
      <c r="Q2" s="1" t="s">
        <v>15</v>
      </c>
      <c r="R2" s="1">
        <v>3</v>
      </c>
      <c r="S2" s="1" t="s">
        <v>15</v>
      </c>
      <c r="T2" s="7" t="s">
        <v>210</v>
      </c>
      <c r="U2" s="7" t="s">
        <v>232</v>
      </c>
      <c r="V2">
        <v>0</v>
      </c>
      <c r="W2" s="7">
        <v>1</v>
      </c>
      <c r="X2" s="7">
        <v>1</v>
      </c>
      <c r="Y2" s="7">
        <v>0</v>
      </c>
      <c r="Z2" s="7">
        <v>0</v>
      </c>
      <c r="AA2" s="7" t="s">
        <v>43</v>
      </c>
      <c r="AB2" s="7" t="s">
        <v>43</v>
      </c>
      <c r="AC2" s="11" t="s">
        <v>43</v>
      </c>
      <c r="AD2">
        <v>3</v>
      </c>
      <c r="AE2" s="11" t="s">
        <v>43</v>
      </c>
      <c r="AF2" s="11" t="s">
        <v>43</v>
      </c>
      <c r="AG2" s="7" t="s">
        <v>43</v>
      </c>
      <c r="AH2" s="7" t="s">
        <v>211</v>
      </c>
      <c r="AI2" s="11" t="s">
        <v>43</v>
      </c>
      <c r="AJ2" s="11" t="s">
        <v>43</v>
      </c>
      <c r="AK2" s="1" t="s">
        <v>33</v>
      </c>
      <c r="AL2" s="1" t="s">
        <v>553</v>
      </c>
      <c r="AM2" s="1" t="s">
        <v>612</v>
      </c>
      <c r="AN2" s="6" t="s">
        <v>43</v>
      </c>
      <c r="AO2" s="6" t="s">
        <v>43</v>
      </c>
      <c r="AP2" s="6" t="s">
        <v>637</v>
      </c>
      <c r="AQ2" s="6">
        <f>IF(AP2 = "NA", 0, 1)</f>
        <v>1</v>
      </c>
      <c r="AR2" s="6" t="s">
        <v>795</v>
      </c>
    </row>
    <row r="3" spans="1:45">
      <c r="A3" s="20">
        <v>2</v>
      </c>
      <c r="B3" t="s">
        <v>86</v>
      </c>
      <c r="C3" t="s">
        <v>86</v>
      </c>
      <c r="D3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>
        <v>0</v>
      </c>
      <c r="M3">
        <v>0</v>
      </c>
      <c r="N3" s="1">
        <v>0</v>
      </c>
      <c r="O3" s="1" t="s">
        <v>43</v>
      </c>
      <c r="P3" s="1" t="s">
        <v>43</v>
      </c>
      <c r="Q3" s="1" t="s">
        <v>15</v>
      </c>
      <c r="R3" s="1">
        <v>3</v>
      </c>
      <c r="S3" s="1" t="s">
        <v>15</v>
      </c>
      <c r="T3" s="7" t="s">
        <v>565</v>
      </c>
      <c r="U3" s="7" t="s">
        <v>232</v>
      </c>
      <c r="V3">
        <v>1</v>
      </c>
      <c r="W3">
        <v>0</v>
      </c>
      <c r="X3">
        <v>0</v>
      </c>
      <c r="Y3">
        <v>0</v>
      </c>
      <c r="Z3">
        <v>0</v>
      </c>
      <c r="AA3">
        <f>PI()*(7.5)^2</f>
        <v>176.71458676442586</v>
      </c>
      <c r="AB3" t="s">
        <v>216</v>
      </c>
      <c r="AC3" s="10">
        <v>1</v>
      </c>
      <c r="AD3">
        <v>4</v>
      </c>
      <c r="AE3">
        <f>AA3*AC3</f>
        <v>176.71458676442586</v>
      </c>
      <c r="AF3" t="s">
        <v>216</v>
      </c>
      <c r="AG3">
        <v>0.1</v>
      </c>
      <c r="AH3" t="s">
        <v>211</v>
      </c>
      <c r="AI3" s="10" t="s">
        <v>43</v>
      </c>
      <c r="AJ3" s="21">
        <f>AE3</f>
        <v>176.71458676442586</v>
      </c>
      <c r="AK3" s="1" t="s">
        <v>33</v>
      </c>
      <c r="AL3" s="1" t="s">
        <v>554</v>
      </c>
      <c r="AM3" s="1" t="s">
        <v>582</v>
      </c>
      <c r="AN3" s="1" t="s">
        <v>43</v>
      </c>
      <c r="AO3" s="1">
        <f>1/AJ3</f>
        <v>5.6588424210451682E-3</v>
      </c>
      <c r="AP3" s="1" t="s">
        <v>631</v>
      </c>
      <c r="AQ3" s="6">
        <f t="shared" ref="AQ3:AQ61" si="0">IF(AP3 = "NA", 0, 1)</f>
        <v>1</v>
      </c>
      <c r="AR3">
        <f>15.5/1000</f>
        <v>1.55E-2</v>
      </c>
      <c r="AS3" t="s">
        <v>796</v>
      </c>
    </row>
    <row r="4" spans="1:45">
      <c r="A4" s="20">
        <v>3</v>
      </c>
      <c r="B4" t="s">
        <v>2</v>
      </c>
      <c r="C4" t="s">
        <v>2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>
        <v>0</v>
      </c>
      <c r="M4">
        <v>0</v>
      </c>
      <c r="N4" s="1">
        <v>0</v>
      </c>
      <c r="O4" s="1" t="s">
        <v>43</v>
      </c>
      <c r="P4" s="1" t="s">
        <v>43</v>
      </c>
      <c r="Q4" s="1" t="s">
        <v>686</v>
      </c>
      <c r="R4" s="1">
        <v>2</v>
      </c>
      <c r="S4" s="1" t="s">
        <v>16</v>
      </c>
      <c r="T4" s="7" t="s">
        <v>212</v>
      </c>
      <c r="U4" s="7" t="s">
        <v>231</v>
      </c>
      <c r="V4">
        <v>0</v>
      </c>
      <c r="W4">
        <v>0</v>
      </c>
      <c r="X4">
        <v>0</v>
      </c>
      <c r="Y4">
        <v>1</v>
      </c>
      <c r="Z4">
        <v>0</v>
      </c>
      <c r="AA4">
        <v>0.02</v>
      </c>
      <c r="AB4" t="s">
        <v>216</v>
      </c>
      <c r="AC4" s="10">
        <v>50</v>
      </c>
      <c r="AD4" s="7">
        <v>15</v>
      </c>
      <c r="AE4" s="7">
        <v>0.95</v>
      </c>
      <c r="AF4" s="7" t="s">
        <v>216</v>
      </c>
      <c r="AG4">
        <v>1</v>
      </c>
      <c r="AH4" t="s">
        <v>211</v>
      </c>
      <c r="AI4" s="10" t="s">
        <v>43</v>
      </c>
      <c r="AJ4" s="21">
        <f>AE4</f>
        <v>0.95</v>
      </c>
      <c r="AK4" s="1" t="s">
        <v>33</v>
      </c>
      <c r="AL4" s="1" t="s">
        <v>554</v>
      </c>
      <c r="AM4" s="1" t="s">
        <v>43</v>
      </c>
      <c r="AN4" s="1" t="s">
        <v>43</v>
      </c>
      <c r="AO4" s="1" t="s">
        <v>43</v>
      </c>
      <c r="AP4" s="1" t="s">
        <v>43</v>
      </c>
      <c r="AQ4" s="6">
        <f t="shared" si="0"/>
        <v>0</v>
      </c>
    </row>
    <row r="5" spans="1:45">
      <c r="A5" s="20">
        <v>4</v>
      </c>
      <c r="B5" t="s">
        <v>624</v>
      </c>
      <c r="C5" t="s">
        <v>624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>
        <v>0</v>
      </c>
      <c r="M5">
        <v>0</v>
      </c>
      <c r="N5" s="1">
        <v>0</v>
      </c>
      <c r="O5" s="1" t="s">
        <v>43</v>
      </c>
      <c r="P5" s="1" t="s">
        <v>43</v>
      </c>
      <c r="Q5" s="1" t="s">
        <v>686</v>
      </c>
      <c r="R5" s="1">
        <v>2</v>
      </c>
      <c r="S5" s="1" t="s">
        <v>16</v>
      </c>
      <c r="T5" s="6" t="s">
        <v>572</v>
      </c>
      <c r="U5" s="6" t="s">
        <v>232</v>
      </c>
      <c r="V5">
        <v>0</v>
      </c>
      <c r="W5">
        <v>0</v>
      </c>
      <c r="X5">
        <v>0</v>
      </c>
      <c r="Y5">
        <v>1</v>
      </c>
      <c r="Z5">
        <v>0</v>
      </c>
      <c r="AA5">
        <v>7.8E-2</v>
      </c>
      <c r="AB5" t="s">
        <v>216</v>
      </c>
      <c r="AC5" s="10" t="s">
        <v>573</v>
      </c>
      <c r="AD5" s="7">
        <v>4</v>
      </c>
      <c r="AE5" s="7" t="s">
        <v>43</v>
      </c>
      <c r="AF5" s="7" t="s">
        <v>43</v>
      </c>
      <c r="AG5" s="7">
        <v>100</v>
      </c>
      <c r="AH5" t="s">
        <v>211</v>
      </c>
      <c r="AI5" s="10">
        <f>AA5</f>
        <v>7.8E-2</v>
      </c>
      <c r="AJ5" t="s">
        <v>43</v>
      </c>
      <c r="AK5" s="1" t="s">
        <v>33</v>
      </c>
      <c r="AL5" s="1" t="s">
        <v>554</v>
      </c>
      <c r="AM5" s="1" t="s">
        <v>43</v>
      </c>
      <c r="AN5" s="1" t="s">
        <v>43</v>
      </c>
      <c r="AO5" s="1" t="s">
        <v>43</v>
      </c>
      <c r="AP5" s="1" t="s">
        <v>43</v>
      </c>
      <c r="AQ5" s="6">
        <f t="shared" si="0"/>
        <v>0</v>
      </c>
      <c r="AR5" t="s">
        <v>574</v>
      </c>
    </row>
    <row r="6" spans="1:45">
      <c r="A6" s="20">
        <v>5</v>
      </c>
      <c r="B6" t="s">
        <v>3</v>
      </c>
      <c r="C6" t="s">
        <v>3</v>
      </c>
      <c r="D6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>
        <v>0</v>
      </c>
      <c r="M6">
        <v>0</v>
      </c>
      <c r="N6" s="1">
        <v>0</v>
      </c>
      <c r="O6" s="1" t="s">
        <v>43</v>
      </c>
      <c r="P6" s="1" t="s">
        <v>43</v>
      </c>
      <c r="Q6" s="1" t="s">
        <v>687</v>
      </c>
      <c r="R6" s="1">
        <v>2</v>
      </c>
      <c r="S6" s="1" t="s">
        <v>16</v>
      </c>
      <c r="T6" s="6" t="s">
        <v>217</v>
      </c>
      <c r="U6" s="6" t="s">
        <v>232</v>
      </c>
      <c r="V6">
        <v>1</v>
      </c>
      <c r="W6">
        <v>0</v>
      </c>
      <c r="X6">
        <v>0</v>
      </c>
      <c r="Y6">
        <v>0</v>
      </c>
      <c r="Z6">
        <v>0</v>
      </c>
      <c r="AA6">
        <v>0.09</v>
      </c>
      <c r="AB6" t="s">
        <v>216</v>
      </c>
      <c r="AC6" s="10">
        <v>4</v>
      </c>
      <c r="AD6" s="7">
        <v>1</v>
      </c>
      <c r="AE6" s="7">
        <f>AA6*AC6</f>
        <v>0.36</v>
      </c>
      <c r="AF6" s="7" t="s">
        <v>216</v>
      </c>
      <c r="AG6" s="7">
        <v>0.1</v>
      </c>
      <c r="AH6" t="s">
        <v>211</v>
      </c>
      <c r="AI6" s="10">
        <v>0.09</v>
      </c>
      <c r="AJ6">
        <v>0.36</v>
      </c>
      <c r="AK6" s="1" t="s">
        <v>33</v>
      </c>
      <c r="AL6" s="1" t="s">
        <v>555</v>
      </c>
      <c r="AM6" s="1" t="s">
        <v>555</v>
      </c>
      <c r="AN6" s="1">
        <v>1</v>
      </c>
      <c r="AO6" s="1">
        <v>1</v>
      </c>
      <c r="AP6" s="1" t="s">
        <v>632</v>
      </c>
      <c r="AQ6" s="6">
        <f t="shared" si="0"/>
        <v>1</v>
      </c>
      <c r="AR6" s="1" t="s">
        <v>646</v>
      </c>
    </row>
    <row r="7" spans="1:45" ht="21" customHeight="1">
      <c r="A7" s="20">
        <v>6</v>
      </c>
      <c r="B7" t="s">
        <v>66</v>
      </c>
      <c r="C7" t="s">
        <v>66</v>
      </c>
      <c r="D7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>
        <v>0</v>
      </c>
      <c r="M7">
        <v>0</v>
      </c>
      <c r="N7" s="1">
        <v>0</v>
      </c>
      <c r="O7" s="1" t="s">
        <v>43</v>
      </c>
      <c r="P7" s="1" t="s">
        <v>43</v>
      </c>
      <c r="Q7" s="1" t="s">
        <v>12</v>
      </c>
      <c r="R7" s="1">
        <v>2</v>
      </c>
      <c r="S7" s="1" t="s">
        <v>12</v>
      </c>
      <c r="T7" s="6" t="s">
        <v>629</v>
      </c>
      <c r="U7" s="6" t="s">
        <v>232</v>
      </c>
      <c r="V7">
        <v>1</v>
      </c>
      <c r="W7">
        <v>0</v>
      </c>
      <c r="X7">
        <v>0</v>
      </c>
      <c r="Y7">
        <v>0</v>
      </c>
      <c r="Z7">
        <v>0</v>
      </c>
      <c r="AA7">
        <v>0.25</v>
      </c>
      <c r="AB7" t="s">
        <v>216</v>
      </c>
      <c r="AC7" s="10">
        <v>15</v>
      </c>
      <c r="AD7" s="7">
        <v>6</v>
      </c>
      <c r="AE7" s="7">
        <f t="shared" ref="AE7" si="1">AA7*AC7</f>
        <v>3.75</v>
      </c>
      <c r="AF7" s="7" t="s">
        <v>216</v>
      </c>
      <c r="AG7" s="7">
        <v>0.1</v>
      </c>
      <c r="AH7" t="s">
        <v>211</v>
      </c>
      <c r="AI7" s="10">
        <v>0.25</v>
      </c>
      <c r="AJ7">
        <f>AE7</f>
        <v>3.75</v>
      </c>
      <c r="AK7" s="1" t="s">
        <v>33</v>
      </c>
      <c r="AL7" s="1" t="s">
        <v>555</v>
      </c>
      <c r="AM7" s="1" t="s">
        <v>555</v>
      </c>
      <c r="AN7" s="1">
        <v>1</v>
      </c>
      <c r="AO7" s="1">
        <v>1</v>
      </c>
      <c r="AP7" s="1" t="s">
        <v>632</v>
      </c>
      <c r="AQ7" s="6">
        <f t="shared" si="0"/>
        <v>1</v>
      </c>
      <c r="AR7" s="1" t="s">
        <v>647</v>
      </c>
    </row>
    <row r="8" spans="1:45">
      <c r="A8" s="20">
        <v>7</v>
      </c>
      <c r="B8" t="s">
        <v>4</v>
      </c>
      <c r="C8" t="s">
        <v>93</v>
      </c>
      <c r="D8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>
        <v>0</v>
      </c>
      <c r="M8">
        <v>0</v>
      </c>
      <c r="N8" s="1">
        <v>0</v>
      </c>
      <c r="O8" s="1" t="s">
        <v>43</v>
      </c>
      <c r="P8" s="1" t="s">
        <v>43</v>
      </c>
      <c r="Q8" s="1" t="s">
        <v>688</v>
      </c>
      <c r="R8" s="1">
        <v>3</v>
      </c>
      <c r="S8" s="1" t="s">
        <v>218</v>
      </c>
      <c r="T8" s="6" t="s">
        <v>814</v>
      </c>
      <c r="U8" s="6" t="s">
        <v>231</v>
      </c>
      <c r="V8">
        <v>1</v>
      </c>
      <c r="W8">
        <v>0</v>
      </c>
      <c r="X8">
        <v>0</v>
      </c>
      <c r="Y8">
        <v>0</v>
      </c>
      <c r="Z8">
        <v>0</v>
      </c>
      <c r="AA8">
        <v>0.09</v>
      </c>
      <c r="AB8" t="s">
        <v>216</v>
      </c>
      <c r="AC8" s="10">
        <v>12</v>
      </c>
      <c r="AD8" s="11">
        <v>3</v>
      </c>
      <c r="AE8" s="7">
        <f>AA8*AC8</f>
        <v>1.08</v>
      </c>
      <c r="AF8" s="7" t="s">
        <v>216</v>
      </c>
      <c r="AG8" s="11">
        <v>0.1</v>
      </c>
      <c r="AH8" t="s">
        <v>211</v>
      </c>
      <c r="AI8" s="10">
        <v>0.09</v>
      </c>
      <c r="AJ8">
        <f>AE8</f>
        <v>1.08</v>
      </c>
      <c r="AK8" s="1" t="s">
        <v>33</v>
      </c>
      <c r="AL8" s="1" t="s">
        <v>554</v>
      </c>
      <c r="AM8" s="1" t="s">
        <v>582</v>
      </c>
      <c r="AN8" s="1">
        <f>1/AI8</f>
        <v>11.111111111111111</v>
      </c>
      <c r="AO8" s="1">
        <f>1/AJ8</f>
        <v>0.92592592592592582</v>
      </c>
      <c r="AP8" s="1" t="s">
        <v>631</v>
      </c>
      <c r="AQ8" s="6">
        <f t="shared" si="0"/>
        <v>1</v>
      </c>
    </row>
    <row r="9" spans="1:45">
      <c r="A9" s="20">
        <v>8</v>
      </c>
      <c r="B9" t="s">
        <v>4</v>
      </c>
      <c r="C9" t="s">
        <v>94</v>
      </c>
      <c r="D9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1</v>
      </c>
      <c r="L9">
        <v>0</v>
      </c>
      <c r="M9">
        <v>0</v>
      </c>
      <c r="N9" s="1">
        <v>0</v>
      </c>
      <c r="O9" s="1" t="s">
        <v>43</v>
      </c>
      <c r="P9" s="1" t="s">
        <v>43</v>
      </c>
      <c r="Q9" s="1" t="s">
        <v>687</v>
      </c>
      <c r="R9" s="1">
        <v>2</v>
      </c>
      <c r="S9" s="1" t="s">
        <v>218</v>
      </c>
      <c r="T9" s="6" t="s">
        <v>814</v>
      </c>
      <c r="U9" s="6" t="s">
        <v>231</v>
      </c>
      <c r="V9">
        <v>1</v>
      </c>
      <c r="W9">
        <v>0</v>
      </c>
      <c r="X9">
        <v>0</v>
      </c>
      <c r="Y9">
        <v>0</v>
      </c>
      <c r="Z9">
        <v>0</v>
      </c>
      <c r="AA9">
        <v>0.09</v>
      </c>
      <c r="AB9" t="s">
        <v>216</v>
      </c>
      <c r="AC9" s="10">
        <v>12</v>
      </c>
      <c r="AD9" s="11">
        <v>3</v>
      </c>
      <c r="AE9" s="7">
        <f>AA9*AC9</f>
        <v>1.08</v>
      </c>
      <c r="AF9" s="7" t="s">
        <v>216</v>
      </c>
      <c r="AG9" s="11">
        <v>0.1</v>
      </c>
      <c r="AH9" t="s">
        <v>211</v>
      </c>
      <c r="AI9" s="10">
        <v>0.09</v>
      </c>
      <c r="AJ9">
        <f>AE9</f>
        <v>1.08</v>
      </c>
      <c r="AK9" s="1" t="s">
        <v>33</v>
      </c>
      <c r="AL9" s="1" t="s">
        <v>555</v>
      </c>
      <c r="AM9" s="1" t="s">
        <v>555</v>
      </c>
      <c r="AN9" s="1">
        <v>1</v>
      </c>
      <c r="AO9" s="1">
        <v>1</v>
      </c>
      <c r="AP9" s="1" t="s">
        <v>632</v>
      </c>
      <c r="AQ9" s="6">
        <f t="shared" si="0"/>
        <v>1</v>
      </c>
      <c r="AR9" s="1" t="s">
        <v>816</v>
      </c>
    </row>
    <row r="10" spans="1:45">
      <c r="A10" s="20">
        <v>9</v>
      </c>
      <c r="B10" t="s">
        <v>4</v>
      </c>
      <c r="C10" t="s">
        <v>95</v>
      </c>
      <c r="D10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>
        <v>0</v>
      </c>
      <c r="M10">
        <v>0</v>
      </c>
      <c r="N10" s="1">
        <v>0</v>
      </c>
      <c r="O10" s="1" t="s">
        <v>43</v>
      </c>
      <c r="P10" s="1" t="s">
        <v>43</v>
      </c>
      <c r="Q10" s="1" t="s">
        <v>688</v>
      </c>
      <c r="R10" s="1">
        <v>3</v>
      </c>
      <c r="S10" s="1" t="s">
        <v>218</v>
      </c>
      <c r="T10" s="6" t="s">
        <v>815</v>
      </c>
      <c r="U10" s="6" t="s">
        <v>232</v>
      </c>
      <c r="V10">
        <v>1</v>
      </c>
      <c r="W10">
        <v>0</v>
      </c>
      <c r="X10">
        <v>0</v>
      </c>
      <c r="Y10">
        <v>0</v>
      </c>
      <c r="Z10">
        <v>0</v>
      </c>
      <c r="AA10">
        <v>5</v>
      </c>
      <c r="AB10" t="s">
        <v>216</v>
      </c>
      <c r="AC10" s="10">
        <v>3</v>
      </c>
      <c r="AD10" s="11">
        <v>3</v>
      </c>
      <c r="AE10" s="7">
        <f t="shared" ref="AE10" si="2">AA10*AC10</f>
        <v>15</v>
      </c>
      <c r="AF10" s="7" t="s">
        <v>216</v>
      </c>
      <c r="AG10" s="11">
        <v>0.1</v>
      </c>
      <c r="AH10" t="s">
        <v>211</v>
      </c>
      <c r="AI10" s="10">
        <v>5</v>
      </c>
      <c r="AJ10">
        <v>30</v>
      </c>
      <c r="AK10" s="1" t="s">
        <v>33</v>
      </c>
      <c r="AL10" s="1" t="s">
        <v>554</v>
      </c>
      <c r="AM10" s="1" t="s">
        <v>582</v>
      </c>
      <c r="AN10" s="1">
        <f>1/AI10</f>
        <v>0.2</v>
      </c>
      <c r="AO10" s="1">
        <f>1/AJ10</f>
        <v>3.3333333333333333E-2</v>
      </c>
      <c r="AP10" s="1" t="s">
        <v>631</v>
      </c>
      <c r="AQ10" s="6">
        <f t="shared" si="0"/>
        <v>1</v>
      </c>
    </row>
    <row r="11" spans="1:45">
      <c r="A11" s="20">
        <v>10</v>
      </c>
      <c r="B11" t="s">
        <v>5</v>
      </c>
      <c r="C11" t="s">
        <v>5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>
        <v>0</v>
      </c>
      <c r="M11">
        <v>0</v>
      </c>
      <c r="N11" s="1">
        <v>0</v>
      </c>
      <c r="O11" s="1" t="s">
        <v>43</v>
      </c>
      <c r="P11" s="1" t="s">
        <v>43</v>
      </c>
      <c r="Q11" s="1" t="s">
        <v>686</v>
      </c>
      <c r="R11" s="1">
        <v>2</v>
      </c>
      <c r="S11" s="1" t="s">
        <v>16</v>
      </c>
      <c r="T11" s="6" t="s">
        <v>219</v>
      </c>
      <c r="U11" s="6" t="s">
        <v>232</v>
      </c>
      <c r="V11">
        <v>0</v>
      </c>
      <c r="W11">
        <v>0</v>
      </c>
      <c r="X11">
        <v>0</v>
      </c>
      <c r="Y11">
        <v>1</v>
      </c>
      <c r="Z11">
        <v>0</v>
      </c>
      <c r="AA11">
        <v>0.1</v>
      </c>
      <c r="AB11" t="s">
        <v>216</v>
      </c>
      <c r="AC11" s="10">
        <v>5</v>
      </c>
      <c r="AD11" s="11">
        <v>1</v>
      </c>
      <c r="AE11">
        <f>AA11*AC11</f>
        <v>0.5</v>
      </c>
      <c r="AF11" t="s">
        <v>216</v>
      </c>
      <c r="AG11" s="11">
        <v>0.1</v>
      </c>
      <c r="AH11" t="s">
        <v>211</v>
      </c>
      <c r="AI11" s="10" t="s">
        <v>43</v>
      </c>
      <c r="AJ11" s="21">
        <f>AE11</f>
        <v>0.5</v>
      </c>
      <c r="AK11" s="1" t="s">
        <v>33</v>
      </c>
      <c r="AL11" s="1" t="s">
        <v>554</v>
      </c>
      <c r="AM11" s="1" t="s">
        <v>589</v>
      </c>
      <c r="AN11" s="1" t="s">
        <v>43</v>
      </c>
      <c r="AO11" s="1">
        <v>1</v>
      </c>
      <c r="AP11" s="1" t="s">
        <v>631</v>
      </c>
      <c r="AQ11" s="6">
        <f t="shared" si="0"/>
        <v>1</v>
      </c>
    </row>
    <row r="12" spans="1:45">
      <c r="A12" s="20">
        <v>11</v>
      </c>
      <c r="B12" t="s">
        <v>96</v>
      </c>
      <c r="C12" t="s">
        <v>96</v>
      </c>
      <c r="D12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>
        <v>0</v>
      </c>
      <c r="M12">
        <v>0</v>
      </c>
      <c r="N12" s="1">
        <v>0</v>
      </c>
      <c r="O12" s="1" t="s">
        <v>43</v>
      </c>
      <c r="P12" s="1" t="s">
        <v>43</v>
      </c>
      <c r="Q12" s="1" t="s">
        <v>15</v>
      </c>
      <c r="R12" s="1">
        <v>3</v>
      </c>
      <c r="S12" s="1" t="s">
        <v>15</v>
      </c>
      <c r="T12" s="7" t="s">
        <v>220</v>
      </c>
      <c r="U12" s="12" t="s">
        <v>232</v>
      </c>
      <c r="V12">
        <v>1</v>
      </c>
      <c r="W12">
        <v>0</v>
      </c>
      <c r="X12">
        <v>0</v>
      </c>
      <c r="Y12">
        <v>0</v>
      </c>
      <c r="Z12">
        <v>0</v>
      </c>
      <c r="AA12">
        <f>PI()*(7.5)^2</f>
        <v>176.71458676442586</v>
      </c>
      <c r="AB12" t="s">
        <v>216</v>
      </c>
      <c r="AC12" s="10">
        <v>1</v>
      </c>
      <c r="AD12" s="11">
        <v>2</v>
      </c>
      <c r="AE12">
        <f>AA12*AC12</f>
        <v>176.71458676442586</v>
      </c>
      <c r="AF12" t="s">
        <v>216</v>
      </c>
      <c r="AG12">
        <v>0.1</v>
      </c>
      <c r="AH12" t="s">
        <v>211</v>
      </c>
      <c r="AI12" s="10" t="s">
        <v>43</v>
      </c>
      <c r="AJ12" s="21">
        <f>AE12</f>
        <v>176.71458676442586</v>
      </c>
      <c r="AK12" s="1" t="s">
        <v>33</v>
      </c>
      <c r="AL12" s="1" t="s">
        <v>554</v>
      </c>
      <c r="AM12" s="1" t="s">
        <v>582</v>
      </c>
      <c r="AN12" s="1" t="s">
        <v>43</v>
      </c>
      <c r="AO12" s="1">
        <f>1/AJ12</f>
        <v>5.6588424210451682E-3</v>
      </c>
      <c r="AP12" s="1" t="s">
        <v>631</v>
      </c>
      <c r="AQ12" s="6">
        <f t="shared" si="0"/>
        <v>1</v>
      </c>
      <c r="AR12">
        <f>15.5/1000</f>
        <v>1.55E-2</v>
      </c>
      <c r="AS12" t="s">
        <v>796</v>
      </c>
    </row>
    <row r="13" spans="1:45">
      <c r="A13" s="20">
        <v>12</v>
      </c>
      <c r="B13" t="s">
        <v>87</v>
      </c>
      <c r="C13" t="s">
        <v>87</v>
      </c>
      <c r="D13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>
        <v>0</v>
      </c>
      <c r="M13">
        <v>0</v>
      </c>
      <c r="N13" s="1">
        <v>0</v>
      </c>
      <c r="O13" s="1" t="s">
        <v>43</v>
      </c>
      <c r="P13" s="1" t="s">
        <v>43</v>
      </c>
      <c r="Q13" s="1" t="s">
        <v>15</v>
      </c>
      <c r="R13" s="1">
        <v>3</v>
      </c>
      <c r="S13" s="1" t="s">
        <v>15</v>
      </c>
      <c r="T13" s="6" t="s">
        <v>222</v>
      </c>
      <c r="U13" s="6" t="s">
        <v>232</v>
      </c>
      <c r="V13">
        <v>1</v>
      </c>
      <c r="W13">
        <v>0</v>
      </c>
      <c r="X13">
        <v>0</v>
      </c>
      <c r="Y13">
        <v>0</v>
      </c>
      <c r="Z13">
        <v>0</v>
      </c>
      <c r="AA13">
        <f>25*5</f>
        <v>125</v>
      </c>
      <c r="AB13" t="s">
        <v>216</v>
      </c>
      <c r="AC13" s="10">
        <v>1</v>
      </c>
      <c r="AD13" s="11">
        <v>22</v>
      </c>
      <c r="AE13">
        <f>AA13*AD13</f>
        <v>2750</v>
      </c>
      <c r="AF13" t="s">
        <v>216</v>
      </c>
      <c r="AG13" s="11">
        <v>1</v>
      </c>
      <c r="AH13" t="s">
        <v>211</v>
      </c>
      <c r="AI13" s="10" t="s">
        <v>43</v>
      </c>
      <c r="AJ13" s="21">
        <f>AA13</f>
        <v>125</v>
      </c>
      <c r="AK13" s="1" t="s">
        <v>33</v>
      </c>
      <c r="AL13" s="1" t="s">
        <v>553</v>
      </c>
      <c r="AM13" s="1" t="s">
        <v>581</v>
      </c>
      <c r="AN13" s="6" t="s">
        <v>43</v>
      </c>
      <c r="AO13" s="6">
        <v>0.1</v>
      </c>
      <c r="AP13" s="6" t="s">
        <v>637</v>
      </c>
      <c r="AQ13" s="6">
        <f t="shared" si="0"/>
        <v>1</v>
      </c>
      <c r="AR13" s="6" t="s">
        <v>636</v>
      </c>
    </row>
    <row r="14" spans="1:45">
      <c r="A14" s="20">
        <v>13</v>
      </c>
      <c r="B14" t="s">
        <v>6</v>
      </c>
      <c r="C14" t="s">
        <v>97</v>
      </c>
      <c r="D14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1</v>
      </c>
      <c r="L14">
        <v>0</v>
      </c>
      <c r="M14">
        <v>0</v>
      </c>
      <c r="N14" s="1">
        <v>0</v>
      </c>
      <c r="O14" s="1" t="s">
        <v>43</v>
      </c>
      <c r="P14" s="1" t="s">
        <v>43</v>
      </c>
      <c r="Q14" s="1" t="s">
        <v>687</v>
      </c>
      <c r="R14" s="1">
        <v>2</v>
      </c>
      <c r="S14" s="1" t="s">
        <v>218</v>
      </c>
      <c r="T14" s="6" t="s">
        <v>223</v>
      </c>
      <c r="U14" s="6" t="s">
        <v>232</v>
      </c>
      <c r="V14">
        <v>0</v>
      </c>
      <c r="W14">
        <v>0</v>
      </c>
      <c r="X14">
        <v>0</v>
      </c>
      <c r="Y14">
        <v>1</v>
      </c>
      <c r="Z14">
        <v>0</v>
      </c>
      <c r="AA14">
        <f>0.5*PI()*(0.12/2)^2</f>
        <v>5.6548667764616273E-3</v>
      </c>
      <c r="AB14" t="s">
        <v>221</v>
      </c>
      <c r="AC14" s="10">
        <v>10</v>
      </c>
      <c r="AD14" s="11">
        <v>1</v>
      </c>
      <c r="AE14" s="11">
        <f>AA14*AC14</f>
        <v>5.654866776461627E-2</v>
      </c>
      <c r="AF14" s="11" t="s">
        <v>221</v>
      </c>
      <c r="AG14" s="11">
        <v>0.1</v>
      </c>
      <c r="AH14" t="s">
        <v>211</v>
      </c>
      <c r="AI14" s="10">
        <f>PI()*(0.12/2)^2</f>
        <v>1.1309733552923255E-2</v>
      </c>
      <c r="AJ14" s="21" t="s">
        <v>43</v>
      </c>
      <c r="AK14" s="1" t="s">
        <v>33</v>
      </c>
      <c r="AL14" s="1" t="s">
        <v>554</v>
      </c>
      <c r="AM14" s="1" t="s">
        <v>43</v>
      </c>
      <c r="AN14" s="1" t="s">
        <v>43</v>
      </c>
      <c r="AO14" s="1" t="s">
        <v>43</v>
      </c>
      <c r="AP14" s="1" t="s">
        <v>43</v>
      </c>
      <c r="AQ14" s="6">
        <f t="shared" si="0"/>
        <v>0</v>
      </c>
    </row>
    <row r="15" spans="1:45">
      <c r="A15" s="20">
        <v>14</v>
      </c>
      <c r="B15" t="s">
        <v>6</v>
      </c>
      <c r="C15" t="s">
        <v>98</v>
      </c>
      <c r="D15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  <c r="L15">
        <v>0</v>
      </c>
      <c r="M15">
        <v>0</v>
      </c>
      <c r="N15" s="1">
        <v>0</v>
      </c>
      <c r="O15" s="1" t="s">
        <v>43</v>
      </c>
      <c r="P15" s="1" t="s">
        <v>43</v>
      </c>
      <c r="Q15" s="1" t="s">
        <v>688</v>
      </c>
      <c r="R15" s="1">
        <v>3</v>
      </c>
      <c r="S15" s="1" t="s">
        <v>218</v>
      </c>
      <c r="T15" s="6" t="s">
        <v>224</v>
      </c>
      <c r="U15" s="6" t="s">
        <v>232</v>
      </c>
      <c r="V15">
        <v>0</v>
      </c>
      <c r="W15">
        <v>1</v>
      </c>
      <c r="X15">
        <v>0</v>
      </c>
      <c r="Y15">
        <v>0</v>
      </c>
      <c r="Z15">
        <v>0</v>
      </c>
      <c r="AA15">
        <f>5*0.52</f>
        <v>2.6</v>
      </c>
      <c r="AB15" t="s">
        <v>216</v>
      </c>
      <c r="AC15" s="10">
        <v>10</v>
      </c>
      <c r="AD15" s="11">
        <v>1</v>
      </c>
      <c r="AE15" s="11">
        <f>AA15*AC15</f>
        <v>26</v>
      </c>
      <c r="AF15" s="11" t="s">
        <v>216</v>
      </c>
      <c r="AG15" s="11">
        <v>0.1</v>
      </c>
      <c r="AH15" t="s">
        <v>211</v>
      </c>
      <c r="AI15" s="10">
        <f>5*0.52</f>
        <v>2.6</v>
      </c>
      <c r="AJ15" s="21" t="s">
        <v>43</v>
      </c>
      <c r="AK15" s="1" t="s">
        <v>33</v>
      </c>
      <c r="AL15" s="1" t="s">
        <v>554</v>
      </c>
      <c r="AM15" s="1" t="s">
        <v>43</v>
      </c>
      <c r="AN15" s="1" t="s">
        <v>43</v>
      </c>
      <c r="AO15" s="1" t="s">
        <v>43</v>
      </c>
      <c r="AP15" s="1" t="s">
        <v>43</v>
      </c>
      <c r="AQ15" s="6">
        <f t="shared" si="0"/>
        <v>0</v>
      </c>
      <c r="AR15" t="s">
        <v>225</v>
      </c>
    </row>
    <row r="16" spans="1:45">
      <c r="A16" s="20">
        <v>15</v>
      </c>
      <c r="B16" t="s">
        <v>7</v>
      </c>
      <c r="C16" t="s">
        <v>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>
        <v>0</v>
      </c>
      <c r="M16">
        <v>0</v>
      </c>
      <c r="N16" s="1">
        <v>1</v>
      </c>
      <c r="O16" s="1">
        <v>100</v>
      </c>
      <c r="P16" s="1" t="s">
        <v>102</v>
      </c>
      <c r="Q16" s="1" t="s">
        <v>78</v>
      </c>
      <c r="R16" s="1">
        <v>2</v>
      </c>
      <c r="S16" s="1" t="s">
        <v>78</v>
      </c>
      <c r="T16" s="6" t="s">
        <v>234</v>
      </c>
      <c r="U16" s="12" t="s">
        <v>232</v>
      </c>
      <c r="V16">
        <v>0</v>
      </c>
      <c r="W16">
        <v>1</v>
      </c>
      <c r="X16">
        <v>0</v>
      </c>
      <c r="Y16">
        <v>0</v>
      </c>
      <c r="Z16">
        <v>0</v>
      </c>
      <c r="AA16">
        <f>PI()*(0.3^2)</f>
        <v>0.28274333882308139</v>
      </c>
      <c r="AB16" t="s">
        <v>43</v>
      </c>
      <c r="AC16" s="10">
        <v>1</v>
      </c>
      <c r="AD16" s="11">
        <v>8</v>
      </c>
      <c r="AE16">
        <f>PI()*(0.3^2)</f>
        <v>0.28274333882308139</v>
      </c>
      <c r="AF16" s="11" t="s">
        <v>216</v>
      </c>
      <c r="AG16" s="11">
        <v>0.1</v>
      </c>
      <c r="AH16" t="s">
        <v>211</v>
      </c>
      <c r="AI16" s="10" t="s">
        <v>43</v>
      </c>
      <c r="AJ16">
        <f>PI()*(0.3^2)</f>
        <v>0.28274333882308139</v>
      </c>
      <c r="AK16" s="1" t="s">
        <v>33</v>
      </c>
      <c r="AL16" s="1" t="s">
        <v>554</v>
      </c>
      <c r="AM16" s="1" t="s">
        <v>605</v>
      </c>
      <c r="AN16" s="1" t="s">
        <v>43</v>
      </c>
      <c r="AO16" s="1">
        <v>1</v>
      </c>
      <c r="AP16" s="1" t="s">
        <v>635</v>
      </c>
      <c r="AQ16" s="6">
        <f t="shared" si="0"/>
        <v>1</v>
      </c>
      <c r="AR16" t="s">
        <v>226</v>
      </c>
    </row>
    <row r="17" spans="1:45">
      <c r="A17" s="20">
        <v>16</v>
      </c>
      <c r="B17" t="s">
        <v>8</v>
      </c>
      <c r="C17" t="s">
        <v>8</v>
      </c>
      <c r="D17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>
        <v>0</v>
      </c>
      <c r="M17">
        <v>0</v>
      </c>
      <c r="N17" s="1">
        <v>0</v>
      </c>
      <c r="O17" s="1" t="s">
        <v>43</v>
      </c>
      <c r="P17" s="1" t="s">
        <v>43</v>
      </c>
      <c r="Q17" s="1" t="s">
        <v>15</v>
      </c>
      <c r="R17" s="1">
        <v>3</v>
      </c>
      <c r="S17" s="1" t="s">
        <v>15</v>
      </c>
      <c r="T17" s="6" t="s">
        <v>233</v>
      </c>
      <c r="U17" s="6" t="s">
        <v>232</v>
      </c>
      <c r="V17">
        <v>1</v>
      </c>
      <c r="W17">
        <v>0</v>
      </c>
      <c r="X17">
        <v>0</v>
      </c>
      <c r="Y17">
        <v>0</v>
      </c>
      <c r="Z17">
        <v>0</v>
      </c>
      <c r="AA17">
        <v>2000</v>
      </c>
      <c r="AB17" t="s">
        <v>216</v>
      </c>
      <c r="AC17" s="10">
        <v>1</v>
      </c>
      <c r="AD17" s="10">
        <v>37</v>
      </c>
      <c r="AE17">
        <v>2000</v>
      </c>
      <c r="AF17" t="s">
        <v>216</v>
      </c>
      <c r="AG17" s="10">
        <v>0.1</v>
      </c>
      <c r="AH17" t="s">
        <v>211</v>
      </c>
      <c r="AI17" s="10" t="s">
        <v>43</v>
      </c>
      <c r="AJ17">
        <v>2000</v>
      </c>
      <c r="AK17" s="1" t="s">
        <v>33</v>
      </c>
      <c r="AL17" s="1" t="s">
        <v>554</v>
      </c>
      <c r="AM17" s="1" t="s">
        <v>43</v>
      </c>
      <c r="AN17" s="1" t="s">
        <v>43</v>
      </c>
      <c r="AO17" s="1" t="s">
        <v>43</v>
      </c>
      <c r="AP17" s="1" t="s">
        <v>43</v>
      </c>
      <c r="AQ17" s="6">
        <f t="shared" si="0"/>
        <v>0</v>
      </c>
    </row>
    <row r="18" spans="1:45">
      <c r="A18" s="20">
        <v>22</v>
      </c>
      <c r="B18" t="s">
        <v>10</v>
      </c>
      <c r="C18" t="s">
        <v>100</v>
      </c>
      <c r="D18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>
        <v>0</v>
      </c>
      <c r="M18">
        <v>0</v>
      </c>
      <c r="N18" s="1">
        <v>0</v>
      </c>
      <c r="O18" s="1" t="s">
        <v>43</v>
      </c>
      <c r="P18" s="1" t="s">
        <v>43</v>
      </c>
      <c r="Q18" s="1" t="s">
        <v>14</v>
      </c>
      <c r="R18" s="1">
        <v>1</v>
      </c>
      <c r="S18" s="1" t="s">
        <v>14</v>
      </c>
      <c r="T18" s="6" t="s">
        <v>240</v>
      </c>
      <c r="U18" s="6" t="s">
        <v>232</v>
      </c>
      <c r="V18">
        <v>0</v>
      </c>
      <c r="W18">
        <v>1</v>
      </c>
      <c r="X18">
        <v>0</v>
      </c>
      <c r="Y18">
        <v>0</v>
      </c>
      <c r="Z18">
        <v>0</v>
      </c>
      <c r="AA18">
        <v>6.25E-2</v>
      </c>
      <c r="AB18" t="s">
        <v>216</v>
      </c>
      <c r="AC18" s="10">
        <v>5</v>
      </c>
      <c r="AD18" s="10">
        <v>4</v>
      </c>
      <c r="AE18" s="10">
        <f t="shared" ref="AE18:AE24" si="3">AA18*AC18</f>
        <v>0.3125</v>
      </c>
      <c r="AF18" s="10" t="s">
        <v>216</v>
      </c>
      <c r="AG18" s="10">
        <v>0.1</v>
      </c>
      <c r="AH18" t="s">
        <v>211</v>
      </c>
      <c r="AI18" s="10">
        <v>6.25E-2</v>
      </c>
      <c r="AJ18" s="21" t="s">
        <v>43</v>
      </c>
      <c r="AK18" s="1" t="s">
        <v>33</v>
      </c>
      <c r="AL18" s="1" t="s">
        <v>553</v>
      </c>
      <c r="AM18" s="1" t="s">
        <v>43</v>
      </c>
      <c r="AN18" s="1" t="s">
        <v>43</v>
      </c>
      <c r="AO18" s="1" t="s">
        <v>43</v>
      </c>
      <c r="AP18" s="1" t="s">
        <v>43</v>
      </c>
      <c r="AQ18" s="6">
        <f t="shared" si="0"/>
        <v>0</v>
      </c>
    </row>
    <row r="19" spans="1:45">
      <c r="A19" s="20">
        <v>23</v>
      </c>
      <c r="B19" t="s">
        <v>10</v>
      </c>
      <c r="C19" t="s">
        <v>101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>
        <v>0</v>
      </c>
      <c r="M19">
        <v>0</v>
      </c>
      <c r="N19" s="1">
        <v>0</v>
      </c>
      <c r="O19" s="1" t="s">
        <v>43</v>
      </c>
      <c r="P19" s="1" t="s">
        <v>43</v>
      </c>
      <c r="Q19" s="1" t="s">
        <v>686</v>
      </c>
      <c r="R19" s="1">
        <v>2</v>
      </c>
      <c r="S19" s="1" t="s">
        <v>16</v>
      </c>
      <c r="T19" s="6" t="s">
        <v>240</v>
      </c>
      <c r="U19" s="6" t="s">
        <v>232</v>
      </c>
      <c r="V19">
        <v>0</v>
      </c>
      <c r="W19">
        <v>1</v>
      </c>
      <c r="X19">
        <v>0</v>
      </c>
      <c r="Y19">
        <v>0</v>
      </c>
      <c r="Z19">
        <v>0</v>
      </c>
      <c r="AA19">
        <v>6.25E-2</v>
      </c>
      <c r="AB19" t="s">
        <v>216</v>
      </c>
      <c r="AC19" s="10">
        <v>5</v>
      </c>
      <c r="AD19" s="10">
        <v>4</v>
      </c>
      <c r="AE19" s="10">
        <f t="shared" si="3"/>
        <v>0.3125</v>
      </c>
      <c r="AF19" s="10" t="s">
        <v>216</v>
      </c>
      <c r="AG19" s="10">
        <v>0.1</v>
      </c>
      <c r="AH19" t="s">
        <v>211</v>
      </c>
      <c r="AI19" s="10">
        <v>6.25E-2</v>
      </c>
      <c r="AJ19" s="21" t="s">
        <v>43</v>
      </c>
      <c r="AK19" s="1" t="s">
        <v>33</v>
      </c>
      <c r="AL19" s="1" t="s">
        <v>553</v>
      </c>
      <c r="AM19" s="1" t="s">
        <v>43</v>
      </c>
      <c r="AN19" s="1" t="s">
        <v>43</v>
      </c>
      <c r="AO19" s="1" t="s">
        <v>43</v>
      </c>
      <c r="AP19" s="1" t="s">
        <v>43</v>
      </c>
      <c r="AQ19" s="6">
        <f t="shared" si="0"/>
        <v>0</v>
      </c>
    </row>
    <row r="20" spans="1:45">
      <c r="A20" s="20">
        <v>24</v>
      </c>
      <c r="B20" t="s">
        <v>89</v>
      </c>
      <c r="C20" t="s">
        <v>89</v>
      </c>
      <c r="D20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>
        <v>0</v>
      </c>
      <c r="M20">
        <v>0</v>
      </c>
      <c r="N20" s="1">
        <v>0</v>
      </c>
      <c r="O20" s="1" t="s">
        <v>43</v>
      </c>
      <c r="P20" s="1" t="s">
        <v>43</v>
      </c>
      <c r="Q20" s="1" t="s">
        <v>15</v>
      </c>
      <c r="R20" s="1">
        <v>3</v>
      </c>
      <c r="S20" s="1" t="s">
        <v>15</v>
      </c>
      <c r="T20" s="6" t="s">
        <v>625</v>
      </c>
      <c r="U20" s="6" t="s">
        <v>232</v>
      </c>
      <c r="V20">
        <v>0</v>
      </c>
      <c r="W20">
        <v>0</v>
      </c>
      <c r="X20">
        <v>0</v>
      </c>
      <c r="Y20">
        <v>0</v>
      </c>
      <c r="Z20">
        <v>1</v>
      </c>
      <c r="AA20" s="7">
        <f>0.5 * PI() * (0.55)^2</f>
        <v>0.4751658888554563</v>
      </c>
      <c r="AB20" s="7" t="s">
        <v>216</v>
      </c>
      <c r="AC20" s="11">
        <v>6</v>
      </c>
      <c r="AD20" s="10">
        <v>2</v>
      </c>
      <c r="AE20" s="10">
        <f t="shared" si="3"/>
        <v>2.8509953331327376</v>
      </c>
      <c r="AF20" s="10" t="s">
        <v>216</v>
      </c>
      <c r="AG20" s="7">
        <v>10</v>
      </c>
      <c r="AH20" s="7" t="s">
        <v>211</v>
      </c>
      <c r="AI20" s="11">
        <f>AA20</f>
        <v>0.4751658888554563</v>
      </c>
      <c r="AJ20" s="24">
        <f>AA20*6</f>
        <v>2.8509953331327376</v>
      </c>
      <c r="AK20" s="1" t="s">
        <v>33</v>
      </c>
      <c r="AL20" s="1" t="s">
        <v>554</v>
      </c>
      <c r="AM20" s="1" t="s">
        <v>43</v>
      </c>
      <c r="AN20" s="1" t="s">
        <v>43</v>
      </c>
      <c r="AO20" s="1" t="s">
        <v>43</v>
      </c>
      <c r="AP20" s="1" t="s">
        <v>43</v>
      </c>
      <c r="AQ20" s="6">
        <f t="shared" si="0"/>
        <v>0</v>
      </c>
      <c r="AR20" s="7">
        <v>7</v>
      </c>
      <c r="AS20" s="7" t="s">
        <v>797</v>
      </c>
    </row>
    <row r="21" spans="1:45">
      <c r="A21" s="20">
        <v>25</v>
      </c>
      <c r="B21" t="s">
        <v>90</v>
      </c>
      <c r="C21" t="s">
        <v>90</v>
      </c>
      <c r="D2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>
        <v>0</v>
      </c>
      <c r="M21">
        <v>0</v>
      </c>
      <c r="N21" s="1">
        <v>0</v>
      </c>
      <c r="O21" s="1" t="s">
        <v>43</v>
      </c>
      <c r="P21" s="1" t="s">
        <v>43</v>
      </c>
      <c r="Q21" s="1" t="s">
        <v>15</v>
      </c>
      <c r="R21" s="1">
        <v>3</v>
      </c>
      <c r="S21" s="1" t="s">
        <v>15</v>
      </c>
      <c r="T21" s="6" t="s">
        <v>626</v>
      </c>
      <c r="U21" s="6" t="s">
        <v>232</v>
      </c>
      <c r="V21">
        <v>0</v>
      </c>
      <c r="W21">
        <v>1</v>
      </c>
      <c r="X21">
        <v>0</v>
      </c>
      <c r="Y21">
        <v>0</v>
      </c>
      <c r="Z21">
        <v>0</v>
      </c>
      <c r="AA21" s="7">
        <f>5*1*1200</f>
        <v>6000</v>
      </c>
      <c r="AB21" s="7" t="s">
        <v>221</v>
      </c>
      <c r="AC21" s="10">
        <v>5</v>
      </c>
      <c r="AD21" s="11">
        <v>2</v>
      </c>
      <c r="AE21" s="11">
        <f>AA21*AC21</f>
        <v>30000</v>
      </c>
      <c r="AF21" s="7" t="s">
        <v>221</v>
      </c>
      <c r="AG21" s="7">
        <v>1</v>
      </c>
      <c r="AH21" s="7" t="s">
        <v>211</v>
      </c>
      <c r="AI21" s="11" t="s">
        <v>43</v>
      </c>
      <c r="AJ21" s="24">
        <f>AE21</f>
        <v>30000</v>
      </c>
      <c r="AK21" s="1" t="s">
        <v>33</v>
      </c>
      <c r="AL21" s="1" t="s">
        <v>554</v>
      </c>
      <c r="AM21" s="1" t="s">
        <v>43</v>
      </c>
      <c r="AN21" s="1" t="s">
        <v>43</v>
      </c>
      <c r="AO21" s="1" t="s">
        <v>43</v>
      </c>
      <c r="AP21" s="1" t="s">
        <v>43</v>
      </c>
      <c r="AQ21" s="6">
        <f t="shared" si="0"/>
        <v>0</v>
      </c>
    </row>
    <row r="22" spans="1:45">
      <c r="A22" s="20">
        <v>26</v>
      </c>
      <c r="B22" t="s">
        <v>88</v>
      </c>
      <c r="C22" t="s">
        <v>88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1</v>
      </c>
      <c r="L22">
        <v>0</v>
      </c>
      <c r="M22">
        <v>0</v>
      </c>
      <c r="N22" s="1">
        <v>0</v>
      </c>
      <c r="O22" s="1" t="s">
        <v>43</v>
      </c>
      <c r="P22" s="1" t="s">
        <v>43</v>
      </c>
      <c r="Q22" s="1" t="s">
        <v>686</v>
      </c>
      <c r="R22" s="1">
        <v>2</v>
      </c>
      <c r="S22" s="1" t="s">
        <v>16</v>
      </c>
      <c r="T22" s="6" t="s">
        <v>651</v>
      </c>
      <c r="U22" s="6" t="s">
        <v>232</v>
      </c>
      <c r="V22">
        <v>0</v>
      </c>
      <c r="W22">
        <v>0</v>
      </c>
      <c r="X22">
        <v>0</v>
      </c>
      <c r="Y22">
        <v>1</v>
      </c>
      <c r="Z22">
        <v>0</v>
      </c>
      <c r="AA22" s="7">
        <v>0.1</v>
      </c>
      <c r="AB22" s="7" t="s">
        <v>216</v>
      </c>
      <c r="AC22" s="11">
        <v>5</v>
      </c>
      <c r="AD22" s="11">
        <v>4</v>
      </c>
      <c r="AE22" s="11">
        <f t="shared" si="3"/>
        <v>0.5</v>
      </c>
      <c r="AF22" s="11" t="s">
        <v>216</v>
      </c>
      <c r="AG22" s="7">
        <v>10</v>
      </c>
      <c r="AH22" s="7" t="s">
        <v>211</v>
      </c>
      <c r="AI22" s="11">
        <v>0.1</v>
      </c>
      <c r="AJ22" s="24">
        <v>0.5</v>
      </c>
      <c r="AK22" s="1" t="s">
        <v>33</v>
      </c>
      <c r="AL22" s="1" t="s">
        <v>554</v>
      </c>
      <c r="AM22" s="1" t="s">
        <v>583</v>
      </c>
      <c r="AN22" s="6">
        <v>1</v>
      </c>
      <c r="AO22" s="6" t="s">
        <v>43</v>
      </c>
      <c r="AP22" s="1" t="s">
        <v>631</v>
      </c>
      <c r="AQ22" s="6">
        <f t="shared" si="0"/>
        <v>1</v>
      </c>
    </row>
    <row r="23" spans="1:45">
      <c r="A23" s="20">
        <v>27</v>
      </c>
      <c r="B23" t="s">
        <v>260</v>
      </c>
      <c r="C23" t="s">
        <v>260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43</v>
      </c>
      <c r="P23" t="s">
        <v>43</v>
      </c>
      <c r="Q23" t="s">
        <v>15</v>
      </c>
      <c r="R23" s="1">
        <v>3</v>
      </c>
      <c r="S23" s="1" t="s">
        <v>15</v>
      </c>
      <c r="T23" s="6" t="s">
        <v>266</v>
      </c>
      <c r="U23" s="6" t="s">
        <v>232</v>
      </c>
      <c r="V23">
        <v>1</v>
      </c>
      <c r="W23">
        <v>0</v>
      </c>
      <c r="X23">
        <v>0</v>
      </c>
      <c r="Y23">
        <v>0</v>
      </c>
      <c r="Z23">
        <v>0</v>
      </c>
      <c r="AA23">
        <v>500</v>
      </c>
      <c r="AB23" s="7" t="s">
        <v>216</v>
      </c>
      <c r="AC23" s="11">
        <v>4</v>
      </c>
      <c r="AD23" s="11">
        <v>4</v>
      </c>
      <c r="AE23" s="10">
        <f t="shared" si="3"/>
        <v>2000</v>
      </c>
      <c r="AF23" s="10" t="s">
        <v>216</v>
      </c>
      <c r="AG23" s="7">
        <v>1</v>
      </c>
      <c r="AH23" s="7" t="s">
        <v>211</v>
      </c>
      <c r="AI23" s="10" t="s">
        <v>43</v>
      </c>
      <c r="AJ23" s="21">
        <f>AC23*AA23</f>
        <v>2000</v>
      </c>
      <c r="AK23" s="1" t="s">
        <v>33</v>
      </c>
      <c r="AL23" s="1" t="s">
        <v>554</v>
      </c>
      <c r="AM23" s="1" t="s">
        <v>43</v>
      </c>
      <c r="AN23" s="1" t="s">
        <v>43</v>
      </c>
      <c r="AO23" s="1" t="s">
        <v>43</v>
      </c>
      <c r="AP23" s="1" t="s">
        <v>43</v>
      </c>
      <c r="AQ23" s="6">
        <f t="shared" si="0"/>
        <v>0</v>
      </c>
    </row>
    <row r="24" spans="1:45">
      <c r="A24" s="20">
        <v>28</v>
      </c>
      <c r="B24" t="s">
        <v>273</v>
      </c>
      <c r="C24" t="s">
        <v>273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 t="s">
        <v>43</v>
      </c>
      <c r="P24" s="1" t="s">
        <v>43</v>
      </c>
      <c r="Q24" s="1" t="s">
        <v>277</v>
      </c>
      <c r="R24" s="1">
        <v>2</v>
      </c>
      <c r="S24" s="1" t="s">
        <v>277</v>
      </c>
      <c r="T24" s="6" t="s">
        <v>587</v>
      </c>
      <c r="U24" s="6" t="s">
        <v>232</v>
      </c>
      <c r="V24">
        <v>1</v>
      </c>
      <c r="W24">
        <v>0</v>
      </c>
      <c r="X24">
        <v>0</v>
      </c>
      <c r="Y24">
        <v>0</v>
      </c>
      <c r="Z24">
        <v>0</v>
      </c>
      <c r="AA24">
        <v>4</v>
      </c>
      <c r="AB24" s="7" t="s">
        <v>216</v>
      </c>
      <c r="AC24" s="11">
        <v>18</v>
      </c>
      <c r="AD24" s="11">
        <v>1</v>
      </c>
      <c r="AE24" s="10">
        <f t="shared" si="3"/>
        <v>72</v>
      </c>
      <c r="AF24" s="10" t="s">
        <v>216</v>
      </c>
      <c r="AG24" s="7">
        <v>0.1</v>
      </c>
      <c r="AH24" s="7" t="s">
        <v>211</v>
      </c>
      <c r="AI24" s="10">
        <v>4</v>
      </c>
      <c r="AJ24" s="21" t="s">
        <v>43</v>
      </c>
      <c r="AK24" s="1" t="s">
        <v>33</v>
      </c>
      <c r="AL24" s="1" t="s">
        <v>554</v>
      </c>
      <c r="AM24" s="1" t="s">
        <v>589</v>
      </c>
      <c r="AN24" s="1">
        <v>1</v>
      </c>
      <c r="AO24" s="1" t="s">
        <v>43</v>
      </c>
      <c r="AP24" s="1" t="s">
        <v>631</v>
      </c>
      <c r="AQ24" s="6">
        <f t="shared" si="0"/>
        <v>1</v>
      </c>
    </row>
    <row r="25" spans="1:45">
      <c r="A25" s="20">
        <v>29</v>
      </c>
      <c r="B25" t="s">
        <v>279</v>
      </c>
      <c r="C25" t="s">
        <v>279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 t="s">
        <v>43</v>
      </c>
      <c r="P25" s="1" t="s">
        <v>43</v>
      </c>
      <c r="Q25" s="1" t="s">
        <v>284</v>
      </c>
      <c r="R25" s="1">
        <v>2</v>
      </c>
      <c r="S25" s="1" t="s">
        <v>285</v>
      </c>
      <c r="T25" s="6" t="s">
        <v>286</v>
      </c>
      <c r="U25" s="6" t="s">
        <v>232</v>
      </c>
      <c r="V25" s="7">
        <v>0</v>
      </c>
      <c r="W25" s="7">
        <v>0</v>
      </c>
      <c r="X25" s="7">
        <v>0</v>
      </c>
      <c r="Y25" s="7">
        <v>1</v>
      </c>
      <c r="Z25" s="7">
        <v>0</v>
      </c>
      <c r="AA25" s="7">
        <v>25</v>
      </c>
      <c r="AB25" s="7" t="s">
        <v>287</v>
      </c>
      <c r="AC25" s="17" t="s">
        <v>288</v>
      </c>
      <c r="AD25" s="11">
        <v>2</v>
      </c>
      <c r="AE25" s="11">
        <f>0.05*9</f>
        <v>0.45</v>
      </c>
      <c r="AF25" s="11" t="s">
        <v>216</v>
      </c>
      <c r="AG25" s="7">
        <v>0.1</v>
      </c>
      <c r="AH25" s="7" t="s">
        <v>211</v>
      </c>
      <c r="AI25" s="10">
        <f>0.05^2</f>
        <v>2.5000000000000005E-3</v>
      </c>
      <c r="AJ25" s="11">
        <f>AI25*9</f>
        <v>2.2500000000000006E-2</v>
      </c>
      <c r="AK25" s="1" t="s">
        <v>33</v>
      </c>
      <c r="AL25" s="1" t="s">
        <v>554</v>
      </c>
      <c r="AM25" s="1" t="s">
        <v>588</v>
      </c>
      <c r="AN25" s="1">
        <f>1/AI25</f>
        <v>399.99999999999994</v>
      </c>
      <c r="AO25" s="1">
        <f>1/AI25</f>
        <v>399.99999999999994</v>
      </c>
      <c r="AP25" s="1" t="s">
        <v>631</v>
      </c>
      <c r="AQ25" s="6">
        <f t="shared" si="0"/>
        <v>1</v>
      </c>
      <c r="AR25" t="s">
        <v>613</v>
      </c>
    </row>
    <row r="26" spans="1:45">
      <c r="A26" s="20">
        <v>30</v>
      </c>
      <c r="B26" t="s">
        <v>292</v>
      </c>
      <c r="C26" t="s">
        <v>296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43</v>
      </c>
      <c r="P26" t="s">
        <v>43</v>
      </c>
      <c r="Q26" s="1" t="s">
        <v>298</v>
      </c>
      <c r="R26" s="1">
        <v>2</v>
      </c>
      <c r="S26" s="1" t="s">
        <v>298</v>
      </c>
      <c r="T26" s="6" t="s">
        <v>300</v>
      </c>
      <c r="U26" s="6" t="s">
        <v>232</v>
      </c>
      <c r="V26" s="7">
        <v>0</v>
      </c>
      <c r="W26" s="7">
        <v>0</v>
      </c>
      <c r="X26" s="7">
        <v>0</v>
      </c>
      <c r="Y26" s="7">
        <v>1</v>
      </c>
      <c r="Z26" s="7">
        <v>0</v>
      </c>
      <c r="AA26" s="7">
        <f>25.5/4</f>
        <v>6.375</v>
      </c>
      <c r="AB26" s="7" t="s">
        <v>302</v>
      </c>
      <c r="AC26" s="11" t="s">
        <v>303</v>
      </c>
      <c r="AD26" s="11">
        <v>1</v>
      </c>
      <c r="AE26" s="7">
        <f>AA26</f>
        <v>6.375</v>
      </c>
      <c r="AF26" s="7" t="s">
        <v>302</v>
      </c>
      <c r="AG26" s="11">
        <v>10</v>
      </c>
      <c r="AH26" s="7" t="s">
        <v>211</v>
      </c>
      <c r="AI26" s="10" t="s">
        <v>43</v>
      </c>
      <c r="AJ26" s="7">
        <f>AE26/1000</f>
        <v>6.3749999999999996E-3</v>
      </c>
      <c r="AK26" s="1" t="s">
        <v>33</v>
      </c>
      <c r="AL26" s="1" t="s">
        <v>554</v>
      </c>
      <c r="AM26" s="1" t="s">
        <v>582</v>
      </c>
      <c r="AN26" s="1" t="s">
        <v>43</v>
      </c>
      <c r="AO26" s="1">
        <f>1/AJ26</f>
        <v>156.86274509803923</v>
      </c>
      <c r="AP26" s="1" t="s">
        <v>631</v>
      </c>
      <c r="AQ26" s="6">
        <f t="shared" si="0"/>
        <v>1</v>
      </c>
      <c r="AR26" t="s">
        <v>613</v>
      </c>
    </row>
    <row r="27" spans="1:45">
      <c r="A27" s="20">
        <v>31</v>
      </c>
      <c r="B27" t="s">
        <v>292</v>
      </c>
      <c r="C27" t="s">
        <v>297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43</v>
      </c>
      <c r="P27" t="s">
        <v>43</v>
      </c>
      <c r="Q27" s="1" t="s">
        <v>298</v>
      </c>
      <c r="R27" s="1">
        <v>2</v>
      </c>
      <c r="S27" s="1" t="s">
        <v>298</v>
      </c>
      <c r="T27" s="6" t="s">
        <v>301</v>
      </c>
      <c r="U27" s="6" t="s">
        <v>232</v>
      </c>
      <c r="V27" s="7">
        <v>0</v>
      </c>
      <c r="W27" s="7">
        <v>0</v>
      </c>
      <c r="X27" s="7">
        <v>0</v>
      </c>
      <c r="Y27" s="7">
        <v>1</v>
      </c>
      <c r="Z27" s="7">
        <v>0</v>
      </c>
      <c r="AA27" s="7">
        <v>25.5</v>
      </c>
      <c r="AB27" s="7" t="s">
        <v>302</v>
      </c>
      <c r="AC27" s="11" t="s">
        <v>304</v>
      </c>
      <c r="AD27" s="11">
        <v>1</v>
      </c>
      <c r="AE27" s="7">
        <v>25.5</v>
      </c>
      <c r="AF27" s="7" t="s">
        <v>302</v>
      </c>
      <c r="AG27" s="11">
        <v>10</v>
      </c>
      <c r="AH27" s="7" t="s">
        <v>211</v>
      </c>
      <c r="AI27" s="10" t="s">
        <v>43</v>
      </c>
      <c r="AJ27" s="7">
        <f>AE27/1000</f>
        <v>2.5499999999999998E-2</v>
      </c>
      <c r="AK27" s="1" t="s">
        <v>33</v>
      </c>
      <c r="AL27" s="1" t="s">
        <v>554</v>
      </c>
      <c r="AM27" s="1" t="s">
        <v>582</v>
      </c>
      <c r="AN27" s="1" t="s">
        <v>43</v>
      </c>
      <c r="AO27" s="1">
        <f>1/AJ27</f>
        <v>39.215686274509807</v>
      </c>
      <c r="AP27" s="1" t="s">
        <v>631</v>
      </c>
      <c r="AQ27" s="6">
        <f t="shared" si="0"/>
        <v>1</v>
      </c>
      <c r="AR27" t="s">
        <v>613</v>
      </c>
    </row>
    <row r="28" spans="1:45">
      <c r="A28" s="20">
        <v>32</v>
      </c>
      <c r="B28" t="s">
        <v>306</v>
      </c>
      <c r="C28" t="s">
        <v>306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15</v>
      </c>
      <c r="P28" s="1" t="s">
        <v>310</v>
      </c>
      <c r="Q28" s="1" t="s">
        <v>15</v>
      </c>
      <c r="R28" s="1">
        <v>3</v>
      </c>
      <c r="S28" s="1" t="s">
        <v>15</v>
      </c>
      <c r="T28" s="6" t="s">
        <v>311</v>
      </c>
      <c r="U28" s="6" t="s">
        <v>232</v>
      </c>
      <c r="V28" s="7">
        <v>0</v>
      </c>
      <c r="W28" s="7">
        <v>1</v>
      </c>
      <c r="X28" s="7">
        <v>0</v>
      </c>
      <c r="Y28" s="7">
        <v>0</v>
      </c>
      <c r="Z28" s="7">
        <v>0</v>
      </c>
      <c r="AA28" s="7">
        <f>800 * 2</f>
        <v>1600</v>
      </c>
      <c r="AB28" s="7" t="s">
        <v>216</v>
      </c>
      <c r="AC28" s="11">
        <v>30</v>
      </c>
      <c r="AD28" s="11">
        <v>1</v>
      </c>
      <c r="AE28" s="11">
        <f t="shared" ref="AE28:AE32" si="4">AA28*AC28</f>
        <v>48000</v>
      </c>
      <c r="AF28" s="11" t="s">
        <v>216</v>
      </c>
      <c r="AG28" s="11">
        <v>10</v>
      </c>
      <c r="AH28" s="7" t="s">
        <v>211</v>
      </c>
      <c r="AI28" s="10" t="s">
        <v>43</v>
      </c>
      <c r="AJ28" s="11">
        <f>AA28*AC28</f>
        <v>48000</v>
      </c>
      <c r="AK28" s="1" t="s">
        <v>33</v>
      </c>
      <c r="AL28" s="1" t="s">
        <v>554</v>
      </c>
      <c r="AM28" s="1" t="s">
        <v>582</v>
      </c>
      <c r="AN28" s="1" t="s">
        <v>43</v>
      </c>
      <c r="AO28" s="1">
        <f>1/AA28</f>
        <v>6.2500000000000001E-4</v>
      </c>
      <c r="AP28" s="1" t="s">
        <v>631</v>
      </c>
      <c r="AQ28" s="6">
        <f t="shared" si="0"/>
        <v>1</v>
      </c>
    </row>
    <row r="29" spans="1:45">
      <c r="A29" s="20">
        <v>33</v>
      </c>
      <c r="B29" t="s">
        <v>313</v>
      </c>
      <c r="C29" t="s">
        <v>313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 s="1" t="s">
        <v>43</v>
      </c>
      <c r="P29" s="1" t="s">
        <v>43</v>
      </c>
      <c r="Q29" s="1" t="s">
        <v>686</v>
      </c>
      <c r="R29" s="1">
        <v>2</v>
      </c>
      <c r="S29" s="1" t="s">
        <v>16</v>
      </c>
      <c r="T29" s="6" t="s">
        <v>591</v>
      </c>
      <c r="U29" s="6" t="s">
        <v>232</v>
      </c>
      <c r="V29" s="7">
        <v>0</v>
      </c>
      <c r="W29" s="7">
        <v>0</v>
      </c>
      <c r="X29" s="7">
        <v>0</v>
      </c>
      <c r="Y29" s="7">
        <v>1</v>
      </c>
      <c r="Z29" s="7">
        <v>0</v>
      </c>
      <c r="AA29" s="7">
        <v>0.1</v>
      </c>
      <c r="AB29" s="7" t="s">
        <v>216</v>
      </c>
      <c r="AC29" s="11">
        <v>3</v>
      </c>
      <c r="AD29" s="11">
        <v>5</v>
      </c>
      <c r="AE29" s="11">
        <f t="shared" si="4"/>
        <v>0.30000000000000004</v>
      </c>
      <c r="AF29" s="11" t="s">
        <v>216</v>
      </c>
      <c r="AG29" s="11">
        <v>0.1</v>
      </c>
      <c r="AH29" s="7" t="s">
        <v>211</v>
      </c>
      <c r="AI29" s="10" t="s">
        <v>43</v>
      </c>
      <c r="AJ29">
        <v>0.3</v>
      </c>
      <c r="AK29" s="1" t="s">
        <v>33</v>
      </c>
      <c r="AL29" s="1" t="s">
        <v>554</v>
      </c>
      <c r="AM29" s="1" t="s">
        <v>590</v>
      </c>
      <c r="AN29" s="1" t="s">
        <v>43</v>
      </c>
      <c r="AO29" s="1">
        <f>1/AA29</f>
        <v>10</v>
      </c>
      <c r="AP29" s="1" t="s">
        <v>631</v>
      </c>
      <c r="AQ29" s="6">
        <f t="shared" si="0"/>
        <v>1</v>
      </c>
    </row>
    <row r="30" spans="1:45">
      <c r="A30" s="20">
        <v>34</v>
      </c>
      <c r="B30" t="s">
        <v>324</v>
      </c>
      <c r="C30" t="s">
        <v>324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 t="s">
        <v>43</v>
      </c>
      <c r="P30" s="1" t="s">
        <v>43</v>
      </c>
      <c r="Q30" s="1" t="s">
        <v>15</v>
      </c>
      <c r="R30" s="1">
        <v>3</v>
      </c>
      <c r="S30" s="1" t="s">
        <v>15</v>
      </c>
      <c r="T30" s="6" t="s">
        <v>328</v>
      </c>
      <c r="U30" s="6" t="s">
        <v>232</v>
      </c>
      <c r="V30" s="7">
        <v>1</v>
      </c>
      <c r="W30" s="7">
        <v>0</v>
      </c>
      <c r="X30" s="7">
        <v>0</v>
      </c>
      <c r="Y30" s="7">
        <v>0</v>
      </c>
      <c r="Z30" s="7">
        <v>0</v>
      </c>
      <c r="AA30" s="7">
        <f>PI()*25*5</f>
        <v>392.69908169872417</v>
      </c>
      <c r="AB30" s="7" t="s">
        <v>221</v>
      </c>
      <c r="AC30" s="11">
        <v>8</v>
      </c>
      <c r="AD30" s="11">
        <v>2</v>
      </c>
      <c r="AE30" s="11">
        <f t="shared" si="4"/>
        <v>3141.5926535897934</v>
      </c>
      <c r="AF30" s="11" t="s">
        <v>221</v>
      </c>
      <c r="AG30" s="11">
        <v>10</v>
      </c>
      <c r="AH30" s="7" t="s">
        <v>211</v>
      </c>
      <c r="AI30" s="11">
        <f>PI()*25</f>
        <v>78.539816339744831</v>
      </c>
      <c r="AJ30" s="11" t="s">
        <v>43</v>
      </c>
      <c r="AK30" s="1" t="s">
        <v>33</v>
      </c>
      <c r="AL30" s="1" t="s">
        <v>553</v>
      </c>
      <c r="AM30" s="1" t="s">
        <v>592</v>
      </c>
      <c r="AN30" s="1">
        <f>1/AA30</f>
        <v>2.5464790894703252E-3</v>
      </c>
      <c r="AO30" s="1" t="s">
        <v>43</v>
      </c>
      <c r="AP30" s="1" t="s">
        <v>635</v>
      </c>
      <c r="AQ30" s="6">
        <f t="shared" si="0"/>
        <v>1</v>
      </c>
    </row>
    <row r="31" spans="1:45">
      <c r="A31" s="20">
        <v>35</v>
      </c>
      <c r="B31" s="1" t="s">
        <v>331</v>
      </c>
      <c r="C31" s="1" t="s">
        <v>331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43</v>
      </c>
      <c r="P31" t="s">
        <v>43</v>
      </c>
      <c r="Q31" t="s">
        <v>336</v>
      </c>
      <c r="R31" s="1">
        <v>1</v>
      </c>
      <c r="S31" s="1" t="s">
        <v>336</v>
      </c>
      <c r="T31" s="6" t="s">
        <v>337</v>
      </c>
      <c r="U31" s="6" t="s">
        <v>231</v>
      </c>
      <c r="V31" s="7">
        <v>1</v>
      </c>
      <c r="W31" s="7">
        <v>0</v>
      </c>
      <c r="X31" s="7">
        <v>0</v>
      </c>
      <c r="Y31" s="7">
        <v>0</v>
      </c>
      <c r="Z31" s="7">
        <v>0</v>
      </c>
      <c r="AA31" s="7">
        <v>0.25</v>
      </c>
      <c r="AB31" s="7" t="s">
        <v>216</v>
      </c>
      <c r="AC31" s="11">
        <v>20</v>
      </c>
      <c r="AD31" s="11">
        <v>2</v>
      </c>
      <c r="AE31" s="11">
        <f t="shared" si="4"/>
        <v>5</v>
      </c>
      <c r="AF31" s="11" t="s">
        <v>216</v>
      </c>
      <c r="AG31" s="11">
        <v>0.1</v>
      </c>
      <c r="AH31" s="7" t="s">
        <v>211</v>
      </c>
      <c r="AI31" s="10" t="s">
        <v>43</v>
      </c>
      <c r="AJ31">
        <v>5</v>
      </c>
      <c r="AK31" s="1" t="s">
        <v>33</v>
      </c>
      <c r="AL31" s="1" t="s">
        <v>555</v>
      </c>
      <c r="AM31" s="1" t="s">
        <v>555</v>
      </c>
      <c r="AN31" s="1">
        <v>1</v>
      </c>
      <c r="AO31" s="1">
        <v>1</v>
      </c>
      <c r="AP31" s="1" t="s">
        <v>632</v>
      </c>
      <c r="AQ31" s="6">
        <f t="shared" si="0"/>
        <v>1</v>
      </c>
    </row>
    <row r="32" spans="1:45">
      <c r="A32" s="20">
        <v>36</v>
      </c>
      <c r="B32" s="1" t="s">
        <v>342</v>
      </c>
      <c r="C32" s="1" t="s">
        <v>342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0</v>
      </c>
      <c r="O32" t="s">
        <v>43</v>
      </c>
      <c r="P32" t="s">
        <v>43</v>
      </c>
      <c r="Q32" s="1" t="s">
        <v>686</v>
      </c>
      <c r="R32" s="1">
        <v>2</v>
      </c>
      <c r="S32" s="1" t="s">
        <v>16</v>
      </c>
      <c r="T32" s="6" t="s">
        <v>345</v>
      </c>
      <c r="U32" s="6" t="s">
        <v>232</v>
      </c>
      <c r="V32" s="7">
        <v>0</v>
      </c>
      <c r="W32" s="7">
        <v>0</v>
      </c>
      <c r="X32" s="7">
        <v>0</v>
      </c>
      <c r="Y32" s="7">
        <v>1</v>
      </c>
      <c r="Z32" s="7">
        <v>0</v>
      </c>
      <c r="AA32">
        <f>1/40</f>
        <v>2.5000000000000001E-2</v>
      </c>
      <c r="AB32" s="7" t="s">
        <v>216</v>
      </c>
      <c r="AC32" s="11">
        <v>3</v>
      </c>
      <c r="AD32" s="11">
        <v>1</v>
      </c>
      <c r="AE32" s="11">
        <f t="shared" si="4"/>
        <v>7.5000000000000011E-2</v>
      </c>
      <c r="AF32" s="11" t="str">
        <f>AB32</f>
        <v>m2</v>
      </c>
      <c r="AG32" s="11">
        <v>0.1</v>
      </c>
      <c r="AH32" s="7" t="s">
        <v>211</v>
      </c>
      <c r="AI32" s="10" t="s">
        <v>43</v>
      </c>
      <c r="AJ32">
        <v>7.5000000000000011E-2</v>
      </c>
      <c r="AK32" s="1" t="s">
        <v>33</v>
      </c>
      <c r="AL32" s="1" t="s">
        <v>554</v>
      </c>
      <c r="AM32" s="1" t="s">
        <v>589</v>
      </c>
      <c r="AN32" s="1" t="s">
        <v>43</v>
      </c>
      <c r="AO32" s="1">
        <v>1</v>
      </c>
      <c r="AP32" s="1" t="s">
        <v>631</v>
      </c>
      <c r="AQ32" s="6">
        <f t="shared" si="0"/>
        <v>1</v>
      </c>
    </row>
    <row r="33" spans="1:46">
      <c r="A33" s="20">
        <v>37</v>
      </c>
      <c r="B33" s="1" t="s">
        <v>350</v>
      </c>
      <c r="C33" s="1" t="s">
        <v>350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43</v>
      </c>
      <c r="P33" t="s">
        <v>43</v>
      </c>
      <c r="Q33" t="s">
        <v>15</v>
      </c>
      <c r="R33" s="1">
        <v>3</v>
      </c>
      <c r="S33" s="1" t="s">
        <v>15</v>
      </c>
      <c r="T33" s="6" t="s">
        <v>356</v>
      </c>
      <c r="U33" s="6" t="s">
        <v>232</v>
      </c>
      <c r="V33">
        <v>0</v>
      </c>
      <c r="W33">
        <v>1</v>
      </c>
      <c r="X33">
        <v>0</v>
      </c>
      <c r="Y33">
        <v>0</v>
      </c>
      <c r="Z33">
        <v>0</v>
      </c>
      <c r="AA33">
        <v>25</v>
      </c>
      <c r="AB33" s="7" t="s">
        <v>216</v>
      </c>
      <c r="AC33" s="11">
        <v>12</v>
      </c>
      <c r="AD33" s="11">
        <v>6</v>
      </c>
      <c r="AE33" s="11">
        <f>AA33*AC33</f>
        <v>300</v>
      </c>
      <c r="AF33" s="11" t="str">
        <f>AB33</f>
        <v>m2</v>
      </c>
      <c r="AG33" s="11" t="s">
        <v>43</v>
      </c>
      <c r="AH33" s="7" t="s">
        <v>211</v>
      </c>
      <c r="AI33" s="10">
        <v>25</v>
      </c>
      <c r="AJ33" t="s">
        <v>43</v>
      </c>
      <c r="AK33" s="1" t="s">
        <v>33</v>
      </c>
      <c r="AL33" s="1" t="s">
        <v>554</v>
      </c>
      <c r="AM33" s="1" t="s">
        <v>582</v>
      </c>
      <c r="AN33" s="1">
        <f>1/AI33</f>
        <v>0.04</v>
      </c>
      <c r="AO33" s="1" t="s">
        <v>43</v>
      </c>
      <c r="AP33" s="1" t="s">
        <v>631</v>
      </c>
      <c r="AQ33" s="6">
        <f t="shared" si="0"/>
        <v>1</v>
      </c>
    </row>
    <row r="34" spans="1:46">
      <c r="A34" s="20">
        <v>38</v>
      </c>
      <c r="B34" s="1" t="s">
        <v>364</v>
      </c>
      <c r="C34" s="1" t="s">
        <v>364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3.8</v>
      </c>
      <c r="P34" t="s">
        <v>370</v>
      </c>
      <c r="Q34" t="s">
        <v>15</v>
      </c>
      <c r="R34" s="1">
        <v>3</v>
      </c>
      <c r="S34" s="1" t="s">
        <v>15</v>
      </c>
      <c r="T34" s="6" t="s">
        <v>594</v>
      </c>
      <c r="U34" s="6" t="s">
        <v>232</v>
      </c>
      <c r="V34">
        <v>0</v>
      </c>
      <c r="W34">
        <v>1</v>
      </c>
      <c r="X34">
        <v>1</v>
      </c>
      <c r="Y34">
        <v>1</v>
      </c>
      <c r="Z34">
        <v>1</v>
      </c>
      <c r="AA34" s="18">
        <v>32239</v>
      </c>
      <c r="AB34" s="7" t="s">
        <v>216</v>
      </c>
      <c r="AC34" s="11">
        <v>220</v>
      </c>
      <c r="AD34" s="11">
        <v>3</v>
      </c>
      <c r="AE34" s="11">
        <f>AA34*AC34</f>
        <v>7092580</v>
      </c>
      <c r="AF34" s="11" t="s">
        <v>216</v>
      </c>
      <c r="AG34" s="11">
        <v>1000</v>
      </c>
      <c r="AH34" s="7" t="s">
        <v>211</v>
      </c>
      <c r="AI34" s="10">
        <v>32239</v>
      </c>
      <c r="AJ34" s="21" t="s">
        <v>43</v>
      </c>
      <c r="AK34" s="1" t="s">
        <v>33</v>
      </c>
      <c r="AL34" s="1" t="s">
        <v>554</v>
      </c>
      <c r="AM34" s="1" t="s">
        <v>43</v>
      </c>
      <c r="AN34" s="1" t="s">
        <v>43</v>
      </c>
      <c r="AO34" s="1" t="s">
        <v>43</v>
      </c>
      <c r="AP34" s="1" t="s">
        <v>43</v>
      </c>
      <c r="AQ34" s="6">
        <f t="shared" si="0"/>
        <v>0</v>
      </c>
      <c r="AR34" s="11">
        <v>1900</v>
      </c>
      <c r="AS34" s="7" t="s">
        <v>211</v>
      </c>
    </row>
    <row r="35" spans="1:46">
      <c r="A35" s="20">
        <v>39</v>
      </c>
      <c r="B35" s="1" t="s">
        <v>374</v>
      </c>
      <c r="C35" s="1" t="s">
        <v>374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43</v>
      </c>
      <c r="P35" t="s">
        <v>43</v>
      </c>
      <c r="Q35" t="s">
        <v>15</v>
      </c>
      <c r="R35" s="1">
        <v>3</v>
      </c>
      <c r="S35" s="1" t="s">
        <v>15</v>
      </c>
      <c r="T35" s="6" t="s">
        <v>380</v>
      </c>
      <c r="U35" s="6" t="s">
        <v>232</v>
      </c>
      <c r="V35">
        <v>1</v>
      </c>
      <c r="W35">
        <v>0</v>
      </c>
      <c r="X35">
        <v>0</v>
      </c>
      <c r="Y35">
        <v>0</v>
      </c>
      <c r="Z35">
        <v>0</v>
      </c>
      <c r="AA35">
        <v>60</v>
      </c>
      <c r="AB35" s="7" t="s">
        <v>216</v>
      </c>
      <c r="AC35" s="11">
        <v>25</v>
      </c>
      <c r="AD35" s="11">
        <v>2</v>
      </c>
      <c r="AE35" s="11">
        <f>AA35*AC35</f>
        <v>1500</v>
      </c>
      <c r="AF35" s="11" t="s">
        <v>216</v>
      </c>
      <c r="AG35" s="11">
        <v>0.1</v>
      </c>
      <c r="AH35" s="7" t="s">
        <v>211</v>
      </c>
      <c r="AI35" s="10">
        <v>60</v>
      </c>
      <c r="AJ35">
        <v>1500</v>
      </c>
      <c r="AK35" s="1" t="s">
        <v>33</v>
      </c>
      <c r="AL35" s="1" t="s">
        <v>554</v>
      </c>
      <c r="AM35" s="1" t="s">
        <v>582</v>
      </c>
      <c r="AN35" s="1">
        <f>1/AI35</f>
        <v>1.6666666666666666E-2</v>
      </c>
      <c r="AO35" s="1">
        <f>1/AJ35</f>
        <v>6.6666666666666664E-4</v>
      </c>
      <c r="AP35" s="1" t="s">
        <v>631</v>
      </c>
      <c r="AQ35" s="6">
        <f t="shared" si="0"/>
        <v>1</v>
      </c>
    </row>
    <row r="36" spans="1:46">
      <c r="A36" s="20">
        <v>40</v>
      </c>
      <c r="B36" s="1" t="s">
        <v>384</v>
      </c>
      <c r="C36" s="1" t="s">
        <v>384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43</v>
      </c>
      <c r="P36" t="s">
        <v>43</v>
      </c>
      <c r="Q36" t="s">
        <v>15</v>
      </c>
      <c r="R36" s="1">
        <v>3</v>
      </c>
      <c r="S36" s="1" t="s">
        <v>15</v>
      </c>
      <c r="T36" s="6" t="s">
        <v>388</v>
      </c>
      <c r="U36" s="6" t="s">
        <v>232</v>
      </c>
      <c r="V36">
        <v>1</v>
      </c>
      <c r="W36">
        <v>0</v>
      </c>
      <c r="X36">
        <v>0</v>
      </c>
      <c r="Y36">
        <v>0</v>
      </c>
      <c r="Z36">
        <v>0</v>
      </c>
      <c r="AA36">
        <v>400</v>
      </c>
      <c r="AB36" s="7" t="s">
        <v>216</v>
      </c>
      <c r="AC36" s="11">
        <v>3</v>
      </c>
      <c r="AD36" s="11">
        <v>1</v>
      </c>
      <c r="AE36" s="11">
        <f>AA36*AC36</f>
        <v>1200</v>
      </c>
      <c r="AF36" s="11" t="s">
        <v>216</v>
      </c>
      <c r="AG36" s="11">
        <v>0.1</v>
      </c>
      <c r="AH36" s="7" t="s">
        <v>211</v>
      </c>
      <c r="AI36" s="10">
        <v>400</v>
      </c>
      <c r="AJ36" s="7" t="s">
        <v>43</v>
      </c>
      <c r="AK36" s="1" t="s">
        <v>33</v>
      </c>
      <c r="AL36" s="1" t="s">
        <v>554</v>
      </c>
      <c r="AM36" s="1" t="s">
        <v>582</v>
      </c>
      <c r="AN36" s="1">
        <f>1/AI36</f>
        <v>2.5000000000000001E-3</v>
      </c>
      <c r="AO36" s="1" t="s">
        <v>43</v>
      </c>
      <c r="AP36" s="1" t="s">
        <v>631</v>
      </c>
      <c r="AQ36" s="6">
        <f t="shared" si="0"/>
        <v>1</v>
      </c>
    </row>
    <row r="37" spans="1:46">
      <c r="A37" s="20">
        <v>41</v>
      </c>
      <c r="B37" s="1" t="s">
        <v>390</v>
      </c>
      <c r="C37" s="1" t="s">
        <v>390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43</v>
      </c>
      <c r="P37" t="s">
        <v>43</v>
      </c>
      <c r="Q37" t="s">
        <v>12</v>
      </c>
      <c r="R37" s="1">
        <v>2</v>
      </c>
      <c r="S37" s="1" t="s">
        <v>12</v>
      </c>
      <c r="T37" s="6" t="s">
        <v>597</v>
      </c>
      <c r="U37" s="6" t="s">
        <v>232</v>
      </c>
      <c r="V37">
        <v>1</v>
      </c>
      <c r="W37">
        <v>0</v>
      </c>
      <c r="X37">
        <v>0</v>
      </c>
      <c r="Y37">
        <v>0</v>
      </c>
      <c r="Z37">
        <v>0</v>
      </c>
      <c r="AA37">
        <v>10</v>
      </c>
      <c r="AB37" s="7" t="s">
        <v>238</v>
      </c>
      <c r="AC37" s="11">
        <v>9</v>
      </c>
      <c r="AD37" s="11">
        <v>8</v>
      </c>
      <c r="AE37" s="11">
        <f>AA37*AC37*0.05</f>
        <v>4.5</v>
      </c>
      <c r="AF37" s="11" t="s">
        <v>216</v>
      </c>
      <c r="AG37" s="11">
        <v>0.1</v>
      </c>
      <c r="AH37" s="7" t="s">
        <v>211</v>
      </c>
      <c r="AI37" s="10" t="s">
        <v>43</v>
      </c>
      <c r="AJ37">
        <v>4.5</v>
      </c>
      <c r="AK37" s="1" t="s">
        <v>33</v>
      </c>
      <c r="AL37" s="1" t="s">
        <v>555</v>
      </c>
      <c r="AM37" s="1" t="s">
        <v>555</v>
      </c>
      <c r="AN37" s="1">
        <v>1</v>
      </c>
      <c r="AO37" s="1">
        <v>1</v>
      </c>
      <c r="AP37" s="1" t="s">
        <v>632</v>
      </c>
      <c r="AQ37" s="6">
        <f t="shared" si="0"/>
        <v>1</v>
      </c>
    </row>
    <row r="38" spans="1:46">
      <c r="A38" s="20">
        <v>42</v>
      </c>
      <c r="B38" s="1" t="s">
        <v>399</v>
      </c>
      <c r="C38" s="1" t="s">
        <v>399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0</v>
      </c>
      <c r="M38">
        <v>0</v>
      </c>
      <c r="N38">
        <v>0</v>
      </c>
      <c r="O38" t="s">
        <v>43</v>
      </c>
      <c r="P38" t="s">
        <v>43</v>
      </c>
      <c r="Q38" t="s">
        <v>686</v>
      </c>
      <c r="R38" s="1">
        <v>2</v>
      </c>
      <c r="S38" s="1" t="s">
        <v>16</v>
      </c>
      <c r="T38" s="6" t="s">
        <v>403</v>
      </c>
      <c r="U38" s="6" t="s">
        <v>232</v>
      </c>
      <c r="V38">
        <v>0</v>
      </c>
      <c r="W38">
        <v>0</v>
      </c>
      <c r="X38">
        <v>0</v>
      </c>
      <c r="Y38">
        <v>1</v>
      </c>
      <c r="Z38">
        <v>0</v>
      </c>
      <c r="AA38">
        <v>125</v>
      </c>
      <c r="AB38" s="7" t="s">
        <v>287</v>
      </c>
      <c r="AC38" s="11">
        <v>2</v>
      </c>
      <c r="AD38" s="11">
        <v>90</v>
      </c>
      <c r="AE38" s="11">
        <f xml:space="preserve"> 0.25 * 2</f>
        <v>0.5</v>
      </c>
      <c r="AF38" s="11" t="s">
        <v>216</v>
      </c>
      <c r="AG38" s="11">
        <v>0.1</v>
      </c>
      <c r="AH38" s="7" t="s">
        <v>211</v>
      </c>
      <c r="AI38" s="10" t="s">
        <v>43</v>
      </c>
      <c r="AJ38">
        <f>2*0.05^2</f>
        <v>5.000000000000001E-3</v>
      </c>
      <c r="AK38" s="1" t="s">
        <v>33</v>
      </c>
      <c r="AL38" s="1" t="s">
        <v>554</v>
      </c>
      <c r="AM38" s="1" t="s">
        <v>598</v>
      </c>
      <c r="AN38" s="1" t="s">
        <v>43</v>
      </c>
      <c r="AO38" s="1">
        <f>1/(2*0.05^3)</f>
        <v>3999.9999999999991</v>
      </c>
      <c r="AP38" s="1" t="s">
        <v>635</v>
      </c>
      <c r="AQ38" s="6">
        <f t="shared" si="0"/>
        <v>1</v>
      </c>
    </row>
    <row r="39" spans="1:46">
      <c r="A39" s="20">
        <v>43</v>
      </c>
      <c r="B39" s="1" t="s">
        <v>405</v>
      </c>
      <c r="C39" s="1" t="s">
        <v>405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43</v>
      </c>
      <c r="P39" t="s">
        <v>43</v>
      </c>
      <c r="Q39" t="s">
        <v>685</v>
      </c>
      <c r="R39" s="1">
        <v>2</v>
      </c>
      <c r="S39" s="1" t="s">
        <v>15</v>
      </c>
      <c r="T39" s="6" t="s">
        <v>599</v>
      </c>
      <c r="U39" s="6" t="s">
        <v>232</v>
      </c>
      <c r="V39">
        <v>0</v>
      </c>
      <c r="W39">
        <v>0</v>
      </c>
      <c r="X39">
        <v>0</v>
      </c>
      <c r="Y39">
        <v>0</v>
      </c>
      <c r="Z39">
        <v>1</v>
      </c>
      <c r="AA39">
        <v>7.8539816339744842E-2</v>
      </c>
      <c r="AB39" s="7" t="s">
        <v>216</v>
      </c>
      <c r="AC39" s="11">
        <v>1</v>
      </c>
      <c r="AD39" s="11">
        <v>1</v>
      </c>
      <c r="AE39" s="11">
        <f>10*PI()*(0.05)^2</f>
        <v>7.8539816339744842E-2</v>
      </c>
      <c r="AF39" s="11" t="s">
        <v>216</v>
      </c>
      <c r="AG39" s="11">
        <v>0.1</v>
      </c>
      <c r="AH39" s="7" t="s">
        <v>211</v>
      </c>
      <c r="AI39" s="10" t="s">
        <v>43</v>
      </c>
      <c r="AJ39">
        <v>7.8539816339744842E-2</v>
      </c>
      <c r="AK39" s="1" t="s">
        <v>33</v>
      </c>
      <c r="AL39" s="1" t="s">
        <v>554</v>
      </c>
      <c r="AM39" s="1" t="s">
        <v>582</v>
      </c>
      <c r="AN39" s="1" t="s">
        <v>43</v>
      </c>
      <c r="AO39" s="1">
        <f>10/0.001</f>
        <v>10000</v>
      </c>
      <c r="AP39" s="1" t="s">
        <v>635</v>
      </c>
      <c r="AQ39" s="6">
        <f t="shared" si="0"/>
        <v>1</v>
      </c>
    </row>
    <row r="40" spans="1:46">
      <c r="A40" s="20">
        <v>44</v>
      </c>
      <c r="B40" s="1" t="s">
        <v>410</v>
      </c>
      <c r="C40" s="1" t="s">
        <v>410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43</v>
      </c>
      <c r="P40" t="s">
        <v>43</v>
      </c>
      <c r="Q40" t="s">
        <v>15</v>
      </c>
      <c r="R40">
        <v>3</v>
      </c>
      <c r="S40" s="1" t="s">
        <v>15</v>
      </c>
      <c r="T40" s="6" t="s">
        <v>601</v>
      </c>
      <c r="U40" s="6" t="s">
        <v>232</v>
      </c>
      <c r="V40">
        <v>1</v>
      </c>
      <c r="W40">
        <v>0</v>
      </c>
      <c r="X40">
        <v>0</v>
      </c>
      <c r="Y40">
        <v>0</v>
      </c>
      <c r="Z40">
        <v>0</v>
      </c>
      <c r="AA40">
        <f>PI()*25*5</f>
        <v>392.69908169872417</v>
      </c>
      <c r="AB40" s="7" t="s">
        <v>221</v>
      </c>
      <c r="AC40" s="11">
        <v>6</v>
      </c>
      <c r="AD40" s="11">
        <v>4</v>
      </c>
      <c r="AE40" s="11">
        <f>PI()*25*AA40</f>
        <v>30842.513753404248</v>
      </c>
      <c r="AF40" s="11" t="s">
        <v>216</v>
      </c>
      <c r="AG40" s="11">
        <v>0.1</v>
      </c>
      <c r="AH40" s="7" t="s">
        <v>211</v>
      </c>
      <c r="AI40" s="10">
        <f>25*PI()</f>
        <v>78.539816339744831</v>
      </c>
      <c r="AJ40" t="s">
        <v>43</v>
      </c>
      <c r="AK40" s="1" t="s">
        <v>33</v>
      </c>
      <c r="AL40" s="1" t="s">
        <v>554</v>
      </c>
      <c r="AM40" s="1" t="s">
        <v>582</v>
      </c>
      <c r="AN40" s="1">
        <f>1/AA40</f>
        <v>2.5464790894703252E-3</v>
      </c>
      <c r="AO40" s="1" t="s">
        <v>43</v>
      </c>
      <c r="AP40" s="1" t="s">
        <v>635</v>
      </c>
      <c r="AQ40" s="6">
        <f t="shared" si="0"/>
        <v>1</v>
      </c>
    </row>
    <row r="41" spans="1:46">
      <c r="A41" s="20">
        <v>45</v>
      </c>
      <c r="B41" s="1" t="s">
        <v>416</v>
      </c>
      <c r="C41" s="1" t="s">
        <v>416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</v>
      </c>
      <c r="P41" t="s">
        <v>310</v>
      </c>
      <c r="Q41" t="s">
        <v>15</v>
      </c>
      <c r="R41" s="1">
        <v>3</v>
      </c>
      <c r="S41" s="1" t="s">
        <v>15</v>
      </c>
      <c r="T41" t="s">
        <v>420</v>
      </c>
      <c r="U41" s="6" t="s">
        <v>232</v>
      </c>
      <c r="V41">
        <v>0</v>
      </c>
      <c r="W41">
        <v>1</v>
      </c>
      <c r="X41">
        <v>0</v>
      </c>
      <c r="Y41">
        <v>0</v>
      </c>
      <c r="Z41">
        <v>0</v>
      </c>
      <c r="AA41">
        <v>50</v>
      </c>
      <c r="AB41" s="7" t="s">
        <v>216</v>
      </c>
      <c r="AC41" s="11">
        <v>3</v>
      </c>
      <c r="AD41" s="11">
        <v>5</v>
      </c>
      <c r="AE41" s="11">
        <v>150</v>
      </c>
      <c r="AF41" s="11" t="s">
        <v>216</v>
      </c>
      <c r="AG41" s="11">
        <v>0.1</v>
      </c>
      <c r="AH41" s="7" t="s">
        <v>211</v>
      </c>
      <c r="AI41" s="10" t="s">
        <v>43</v>
      </c>
      <c r="AJ41">
        <v>150</v>
      </c>
      <c r="AK41" s="1" t="s">
        <v>33</v>
      </c>
      <c r="AL41" s="1" t="s">
        <v>554</v>
      </c>
      <c r="AM41" s="1" t="s">
        <v>43</v>
      </c>
      <c r="AN41" s="1" t="s">
        <v>43</v>
      </c>
      <c r="AO41" s="1" t="s">
        <v>43</v>
      </c>
      <c r="AP41" s="1" t="s">
        <v>43</v>
      </c>
      <c r="AQ41" s="6">
        <f t="shared" si="0"/>
        <v>0</v>
      </c>
    </row>
    <row r="42" spans="1:46">
      <c r="A42" s="20">
        <v>46</v>
      </c>
      <c r="B42" s="1" t="s">
        <v>426</v>
      </c>
      <c r="C42" s="1" t="s">
        <v>426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18</v>
      </c>
      <c r="P42" t="s">
        <v>310</v>
      </c>
      <c r="Q42" s="1" t="s">
        <v>15</v>
      </c>
      <c r="R42" s="1">
        <v>3</v>
      </c>
      <c r="S42" s="1" t="s">
        <v>15</v>
      </c>
      <c r="T42" s="6" t="s">
        <v>431</v>
      </c>
      <c r="U42" s="6" t="s">
        <v>232</v>
      </c>
      <c r="V42">
        <v>0</v>
      </c>
      <c r="W42">
        <v>1</v>
      </c>
      <c r="X42">
        <v>0</v>
      </c>
      <c r="Y42">
        <v>0</v>
      </c>
      <c r="Z42">
        <v>0</v>
      </c>
      <c r="AA42">
        <v>4.29</v>
      </c>
      <c r="AB42" s="7" t="s">
        <v>238</v>
      </c>
      <c r="AC42" s="11">
        <v>30</v>
      </c>
      <c r="AD42" s="11">
        <v>2</v>
      </c>
      <c r="AE42" s="11">
        <f>AC42*AA42</f>
        <v>128.69999999999999</v>
      </c>
      <c r="AF42" s="11" t="s">
        <v>216</v>
      </c>
      <c r="AG42" s="11">
        <v>0.1</v>
      </c>
      <c r="AH42" s="7" t="s">
        <v>211</v>
      </c>
      <c r="AI42" s="10" t="s">
        <v>43</v>
      </c>
      <c r="AJ42">
        <v>128.69999999999999</v>
      </c>
      <c r="AK42" s="1" t="s">
        <v>33</v>
      </c>
      <c r="AL42" s="1" t="s">
        <v>554</v>
      </c>
      <c r="AM42" s="1" t="s">
        <v>43</v>
      </c>
      <c r="AN42" s="1" t="s">
        <v>43</v>
      </c>
      <c r="AO42" s="1" t="s">
        <v>43</v>
      </c>
      <c r="AP42" s="1" t="s">
        <v>43</v>
      </c>
      <c r="AQ42" s="6">
        <f t="shared" si="0"/>
        <v>0</v>
      </c>
    </row>
    <row r="43" spans="1:46">
      <c r="A43" s="20">
        <v>47</v>
      </c>
      <c r="B43" s="1" t="s">
        <v>434</v>
      </c>
      <c r="C43" s="1" t="s">
        <v>434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 t="s">
        <v>43</v>
      </c>
      <c r="P43" t="s">
        <v>43</v>
      </c>
      <c r="Q43" s="1" t="s">
        <v>438</v>
      </c>
      <c r="R43" s="1">
        <v>2</v>
      </c>
      <c r="S43" s="1" t="s">
        <v>16</v>
      </c>
      <c r="T43" s="6" t="s">
        <v>439</v>
      </c>
      <c r="U43" s="6" t="s">
        <v>232</v>
      </c>
      <c r="V43">
        <v>0</v>
      </c>
      <c r="W43">
        <v>0</v>
      </c>
      <c r="X43">
        <v>0</v>
      </c>
      <c r="Y43">
        <v>1</v>
      </c>
      <c r="Z43">
        <v>0</v>
      </c>
      <c r="AA43">
        <v>2.5000000000000001E-2</v>
      </c>
      <c r="AB43" s="7" t="s">
        <v>216</v>
      </c>
      <c r="AC43" s="11">
        <v>3</v>
      </c>
      <c r="AD43" s="11">
        <v>1</v>
      </c>
      <c r="AE43" s="11">
        <f>AC43*AA43</f>
        <v>7.5000000000000011E-2</v>
      </c>
      <c r="AF43" s="11" t="s">
        <v>216</v>
      </c>
      <c r="AG43" s="11">
        <v>10</v>
      </c>
      <c r="AH43" s="7" t="s">
        <v>211</v>
      </c>
      <c r="AI43" s="10">
        <v>2.5000000000000001E-2</v>
      </c>
      <c r="AJ43" t="s">
        <v>43</v>
      </c>
      <c r="AK43" s="1" t="s">
        <v>35</v>
      </c>
      <c r="AL43" s="1" t="s">
        <v>43</v>
      </c>
      <c r="AM43" s="1" t="s">
        <v>43</v>
      </c>
      <c r="AN43" s="1" t="s">
        <v>43</v>
      </c>
      <c r="AO43" s="1" t="s">
        <v>43</v>
      </c>
      <c r="AP43" s="1" t="s">
        <v>43</v>
      </c>
      <c r="AQ43" s="6">
        <f t="shared" si="0"/>
        <v>0</v>
      </c>
      <c r="AR43" s="1" t="s">
        <v>618</v>
      </c>
    </row>
    <row r="44" spans="1:46">
      <c r="A44" s="20">
        <v>48</v>
      </c>
      <c r="B44" s="1" t="s">
        <v>441</v>
      </c>
      <c r="C44" t="s">
        <v>445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43</v>
      </c>
      <c r="P44" t="s">
        <v>43</v>
      </c>
      <c r="Q44" t="s">
        <v>12</v>
      </c>
      <c r="R44">
        <v>2</v>
      </c>
      <c r="S44" s="1" t="s">
        <v>12</v>
      </c>
      <c r="T44" s="6" t="s">
        <v>449</v>
      </c>
      <c r="U44" s="6" t="s">
        <v>232</v>
      </c>
      <c r="V44">
        <v>1</v>
      </c>
      <c r="W44">
        <v>0</v>
      </c>
      <c r="X44">
        <v>0</v>
      </c>
      <c r="Y44">
        <v>0</v>
      </c>
      <c r="Z44">
        <v>0</v>
      </c>
      <c r="AA44">
        <v>40</v>
      </c>
      <c r="AB44" s="7" t="s">
        <v>216</v>
      </c>
      <c r="AC44" s="17" t="s">
        <v>450</v>
      </c>
      <c r="AD44" s="11">
        <v>40</v>
      </c>
      <c r="AE44" s="11">
        <f>AA44*3</f>
        <v>120</v>
      </c>
      <c r="AF44" s="11" t="s">
        <v>216</v>
      </c>
      <c r="AG44" s="11">
        <v>0.1</v>
      </c>
      <c r="AH44" s="7" t="s">
        <v>211</v>
      </c>
      <c r="AI44" s="10">
        <f>AE44</f>
        <v>120</v>
      </c>
      <c r="AJ44" t="s">
        <v>43</v>
      </c>
      <c r="AK44" s="1" t="s">
        <v>33</v>
      </c>
      <c r="AL44" s="1" t="s">
        <v>555</v>
      </c>
      <c r="AM44" s="1" t="s">
        <v>555</v>
      </c>
      <c r="AN44" s="1">
        <v>1</v>
      </c>
      <c r="AO44" s="1" t="s">
        <v>43</v>
      </c>
      <c r="AP44" s="1" t="s">
        <v>632</v>
      </c>
      <c r="AQ44" s="6">
        <f t="shared" si="0"/>
        <v>1</v>
      </c>
      <c r="AR44" t="s">
        <v>613</v>
      </c>
    </row>
    <row r="45" spans="1:46">
      <c r="A45" s="20">
        <v>49</v>
      </c>
      <c r="B45" s="1" t="s">
        <v>441</v>
      </c>
      <c r="C45" t="s">
        <v>446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43</v>
      </c>
      <c r="P45" t="s">
        <v>43</v>
      </c>
      <c r="Q45" t="s">
        <v>12</v>
      </c>
      <c r="R45">
        <v>2</v>
      </c>
      <c r="S45" s="1" t="s">
        <v>12</v>
      </c>
      <c r="T45" s="6" t="s">
        <v>449</v>
      </c>
      <c r="U45" s="6" t="s">
        <v>232</v>
      </c>
      <c r="V45">
        <v>1</v>
      </c>
      <c r="W45">
        <v>0</v>
      </c>
      <c r="X45">
        <v>0</v>
      </c>
      <c r="Y45">
        <v>0</v>
      </c>
      <c r="Z45">
        <v>0</v>
      </c>
      <c r="AA45">
        <v>40</v>
      </c>
      <c r="AB45" s="7" t="s">
        <v>216</v>
      </c>
      <c r="AC45" s="17" t="s">
        <v>450</v>
      </c>
      <c r="AD45" s="11">
        <v>40</v>
      </c>
      <c r="AE45" s="11">
        <f t="shared" ref="AE45:AE47" si="5">AA45*3</f>
        <v>120</v>
      </c>
      <c r="AF45" s="11" t="s">
        <v>216</v>
      </c>
      <c r="AG45" s="11">
        <v>0.1</v>
      </c>
      <c r="AH45" s="7" t="s">
        <v>211</v>
      </c>
      <c r="AI45" s="10">
        <f t="shared" ref="AI45:AI47" si="6">AE45</f>
        <v>120</v>
      </c>
      <c r="AJ45" t="s">
        <v>43</v>
      </c>
      <c r="AK45" s="1" t="s">
        <v>33</v>
      </c>
      <c r="AL45" s="1" t="s">
        <v>555</v>
      </c>
      <c r="AM45" s="1" t="s">
        <v>555</v>
      </c>
      <c r="AN45" s="1">
        <v>1</v>
      </c>
      <c r="AO45" s="1" t="s">
        <v>43</v>
      </c>
      <c r="AP45" s="1" t="s">
        <v>632</v>
      </c>
      <c r="AQ45" s="6">
        <f t="shared" si="0"/>
        <v>1</v>
      </c>
      <c r="AR45" t="s">
        <v>613</v>
      </c>
    </row>
    <row r="46" spans="1:46">
      <c r="A46" s="20">
        <v>50</v>
      </c>
      <c r="B46" s="1" t="s">
        <v>441</v>
      </c>
      <c r="C46" t="s">
        <v>447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43</v>
      </c>
      <c r="P46" t="s">
        <v>43</v>
      </c>
      <c r="Q46" t="s">
        <v>12</v>
      </c>
      <c r="R46">
        <v>2</v>
      </c>
      <c r="S46" s="1" t="s">
        <v>12</v>
      </c>
      <c r="T46" s="6" t="s">
        <v>449</v>
      </c>
      <c r="U46" s="6" t="s">
        <v>232</v>
      </c>
      <c r="V46">
        <v>1</v>
      </c>
      <c r="W46">
        <v>0</v>
      </c>
      <c r="X46">
        <v>0</v>
      </c>
      <c r="Y46">
        <v>0</v>
      </c>
      <c r="Z46">
        <v>0</v>
      </c>
      <c r="AA46">
        <v>40</v>
      </c>
      <c r="AB46" s="7" t="s">
        <v>216</v>
      </c>
      <c r="AC46" s="17" t="s">
        <v>450</v>
      </c>
      <c r="AD46" s="11">
        <v>40</v>
      </c>
      <c r="AE46" s="11">
        <f t="shared" si="5"/>
        <v>120</v>
      </c>
      <c r="AF46" s="11" t="s">
        <v>216</v>
      </c>
      <c r="AG46" s="11">
        <v>0.1</v>
      </c>
      <c r="AH46" s="7" t="s">
        <v>211</v>
      </c>
      <c r="AI46" s="10">
        <f t="shared" si="6"/>
        <v>120</v>
      </c>
      <c r="AJ46" t="s">
        <v>43</v>
      </c>
      <c r="AK46" s="1" t="s">
        <v>33</v>
      </c>
      <c r="AL46" s="1" t="s">
        <v>555</v>
      </c>
      <c r="AM46" s="1" t="s">
        <v>555</v>
      </c>
      <c r="AN46" s="1">
        <v>1</v>
      </c>
      <c r="AO46" s="1" t="s">
        <v>43</v>
      </c>
      <c r="AP46" s="1" t="s">
        <v>632</v>
      </c>
      <c r="AQ46" s="6">
        <f t="shared" si="0"/>
        <v>1</v>
      </c>
      <c r="AR46" t="s">
        <v>613</v>
      </c>
    </row>
    <row r="47" spans="1:46">
      <c r="A47" s="20">
        <v>51</v>
      </c>
      <c r="B47" s="1" t="s">
        <v>441</v>
      </c>
      <c r="C47" t="s">
        <v>448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43</v>
      </c>
      <c r="P47" t="s">
        <v>43</v>
      </c>
      <c r="Q47" t="s">
        <v>12</v>
      </c>
      <c r="R47">
        <v>2</v>
      </c>
      <c r="S47" s="1" t="s">
        <v>12</v>
      </c>
      <c r="T47" s="6" t="s">
        <v>449</v>
      </c>
      <c r="U47" s="6" t="s">
        <v>232</v>
      </c>
      <c r="V47">
        <v>1</v>
      </c>
      <c r="W47">
        <v>0</v>
      </c>
      <c r="X47">
        <v>0</v>
      </c>
      <c r="Y47">
        <v>0</v>
      </c>
      <c r="Z47">
        <v>0</v>
      </c>
      <c r="AA47">
        <v>40</v>
      </c>
      <c r="AB47" s="7" t="s">
        <v>216</v>
      </c>
      <c r="AC47" s="17" t="s">
        <v>450</v>
      </c>
      <c r="AD47" s="11">
        <v>40</v>
      </c>
      <c r="AE47" s="11">
        <f t="shared" si="5"/>
        <v>120</v>
      </c>
      <c r="AF47" s="11" t="s">
        <v>216</v>
      </c>
      <c r="AG47" s="11">
        <v>0.1</v>
      </c>
      <c r="AH47" s="7" t="s">
        <v>211</v>
      </c>
      <c r="AI47" s="10">
        <f t="shared" si="6"/>
        <v>120</v>
      </c>
      <c r="AJ47" t="s">
        <v>43</v>
      </c>
      <c r="AK47" s="1" t="s">
        <v>33</v>
      </c>
      <c r="AL47" s="1" t="s">
        <v>555</v>
      </c>
      <c r="AM47" s="1" t="s">
        <v>555</v>
      </c>
      <c r="AN47" s="1">
        <v>1</v>
      </c>
      <c r="AO47" s="1" t="s">
        <v>43</v>
      </c>
      <c r="AP47" s="1" t="s">
        <v>632</v>
      </c>
      <c r="AQ47" s="6">
        <f t="shared" si="0"/>
        <v>1</v>
      </c>
      <c r="AR47" t="s">
        <v>613</v>
      </c>
    </row>
    <row r="48" spans="1:46">
      <c r="A48" s="20">
        <v>52</v>
      </c>
      <c r="B48" s="1" t="s">
        <v>452</v>
      </c>
      <c r="C48" s="1" t="s">
        <v>452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1</v>
      </c>
      <c r="P48" t="s">
        <v>302</v>
      </c>
      <c r="Q48" s="1" t="s">
        <v>686</v>
      </c>
      <c r="R48" s="1">
        <v>2</v>
      </c>
      <c r="S48" s="1" t="s">
        <v>218</v>
      </c>
      <c r="T48" s="6" t="s">
        <v>457</v>
      </c>
      <c r="U48" s="6" t="s">
        <v>232</v>
      </c>
      <c r="V48">
        <v>0</v>
      </c>
      <c r="W48">
        <v>1</v>
      </c>
      <c r="X48">
        <v>0</v>
      </c>
      <c r="Y48">
        <v>0</v>
      </c>
      <c r="Z48">
        <v>0</v>
      </c>
      <c r="AA48">
        <f>1852*2</f>
        <v>3704</v>
      </c>
      <c r="AB48" s="7" t="s">
        <v>216</v>
      </c>
      <c r="AC48" s="10">
        <v>37</v>
      </c>
      <c r="AD48" s="11">
        <v>1</v>
      </c>
      <c r="AE48" s="11">
        <f>AC48*AA48</f>
        <v>137048</v>
      </c>
      <c r="AF48" s="11" t="s">
        <v>216</v>
      </c>
      <c r="AG48" s="11">
        <v>100</v>
      </c>
      <c r="AH48" s="7" t="s">
        <v>211</v>
      </c>
      <c r="AI48" s="10" t="s">
        <v>43</v>
      </c>
      <c r="AJ48">
        <v>137048</v>
      </c>
      <c r="AK48" s="1" t="s">
        <v>33</v>
      </c>
      <c r="AL48" s="1" t="s">
        <v>554</v>
      </c>
      <c r="AM48" s="1" t="s">
        <v>43</v>
      </c>
      <c r="AN48" s="1" t="s">
        <v>43</v>
      </c>
      <c r="AO48" s="1" t="s">
        <v>43</v>
      </c>
      <c r="AP48" s="1" t="s">
        <v>43</v>
      </c>
      <c r="AQ48" s="6">
        <f t="shared" si="0"/>
        <v>0</v>
      </c>
      <c r="AR48" t="s">
        <v>603</v>
      </c>
      <c r="AS48" s="18">
        <v>11000</v>
      </c>
      <c r="AT48" s="7" t="s">
        <v>211</v>
      </c>
    </row>
    <row r="49" spans="1:46">
      <c r="A49" s="20">
        <v>53</v>
      </c>
      <c r="B49" s="1" t="s">
        <v>458</v>
      </c>
      <c r="C49" s="1" t="s">
        <v>458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43</v>
      </c>
      <c r="P49" t="s">
        <v>43</v>
      </c>
      <c r="Q49" t="s">
        <v>15</v>
      </c>
      <c r="R49">
        <v>3</v>
      </c>
      <c r="S49" s="1" t="s">
        <v>15</v>
      </c>
      <c r="T49" s="6" t="s">
        <v>604</v>
      </c>
      <c r="U49" s="6" t="s">
        <v>232</v>
      </c>
      <c r="V49">
        <v>1</v>
      </c>
      <c r="W49">
        <v>0</v>
      </c>
      <c r="X49">
        <v>0</v>
      </c>
      <c r="Y49">
        <v>0</v>
      </c>
      <c r="Z49">
        <v>0</v>
      </c>
      <c r="AA49">
        <v>50</v>
      </c>
      <c r="AB49" s="7" t="s">
        <v>238</v>
      </c>
      <c r="AC49" s="11">
        <v>4</v>
      </c>
      <c r="AD49" s="11">
        <v>4</v>
      </c>
      <c r="AE49" s="11">
        <f>50*5*4</f>
        <v>1000</v>
      </c>
      <c r="AF49" s="11" t="s">
        <v>216</v>
      </c>
      <c r="AG49" s="11">
        <v>0.1</v>
      </c>
      <c r="AH49" s="7" t="s">
        <v>211</v>
      </c>
      <c r="AI49" s="10">
        <f>AA49*5</f>
        <v>250</v>
      </c>
      <c r="AJ49" s="7" t="s">
        <v>43</v>
      </c>
      <c r="AK49" s="1" t="s">
        <v>33</v>
      </c>
      <c r="AL49" s="1" t="s">
        <v>554</v>
      </c>
      <c r="AM49" s="1" t="s">
        <v>589</v>
      </c>
      <c r="AN49" s="1">
        <v>1</v>
      </c>
      <c r="AO49" s="1" t="s">
        <v>43</v>
      </c>
      <c r="AP49" s="1" t="s">
        <v>631</v>
      </c>
      <c r="AQ49" s="6">
        <f t="shared" si="0"/>
        <v>1</v>
      </c>
    </row>
    <row r="50" spans="1:46">
      <c r="A50" s="20">
        <v>54</v>
      </c>
      <c r="B50" s="1" t="s">
        <v>470</v>
      </c>
      <c r="C50" s="1" t="s">
        <v>470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>
        <v>70</v>
      </c>
      <c r="P50" s="1" t="s">
        <v>102</v>
      </c>
      <c r="Q50" t="s">
        <v>78</v>
      </c>
      <c r="R50">
        <v>2</v>
      </c>
      <c r="S50" s="1" t="s">
        <v>78</v>
      </c>
      <c r="T50" s="6" t="s">
        <v>606</v>
      </c>
      <c r="U50" s="6" t="s">
        <v>232</v>
      </c>
      <c r="V50">
        <v>0</v>
      </c>
      <c r="W50">
        <v>1</v>
      </c>
      <c r="X50">
        <v>0</v>
      </c>
      <c r="Y50">
        <v>0</v>
      </c>
      <c r="Z50">
        <v>0</v>
      </c>
      <c r="AA50">
        <v>2.5999999999999999E-2</v>
      </c>
      <c r="AB50" s="7" t="s">
        <v>221</v>
      </c>
      <c r="AC50" s="11">
        <v>1</v>
      </c>
      <c r="AD50" s="11">
        <v>7</v>
      </c>
      <c r="AE50" s="11">
        <f>PI()*(0.57/2)^2</f>
        <v>0.25517586328783093</v>
      </c>
      <c r="AF50" s="11" t="s">
        <v>216</v>
      </c>
      <c r="AG50" s="11">
        <v>0.1</v>
      </c>
      <c r="AH50" s="7" t="s">
        <v>211</v>
      </c>
      <c r="AI50" s="10" t="s">
        <v>43</v>
      </c>
      <c r="AJ50">
        <v>0.25517586328783093</v>
      </c>
      <c r="AK50" s="1" t="s">
        <v>33</v>
      </c>
      <c r="AL50" s="1" t="s">
        <v>554</v>
      </c>
      <c r="AM50" s="1" t="s">
        <v>605</v>
      </c>
      <c r="AN50" s="1" t="s">
        <v>43</v>
      </c>
      <c r="AO50" s="1">
        <v>1</v>
      </c>
      <c r="AP50" s="1" t="s">
        <v>635</v>
      </c>
      <c r="AQ50" s="6">
        <f t="shared" si="0"/>
        <v>1</v>
      </c>
    </row>
    <row r="51" spans="1:46">
      <c r="A51" s="20">
        <v>55</v>
      </c>
      <c r="B51" s="1" t="s">
        <v>477</v>
      </c>
      <c r="C51" s="1" t="s">
        <v>477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250</v>
      </c>
      <c r="P51" s="1" t="s">
        <v>102</v>
      </c>
      <c r="Q51" t="s">
        <v>78</v>
      </c>
      <c r="R51" s="1">
        <v>2</v>
      </c>
      <c r="S51" s="1" t="s">
        <v>78</v>
      </c>
      <c r="T51" s="6" t="s">
        <v>607</v>
      </c>
      <c r="U51" s="6" t="s">
        <v>232</v>
      </c>
      <c r="V51">
        <v>0</v>
      </c>
      <c r="W51">
        <v>1</v>
      </c>
      <c r="X51">
        <v>0</v>
      </c>
      <c r="Y51">
        <v>0</v>
      </c>
      <c r="Z51">
        <v>0</v>
      </c>
      <c r="AA51">
        <f>PI()*(0.25)^2</f>
        <v>0.19634954084936207</v>
      </c>
      <c r="AB51" s="7" t="s">
        <v>216</v>
      </c>
      <c r="AC51" s="11">
        <v>1</v>
      </c>
      <c r="AD51" s="11">
        <v>2</v>
      </c>
      <c r="AE51">
        <f>PI()*(0.25)^2</f>
        <v>0.19634954084936207</v>
      </c>
      <c r="AF51" s="7" t="s">
        <v>216</v>
      </c>
      <c r="AG51" s="11">
        <v>0.1</v>
      </c>
      <c r="AH51" s="7" t="s">
        <v>211</v>
      </c>
      <c r="AI51" s="10" t="s">
        <v>43</v>
      </c>
      <c r="AJ51">
        <f>PI()*(0.25)^2</f>
        <v>0.19634954084936207</v>
      </c>
      <c r="AK51" s="1" t="s">
        <v>33</v>
      </c>
      <c r="AL51" s="1" t="s">
        <v>554</v>
      </c>
      <c r="AM51" s="1" t="s">
        <v>605</v>
      </c>
      <c r="AN51" s="1" t="s">
        <v>43</v>
      </c>
      <c r="AO51" s="1">
        <v>1</v>
      </c>
      <c r="AP51" s="1" t="s">
        <v>635</v>
      </c>
      <c r="AQ51" s="6">
        <f t="shared" si="0"/>
        <v>1</v>
      </c>
    </row>
    <row r="52" spans="1:46">
      <c r="A52" s="20">
        <v>56</v>
      </c>
      <c r="B52" s="1" t="s">
        <v>484</v>
      </c>
      <c r="C52" s="1" t="s">
        <v>489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0</v>
      </c>
      <c r="O52" t="s">
        <v>43</v>
      </c>
      <c r="P52" t="s">
        <v>43</v>
      </c>
      <c r="Q52" t="s">
        <v>686</v>
      </c>
      <c r="R52" s="1">
        <v>2</v>
      </c>
      <c r="S52" s="1" t="s">
        <v>16</v>
      </c>
      <c r="T52" s="6" t="s">
        <v>491</v>
      </c>
      <c r="U52" s="6" t="s">
        <v>232</v>
      </c>
      <c r="V52" s="6">
        <v>0</v>
      </c>
      <c r="W52">
        <v>0</v>
      </c>
      <c r="X52">
        <v>0</v>
      </c>
      <c r="Y52">
        <v>1</v>
      </c>
      <c r="Z52">
        <v>0</v>
      </c>
      <c r="AA52">
        <v>0.1</v>
      </c>
      <c r="AB52" s="7" t="s">
        <v>216</v>
      </c>
      <c r="AC52" s="11">
        <v>5</v>
      </c>
      <c r="AD52" s="11">
        <v>6</v>
      </c>
      <c r="AE52" s="11">
        <f>AA52*AC52*3</f>
        <v>1.5</v>
      </c>
      <c r="AF52" s="11" t="s">
        <v>216</v>
      </c>
      <c r="AG52" s="11">
        <v>10</v>
      </c>
      <c r="AH52" s="7" t="s">
        <v>211</v>
      </c>
      <c r="AI52" s="10">
        <v>0.1</v>
      </c>
      <c r="AJ52" t="s">
        <v>43</v>
      </c>
      <c r="AK52" s="1" t="s">
        <v>33</v>
      </c>
      <c r="AL52" s="1" t="s">
        <v>554</v>
      </c>
      <c r="AM52" s="1" t="s">
        <v>582</v>
      </c>
      <c r="AN52" s="1">
        <f>1/AI52</f>
        <v>10</v>
      </c>
      <c r="AO52" s="1" t="s">
        <v>43</v>
      </c>
      <c r="AP52" s="1" t="s">
        <v>631</v>
      </c>
      <c r="AQ52" s="6">
        <f t="shared" si="0"/>
        <v>1</v>
      </c>
    </row>
    <row r="53" spans="1:46">
      <c r="A53" s="20">
        <v>57</v>
      </c>
      <c r="B53" s="1" t="s">
        <v>484</v>
      </c>
      <c r="C53" s="1" t="s">
        <v>490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0</v>
      </c>
      <c r="N53">
        <v>0</v>
      </c>
      <c r="O53" t="s">
        <v>43</v>
      </c>
      <c r="P53" t="s">
        <v>43</v>
      </c>
      <c r="Q53" t="s">
        <v>686</v>
      </c>
      <c r="R53" s="1">
        <v>2</v>
      </c>
      <c r="S53" s="1" t="s">
        <v>16</v>
      </c>
      <c r="T53" s="6" t="s">
        <v>492</v>
      </c>
      <c r="U53" s="6" t="s">
        <v>232</v>
      </c>
      <c r="V53" s="6">
        <v>0</v>
      </c>
      <c r="W53">
        <v>0</v>
      </c>
      <c r="X53">
        <v>0</v>
      </c>
      <c r="Y53">
        <v>1</v>
      </c>
      <c r="Z53">
        <v>0</v>
      </c>
      <c r="AA53">
        <v>0.1</v>
      </c>
      <c r="AB53" s="7" t="s">
        <v>216</v>
      </c>
      <c r="AC53" s="11" t="s">
        <v>493</v>
      </c>
      <c r="AD53" s="11">
        <v>2</v>
      </c>
      <c r="AE53" s="11">
        <f>AA53*6</f>
        <v>0.60000000000000009</v>
      </c>
      <c r="AF53" s="11" t="s">
        <v>216</v>
      </c>
      <c r="AG53" s="11">
        <v>1</v>
      </c>
      <c r="AH53" t="s">
        <v>211</v>
      </c>
      <c r="AI53" s="10">
        <v>0.1</v>
      </c>
      <c r="AJ53" t="s">
        <v>43</v>
      </c>
      <c r="AK53" s="1" t="s">
        <v>33</v>
      </c>
      <c r="AL53" s="1" t="s">
        <v>554</v>
      </c>
      <c r="AM53" s="1" t="s">
        <v>582</v>
      </c>
      <c r="AN53" s="1">
        <f>1/AI53</f>
        <v>10</v>
      </c>
      <c r="AO53" s="1" t="s">
        <v>43</v>
      </c>
      <c r="AP53" s="1" t="s">
        <v>631</v>
      </c>
      <c r="AQ53" s="6">
        <f t="shared" si="0"/>
        <v>1</v>
      </c>
      <c r="AR53" t="s">
        <v>613</v>
      </c>
    </row>
    <row r="54" spans="1:46">
      <c r="A54" s="20">
        <v>58</v>
      </c>
      <c r="B54" s="1" t="s">
        <v>498</v>
      </c>
      <c r="C54" s="1" t="s">
        <v>498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200</v>
      </c>
      <c r="P54" t="s">
        <v>502</v>
      </c>
      <c r="Q54" t="s">
        <v>78</v>
      </c>
      <c r="R54" s="1">
        <v>2</v>
      </c>
      <c r="S54" s="1" t="s">
        <v>16</v>
      </c>
      <c r="T54" s="6" t="s">
        <v>503</v>
      </c>
      <c r="U54" s="6" t="s">
        <v>232</v>
      </c>
      <c r="V54">
        <v>0</v>
      </c>
      <c r="W54">
        <v>1</v>
      </c>
      <c r="X54">
        <v>0</v>
      </c>
      <c r="Y54">
        <v>0</v>
      </c>
      <c r="Z54">
        <v>0</v>
      </c>
      <c r="AA54">
        <f>PI()*(0.39/2)^2</f>
        <v>0.1194590606527519</v>
      </c>
      <c r="AB54" s="7" t="s">
        <v>216</v>
      </c>
      <c r="AC54" s="11">
        <v>1</v>
      </c>
      <c r="AD54" s="11">
        <v>1</v>
      </c>
      <c r="AE54">
        <f>PI()*(0.39/2)^2</f>
        <v>0.1194590606527519</v>
      </c>
      <c r="AF54" s="7" t="s">
        <v>216</v>
      </c>
      <c r="AG54" s="11">
        <v>0.1</v>
      </c>
      <c r="AH54" t="s">
        <v>211</v>
      </c>
      <c r="AI54" s="10" t="s">
        <v>43</v>
      </c>
      <c r="AJ54">
        <f>PI()*(0.39/2)^2</f>
        <v>0.1194590606527519</v>
      </c>
      <c r="AK54" s="1" t="s">
        <v>33</v>
      </c>
      <c r="AL54" s="1" t="s">
        <v>554</v>
      </c>
      <c r="AM54" s="1" t="s">
        <v>589</v>
      </c>
      <c r="AN54" s="1" t="s">
        <v>43</v>
      </c>
      <c r="AO54" s="1">
        <v>1</v>
      </c>
      <c r="AP54" s="1" t="s">
        <v>631</v>
      </c>
      <c r="AQ54" s="6">
        <f t="shared" si="0"/>
        <v>1</v>
      </c>
    </row>
    <row r="55" spans="1:46">
      <c r="A55" s="20">
        <v>59</v>
      </c>
      <c r="B55" s="1" t="s">
        <v>509</v>
      </c>
      <c r="C55" s="1" t="s">
        <v>509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M55">
        <v>0</v>
      </c>
      <c r="N55">
        <v>0</v>
      </c>
      <c r="O55" t="s">
        <v>43</v>
      </c>
      <c r="P55" t="s">
        <v>43</v>
      </c>
      <c r="Q55" t="s">
        <v>298</v>
      </c>
      <c r="R55">
        <v>2</v>
      </c>
      <c r="S55" s="1" t="s">
        <v>298</v>
      </c>
      <c r="T55" s="6" t="s">
        <v>609</v>
      </c>
      <c r="U55" s="6" t="s">
        <v>232</v>
      </c>
      <c r="V55">
        <v>0</v>
      </c>
      <c r="W55">
        <v>0</v>
      </c>
      <c r="X55">
        <v>0</v>
      </c>
      <c r="Y55">
        <v>1</v>
      </c>
      <c r="Z55">
        <v>0</v>
      </c>
      <c r="AA55">
        <f>PI()*(0.02)^2</f>
        <v>1.2566370614359172E-3</v>
      </c>
      <c r="AB55" s="7" t="s">
        <v>216</v>
      </c>
      <c r="AC55" s="11">
        <v>10</v>
      </c>
      <c r="AD55" s="11">
        <v>4</v>
      </c>
      <c r="AE55" s="11">
        <f>AA55*AC55</f>
        <v>1.2566370614359171E-2</v>
      </c>
      <c r="AF55" s="11" t="s">
        <v>216</v>
      </c>
      <c r="AG55" s="11">
        <v>10</v>
      </c>
      <c r="AH55" t="s">
        <v>211</v>
      </c>
      <c r="AI55" s="10" t="s">
        <v>43</v>
      </c>
      <c r="AJ55">
        <v>1.2566370614359171E-2</v>
      </c>
      <c r="AK55" s="1" t="s">
        <v>33</v>
      </c>
      <c r="AL55" s="1" t="s">
        <v>554</v>
      </c>
      <c r="AM55" s="1" t="s">
        <v>608</v>
      </c>
      <c r="AN55" s="1" t="s">
        <v>43</v>
      </c>
      <c r="AO55" s="1">
        <f>1/0.001</f>
        <v>1000</v>
      </c>
      <c r="AP55" s="1" t="s">
        <v>635</v>
      </c>
      <c r="AQ55" s="6">
        <f t="shared" si="0"/>
        <v>1</v>
      </c>
      <c r="AR55">
        <f>PI()*(2^2)*4</f>
        <v>50.26548245743669</v>
      </c>
    </row>
    <row r="56" spans="1:46">
      <c r="A56" s="20">
        <v>60</v>
      </c>
      <c r="B56" s="1" t="s">
        <v>510</v>
      </c>
      <c r="C56" s="1" t="s">
        <v>619</v>
      </c>
      <c r="D56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t="s">
        <v>43</v>
      </c>
      <c r="P56" t="s">
        <v>43</v>
      </c>
      <c r="Q56" s="1" t="s">
        <v>277</v>
      </c>
      <c r="R56" s="1">
        <v>2</v>
      </c>
      <c r="S56" s="1" t="s">
        <v>277</v>
      </c>
      <c r="T56" s="6" t="s">
        <v>517</v>
      </c>
      <c r="U56" s="6" t="s">
        <v>232</v>
      </c>
      <c r="V56">
        <v>1</v>
      </c>
      <c r="W56">
        <v>0</v>
      </c>
      <c r="X56">
        <v>0</v>
      </c>
      <c r="Y56">
        <v>0</v>
      </c>
      <c r="Z56">
        <v>0</v>
      </c>
      <c r="AA56">
        <v>1</v>
      </c>
      <c r="AB56" s="7" t="s">
        <v>216</v>
      </c>
      <c r="AC56" s="11">
        <v>35</v>
      </c>
      <c r="AD56" s="11">
        <v>4</v>
      </c>
      <c r="AE56" s="11">
        <f>AA56*AC56</f>
        <v>35</v>
      </c>
      <c r="AF56" s="11" t="s">
        <v>216</v>
      </c>
      <c r="AG56" s="11">
        <v>10</v>
      </c>
      <c r="AH56" t="s">
        <v>211</v>
      </c>
      <c r="AI56" s="10" t="s">
        <v>43</v>
      </c>
      <c r="AJ56">
        <v>35</v>
      </c>
      <c r="AK56" s="1" t="s">
        <v>33</v>
      </c>
      <c r="AL56" s="1" t="s">
        <v>554</v>
      </c>
      <c r="AM56" s="1" t="s">
        <v>610</v>
      </c>
      <c r="AN56" s="1" t="s">
        <v>43</v>
      </c>
      <c r="AO56" s="1">
        <f>1/AJ56</f>
        <v>2.8571428571428571E-2</v>
      </c>
      <c r="AP56" s="1" t="s">
        <v>631</v>
      </c>
      <c r="AQ56" s="6">
        <f t="shared" si="0"/>
        <v>1</v>
      </c>
    </row>
    <row r="57" spans="1:46">
      <c r="A57" s="20">
        <v>61</v>
      </c>
      <c r="B57" s="1" t="s">
        <v>510</v>
      </c>
      <c r="C57" s="1" t="s">
        <v>620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t="s">
        <v>43</v>
      </c>
      <c r="P57" t="s">
        <v>43</v>
      </c>
      <c r="Q57" s="1" t="s">
        <v>277</v>
      </c>
      <c r="R57" s="1">
        <v>2</v>
      </c>
      <c r="S57" s="1" t="s">
        <v>277</v>
      </c>
      <c r="T57" s="6" t="s">
        <v>517</v>
      </c>
      <c r="U57" s="6" t="s">
        <v>232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 s="7" t="s">
        <v>216</v>
      </c>
      <c r="AC57" s="11">
        <v>35</v>
      </c>
      <c r="AD57" s="11">
        <v>4</v>
      </c>
      <c r="AE57" s="11">
        <f t="shared" ref="AE57:AE58" si="7">AA57*AC57</f>
        <v>35</v>
      </c>
      <c r="AF57" s="11" t="s">
        <v>216</v>
      </c>
      <c r="AG57" s="11">
        <v>10</v>
      </c>
      <c r="AH57" t="s">
        <v>211</v>
      </c>
      <c r="AI57" s="10" t="s">
        <v>43</v>
      </c>
      <c r="AJ57">
        <v>35</v>
      </c>
      <c r="AK57" s="1" t="s">
        <v>33</v>
      </c>
      <c r="AL57" s="1" t="s">
        <v>554</v>
      </c>
      <c r="AM57" s="1" t="s">
        <v>610</v>
      </c>
      <c r="AN57" s="1" t="s">
        <v>43</v>
      </c>
      <c r="AO57" s="1">
        <f t="shared" ref="AO57:AO59" si="8">1/AJ57</f>
        <v>2.8571428571428571E-2</v>
      </c>
      <c r="AP57" s="1" t="s">
        <v>631</v>
      </c>
      <c r="AQ57" s="6">
        <f t="shared" si="0"/>
        <v>1</v>
      </c>
    </row>
    <row r="58" spans="1:46">
      <c r="A58" s="20">
        <v>62</v>
      </c>
      <c r="B58" s="1" t="s">
        <v>510</v>
      </c>
      <c r="C58" s="1" t="s">
        <v>621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t="s">
        <v>43</v>
      </c>
      <c r="P58" t="s">
        <v>43</v>
      </c>
      <c r="Q58" s="1" t="s">
        <v>277</v>
      </c>
      <c r="R58" s="1">
        <v>2</v>
      </c>
      <c r="S58" s="1" t="s">
        <v>277</v>
      </c>
      <c r="T58" s="6" t="s">
        <v>517</v>
      </c>
      <c r="U58" s="6" t="s">
        <v>232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 s="7" t="s">
        <v>216</v>
      </c>
      <c r="AC58" s="11">
        <v>35</v>
      </c>
      <c r="AD58" s="11">
        <v>4</v>
      </c>
      <c r="AE58" s="11">
        <f t="shared" si="7"/>
        <v>35</v>
      </c>
      <c r="AF58" s="11" t="s">
        <v>216</v>
      </c>
      <c r="AG58" s="11">
        <v>10</v>
      </c>
      <c r="AH58" t="s">
        <v>211</v>
      </c>
      <c r="AI58" s="10" t="s">
        <v>43</v>
      </c>
      <c r="AJ58">
        <v>35</v>
      </c>
      <c r="AK58" s="1" t="s">
        <v>33</v>
      </c>
      <c r="AL58" s="1" t="s">
        <v>554</v>
      </c>
      <c r="AM58" s="1" t="s">
        <v>610</v>
      </c>
      <c r="AN58" s="1" t="s">
        <v>43</v>
      </c>
      <c r="AO58" s="1">
        <f t="shared" si="8"/>
        <v>2.8571428571428571E-2</v>
      </c>
      <c r="AP58" s="1" t="s">
        <v>631</v>
      </c>
      <c r="AQ58" s="6">
        <f t="shared" si="0"/>
        <v>1</v>
      </c>
    </row>
    <row r="59" spans="1:46">
      <c r="A59" s="20">
        <v>63</v>
      </c>
      <c r="B59" s="1" t="s">
        <v>511</v>
      </c>
      <c r="C59" s="1" t="s">
        <v>511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1</v>
      </c>
      <c r="K59" s="1">
        <v>1</v>
      </c>
      <c r="L59" s="1">
        <v>0</v>
      </c>
      <c r="M59" s="1">
        <v>0</v>
      </c>
      <c r="N59" s="1">
        <v>0</v>
      </c>
      <c r="O59" t="s">
        <v>43</v>
      </c>
      <c r="P59" t="s">
        <v>43</v>
      </c>
      <c r="Q59" s="1" t="s">
        <v>686</v>
      </c>
      <c r="R59" s="1">
        <v>2</v>
      </c>
      <c r="S59" s="1" t="s">
        <v>16</v>
      </c>
      <c r="T59" s="6" t="s">
        <v>517</v>
      </c>
      <c r="U59" s="6" t="s">
        <v>232</v>
      </c>
      <c r="V59">
        <v>1</v>
      </c>
      <c r="W59">
        <v>0</v>
      </c>
      <c r="X59">
        <v>0</v>
      </c>
      <c r="Y59">
        <v>0</v>
      </c>
      <c r="Z59">
        <v>0</v>
      </c>
      <c r="AA59">
        <v>1</v>
      </c>
      <c r="AB59" s="7" t="s">
        <v>216</v>
      </c>
      <c r="AC59" s="11">
        <v>35</v>
      </c>
      <c r="AD59" s="11">
        <v>4</v>
      </c>
      <c r="AE59" s="11">
        <f>AA59*AC59</f>
        <v>35</v>
      </c>
      <c r="AF59" s="11" t="s">
        <v>216</v>
      </c>
      <c r="AG59" s="11">
        <v>10</v>
      </c>
      <c r="AH59" t="s">
        <v>211</v>
      </c>
      <c r="AI59" s="10" t="s">
        <v>43</v>
      </c>
      <c r="AJ59">
        <v>35</v>
      </c>
      <c r="AK59" s="1" t="s">
        <v>33</v>
      </c>
      <c r="AL59" s="1" t="s">
        <v>554</v>
      </c>
      <c r="AM59" s="1" t="s">
        <v>610</v>
      </c>
      <c r="AN59" s="1" t="s">
        <v>43</v>
      </c>
      <c r="AO59" s="1">
        <f t="shared" si="8"/>
        <v>2.8571428571428571E-2</v>
      </c>
      <c r="AP59" s="1" t="s">
        <v>631</v>
      </c>
      <c r="AQ59" s="6">
        <f t="shared" si="0"/>
        <v>1</v>
      </c>
    </row>
    <row r="60" spans="1:46">
      <c r="A60" s="20">
        <v>64</v>
      </c>
      <c r="B60" s="1" t="s">
        <v>518</v>
      </c>
      <c r="C60" s="1" t="s">
        <v>518</v>
      </c>
      <c r="D60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 t="s">
        <v>43</v>
      </c>
      <c r="P60" s="1" t="s">
        <v>43</v>
      </c>
      <c r="Q60" s="1" t="s">
        <v>15</v>
      </c>
      <c r="R60" s="1">
        <v>3</v>
      </c>
      <c r="S60" s="1" t="s">
        <v>15</v>
      </c>
      <c r="T60" s="6" t="s">
        <v>802</v>
      </c>
      <c r="U60" s="6" t="s">
        <v>232</v>
      </c>
      <c r="V60">
        <v>1</v>
      </c>
      <c r="W60">
        <v>0</v>
      </c>
      <c r="X60">
        <v>0</v>
      </c>
      <c r="Y60">
        <v>0</v>
      </c>
      <c r="Z60">
        <v>0</v>
      </c>
      <c r="AA60">
        <v>4532</v>
      </c>
      <c r="AB60" s="7" t="s">
        <v>216</v>
      </c>
      <c r="AC60" s="11">
        <v>1</v>
      </c>
      <c r="AD60" s="11">
        <v>3</v>
      </c>
      <c r="AE60">
        <v>4532</v>
      </c>
      <c r="AF60" s="7" t="s">
        <v>216</v>
      </c>
      <c r="AG60" s="11">
        <v>1</v>
      </c>
      <c r="AH60" t="s">
        <v>211</v>
      </c>
      <c r="AI60" s="10" t="s">
        <v>43</v>
      </c>
      <c r="AJ60">
        <v>4532</v>
      </c>
      <c r="AK60" s="1" t="s">
        <v>33</v>
      </c>
      <c r="AL60" s="1" t="s">
        <v>554</v>
      </c>
      <c r="AM60" s="1" t="s">
        <v>43</v>
      </c>
      <c r="AN60" s="1" t="s">
        <v>43</v>
      </c>
      <c r="AO60" s="1" t="s">
        <v>43</v>
      </c>
      <c r="AP60" s="1" t="s">
        <v>43</v>
      </c>
      <c r="AQ60" s="6">
        <f t="shared" si="0"/>
        <v>0</v>
      </c>
      <c r="AR60" s="6" t="s">
        <v>801</v>
      </c>
    </row>
    <row r="61" spans="1:46">
      <c r="A61" s="20">
        <v>65</v>
      </c>
      <c r="B61" s="1" t="s">
        <v>525</v>
      </c>
      <c r="C61" s="1" t="s">
        <v>525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 t="s">
        <v>43</v>
      </c>
      <c r="P61" t="s">
        <v>43</v>
      </c>
      <c r="Q61" s="1" t="s">
        <v>686</v>
      </c>
      <c r="R61" s="1">
        <v>2</v>
      </c>
      <c r="S61" s="1" t="s">
        <v>16</v>
      </c>
      <c r="T61" s="6" t="s">
        <v>611</v>
      </c>
      <c r="U61" s="6" t="s">
        <v>232</v>
      </c>
      <c r="V61">
        <v>0</v>
      </c>
      <c r="W61">
        <v>0</v>
      </c>
      <c r="X61">
        <v>0</v>
      </c>
      <c r="Y61">
        <v>1</v>
      </c>
      <c r="Z61">
        <v>0</v>
      </c>
      <c r="AA61">
        <v>0.1</v>
      </c>
      <c r="AB61" s="7" t="s">
        <v>216</v>
      </c>
      <c r="AC61" s="11">
        <v>4</v>
      </c>
      <c r="AD61" s="11">
        <v>3</v>
      </c>
      <c r="AE61" s="11">
        <f>AA61*AC61</f>
        <v>0.4</v>
      </c>
      <c r="AF61" s="11" t="s">
        <v>216</v>
      </c>
      <c r="AG61" s="11">
        <v>0.1</v>
      </c>
      <c r="AH61" t="s">
        <v>211</v>
      </c>
      <c r="AI61" s="10">
        <v>0.1</v>
      </c>
      <c r="AJ61" t="s">
        <v>43</v>
      </c>
      <c r="AK61" s="1" t="s">
        <v>33</v>
      </c>
      <c r="AL61" s="1" t="s">
        <v>554</v>
      </c>
      <c r="AM61" s="1" t="s">
        <v>43</v>
      </c>
      <c r="AN61" s="1" t="s">
        <v>43</v>
      </c>
      <c r="AO61" s="1" t="s">
        <v>43</v>
      </c>
      <c r="AP61" s="1" t="s">
        <v>43</v>
      </c>
      <c r="AQ61" s="6">
        <f t="shared" si="0"/>
        <v>0</v>
      </c>
    </row>
    <row r="62" spans="1:46">
      <c r="A62" s="20">
        <v>66</v>
      </c>
      <c r="B62" s="1" t="s">
        <v>533</v>
      </c>
      <c r="C62" s="1" t="s">
        <v>533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 t="s">
        <v>43</v>
      </c>
      <c r="P62" t="s">
        <v>43</v>
      </c>
      <c r="Q62" s="1" t="s">
        <v>686</v>
      </c>
      <c r="R62" s="1">
        <v>2</v>
      </c>
      <c r="S62" s="1" t="s">
        <v>16</v>
      </c>
      <c r="T62" s="6" t="s">
        <v>542</v>
      </c>
      <c r="U62" s="6" t="s">
        <v>232</v>
      </c>
      <c r="V62">
        <v>0</v>
      </c>
      <c r="W62">
        <v>0</v>
      </c>
      <c r="X62">
        <v>0</v>
      </c>
      <c r="Y62">
        <v>1</v>
      </c>
      <c r="Z62">
        <v>0</v>
      </c>
      <c r="AA62">
        <f>0.2*PI()*(0.135/2)^2</f>
        <v>2.8627763055836994E-3</v>
      </c>
      <c r="AB62" s="7" t="s">
        <v>221</v>
      </c>
      <c r="AC62" s="10" t="s">
        <v>543</v>
      </c>
      <c r="AD62" s="11">
        <v>3</v>
      </c>
      <c r="AE62">
        <f>8*PI()*(0.135/2)^2</f>
        <v>0.11451105222334797</v>
      </c>
      <c r="AF62" s="11" t="s">
        <v>216</v>
      </c>
      <c r="AG62" s="11">
        <v>0.1</v>
      </c>
      <c r="AH62" t="s">
        <v>211</v>
      </c>
      <c r="AI62" s="10" t="s">
        <v>43</v>
      </c>
      <c r="AJ62">
        <v>0.11451105222334797</v>
      </c>
      <c r="AK62" s="1" t="s">
        <v>33</v>
      </c>
      <c r="AL62" s="1" t="s">
        <v>554</v>
      </c>
      <c r="AM62" s="1" t="s">
        <v>589</v>
      </c>
      <c r="AN62" s="1" t="s">
        <v>43</v>
      </c>
      <c r="AO62" s="1">
        <v>1</v>
      </c>
      <c r="AP62" s="1" t="s">
        <v>631</v>
      </c>
      <c r="AQ62" s="6">
        <f t="shared" ref="AQ62:AQ70" si="9">IF(AP62 = "NA", 0, 1)</f>
        <v>1</v>
      </c>
      <c r="AR62" t="s">
        <v>613</v>
      </c>
    </row>
    <row r="63" spans="1:46">
      <c r="A63" s="20">
        <v>67</v>
      </c>
      <c r="B63" s="1" t="s">
        <v>656</v>
      </c>
      <c r="C63" s="1" t="s">
        <v>656</v>
      </c>
      <c r="D63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>
        <v>0</v>
      </c>
      <c r="M63">
        <v>0</v>
      </c>
      <c r="N63" s="1">
        <v>0</v>
      </c>
      <c r="O63" s="1" t="s">
        <v>43</v>
      </c>
      <c r="P63" s="1" t="s">
        <v>43</v>
      </c>
      <c r="Q63" s="1" t="s">
        <v>687</v>
      </c>
      <c r="R63" s="1">
        <v>2</v>
      </c>
      <c r="S63" s="1" t="s">
        <v>218</v>
      </c>
      <c r="T63" s="6" t="s">
        <v>658</v>
      </c>
      <c r="U63" s="6" t="s">
        <v>232</v>
      </c>
      <c r="V63">
        <v>1</v>
      </c>
      <c r="W63">
        <v>0</v>
      </c>
      <c r="X63">
        <v>0</v>
      </c>
      <c r="Y63">
        <v>0</v>
      </c>
      <c r="Z63">
        <v>0</v>
      </c>
      <c r="AA63">
        <v>0.33600000000000002</v>
      </c>
      <c r="AB63" s="7" t="s">
        <v>216</v>
      </c>
      <c r="AC63" s="11" t="s">
        <v>659</v>
      </c>
      <c r="AD63" s="11">
        <v>5</v>
      </c>
      <c r="AE63">
        <f>2*PI()*(AA63/2)^2</f>
        <v>0.17733662210983667</v>
      </c>
      <c r="AF63" s="11" t="s">
        <v>216</v>
      </c>
      <c r="AG63" s="7">
        <v>10</v>
      </c>
      <c r="AH63" t="s">
        <v>211</v>
      </c>
      <c r="AI63" s="10">
        <f>AA63</f>
        <v>0.33600000000000002</v>
      </c>
      <c r="AJ63">
        <f>AE63</f>
        <v>0.17733662210983667</v>
      </c>
      <c r="AK63" s="1" t="s">
        <v>33</v>
      </c>
      <c r="AL63" s="1" t="s">
        <v>43</v>
      </c>
      <c r="AM63" s="1" t="s">
        <v>43</v>
      </c>
      <c r="AN63" s="1" t="s">
        <v>43</v>
      </c>
      <c r="AO63" s="1" t="s">
        <v>43</v>
      </c>
      <c r="AP63" s="1" t="s">
        <v>43</v>
      </c>
      <c r="AQ63" s="6">
        <f t="shared" si="9"/>
        <v>0</v>
      </c>
      <c r="AR63" t="s">
        <v>613</v>
      </c>
      <c r="AS63" s="7">
        <v>15</v>
      </c>
      <c r="AT63" t="s">
        <v>211</v>
      </c>
    </row>
    <row r="64" spans="1:46">
      <c r="A64" s="20">
        <v>68</v>
      </c>
      <c r="B64" s="1" t="s">
        <v>698</v>
      </c>
      <c r="C64" s="1" t="s">
        <v>698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43</v>
      </c>
      <c r="P64" t="s">
        <v>43</v>
      </c>
      <c r="Q64" s="1" t="s">
        <v>789</v>
      </c>
      <c r="R64" s="1">
        <v>2</v>
      </c>
      <c r="S64" s="1" t="s">
        <v>15</v>
      </c>
      <c r="T64" s="6" t="s">
        <v>702</v>
      </c>
      <c r="U64" s="6" t="s">
        <v>232</v>
      </c>
      <c r="V64">
        <v>1</v>
      </c>
      <c r="W64">
        <v>0</v>
      </c>
      <c r="X64">
        <v>0</v>
      </c>
      <c r="Y64">
        <v>0</v>
      </c>
      <c r="Z64">
        <v>0</v>
      </c>
      <c r="AA64">
        <v>60</v>
      </c>
      <c r="AB64" s="7" t="s">
        <v>216</v>
      </c>
      <c r="AC64" s="10">
        <f>AVERAGE(12, 10, 16, 17, 17, 15)</f>
        <v>14.5</v>
      </c>
      <c r="AD64" s="11">
        <v>2</v>
      </c>
      <c r="AE64">
        <f>AA64*AC64*AD64</f>
        <v>1740</v>
      </c>
      <c r="AF64" s="11" t="s">
        <v>216</v>
      </c>
      <c r="AG64" s="7">
        <v>1</v>
      </c>
      <c r="AH64" t="s">
        <v>211</v>
      </c>
      <c r="AI64" s="10" t="s">
        <v>43</v>
      </c>
      <c r="AJ64">
        <v>1740</v>
      </c>
      <c r="AK64" s="1" t="s">
        <v>33</v>
      </c>
      <c r="AL64" s="1" t="s">
        <v>554</v>
      </c>
      <c r="AM64" s="1" t="s">
        <v>703</v>
      </c>
      <c r="AN64" s="1" t="s">
        <v>43</v>
      </c>
      <c r="AO64" s="1">
        <v>1</v>
      </c>
      <c r="AP64" s="1" t="s">
        <v>704</v>
      </c>
      <c r="AQ64" s="6">
        <f t="shared" si="9"/>
        <v>1</v>
      </c>
    </row>
    <row r="65" spans="1:46">
      <c r="A65" s="20">
        <v>69</v>
      </c>
      <c r="B65" s="1" t="s">
        <v>706</v>
      </c>
      <c r="C65" s="1" t="s">
        <v>706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 t="s">
        <v>43</v>
      </c>
      <c r="P65" t="s">
        <v>43</v>
      </c>
      <c r="Q65" s="1" t="s">
        <v>686</v>
      </c>
      <c r="R65" s="1">
        <v>2</v>
      </c>
      <c r="S65" s="1" t="s">
        <v>16</v>
      </c>
      <c r="T65" t="s">
        <v>711</v>
      </c>
      <c r="U65" s="12" t="s">
        <v>232</v>
      </c>
      <c r="V65">
        <v>0</v>
      </c>
      <c r="W65">
        <v>0</v>
      </c>
      <c r="X65">
        <v>0</v>
      </c>
      <c r="Y65">
        <v>1</v>
      </c>
      <c r="Z65">
        <v>0</v>
      </c>
      <c r="AA65">
        <v>0.1</v>
      </c>
      <c r="AB65" s="7" t="s">
        <v>216</v>
      </c>
      <c r="AC65" s="10">
        <v>5</v>
      </c>
      <c r="AD65" s="11">
        <v>4</v>
      </c>
      <c r="AE65">
        <f>AC65*AA65</f>
        <v>0.5</v>
      </c>
      <c r="AF65" s="11" t="s">
        <v>216</v>
      </c>
      <c r="AG65" s="11">
        <v>0.1</v>
      </c>
      <c r="AH65" t="s">
        <v>211</v>
      </c>
      <c r="AI65" s="10">
        <v>0.1</v>
      </c>
      <c r="AJ65" t="s">
        <v>43</v>
      </c>
      <c r="AK65" s="1" t="s">
        <v>33</v>
      </c>
      <c r="AL65" s="1" t="s">
        <v>554</v>
      </c>
      <c r="AM65" s="1" t="s">
        <v>590</v>
      </c>
      <c r="AN65" s="1" t="s">
        <v>43</v>
      </c>
      <c r="AO65" s="1" t="s">
        <v>43</v>
      </c>
      <c r="AP65" s="1" t="s">
        <v>631</v>
      </c>
      <c r="AQ65" s="6">
        <f t="shared" si="9"/>
        <v>1</v>
      </c>
    </row>
    <row r="66" spans="1:46">
      <c r="A66" s="20">
        <v>70</v>
      </c>
      <c r="B66" s="1" t="s">
        <v>716</v>
      </c>
      <c r="C66" s="1" t="s">
        <v>716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73</v>
      </c>
      <c r="P66" s="1" t="s">
        <v>102</v>
      </c>
      <c r="Q66" s="1" t="s">
        <v>78</v>
      </c>
      <c r="R66" s="1">
        <v>2</v>
      </c>
      <c r="S66" s="1" t="s">
        <v>78</v>
      </c>
      <c r="T66" s="6" t="s">
        <v>720</v>
      </c>
      <c r="U66" s="12" t="s">
        <v>232</v>
      </c>
      <c r="V66">
        <v>0</v>
      </c>
      <c r="W66">
        <v>1</v>
      </c>
      <c r="X66">
        <v>0</v>
      </c>
      <c r="Y66">
        <v>0</v>
      </c>
      <c r="Z66">
        <v>0</v>
      </c>
      <c r="AA66">
        <v>0.5</v>
      </c>
      <c r="AB66" s="7" t="s">
        <v>238</v>
      </c>
      <c r="AC66" s="10" t="s">
        <v>43</v>
      </c>
      <c r="AD66" s="11">
        <v>2</v>
      </c>
      <c r="AE66" t="s">
        <v>43</v>
      </c>
      <c r="AF66" s="11" t="s">
        <v>43</v>
      </c>
      <c r="AG66" s="11">
        <v>10</v>
      </c>
      <c r="AH66" s="11" t="s">
        <v>211</v>
      </c>
      <c r="AI66" s="11">
        <f>PI()*(0.25^2)</f>
        <v>0.19634954084936207</v>
      </c>
      <c r="AJ66" s="11" t="s">
        <v>43</v>
      </c>
      <c r="AK66" s="47" t="s">
        <v>33</v>
      </c>
      <c r="AL66" s="47" t="s">
        <v>554</v>
      </c>
      <c r="AM66" s="47" t="s">
        <v>605</v>
      </c>
      <c r="AN66" s="47">
        <v>1</v>
      </c>
      <c r="AO66" s="47" t="s">
        <v>43</v>
      </c>
      <c r="AP66" s="47" t="s">
        <v>635</v>
      </c>
      <c r="AQ66" s="6">
        <f t="shared" si="9"/>
        <v>1</v>
      </c>
      <c r="AS66" s="11">
        <v>15</v>
      </c>
      <c r="AT66" s="11" t="s">
        <v>211</v>
      </c>
    </row>
    <row r="67" spans="1:46">
      <c r="A67" s="20">
        <v>71</v>
      </c>
      <c r="B67" s="1" t="s">
        <v>724</v>
      </c>
      <c r="C67" s="1" t="s">
        <v>724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5</v>
      </c>
      <c r="P67" s="1" t="s">
        <v>310</v>
      </c>
      <c r="Q67" s="1" t="s">
        <v>730</v>
      </c>
      <c r="R67" s="1">
        <v>2</v>
      </c>
      <c r="S67" s="1" t="s">
        <v>218</v>
      </c>
      <c r="T67" s="6" t="s">
        <v>731</v>
      </c>
      <c r="U67" s="6" t="s">
        <v>232</v>
      </c>
      <c r="V67">
        <v>0</v>
      </c>
      <c r="W67">
        <v>1</v>
      </c>
      <c r="X67">
        <v>0</v>
      </c>
      <c r="Y67">
        <v>0</v>
      </c>
      <c r="Z67">
        <v>0</v>
      </c>
      <c r="AA67">
        <f>378*0.3</f>
        <v>113.39999999999999</v>
      </c>
      <c r="AB67" s="7" t="s">
        <v>216</v>
      </c>
      <c r="AC67" s="11">
        <v>1</v>
      </c>
      <c r="AD67" s="11">
        <v>3</v>
      </c>
      <c r="AE67">
        <f>AD67*AA67</f>
        <v>340.2</v>
      </c>
      <c r="AF67" s="11" t="s">
        <v>216</v>
      </c>
      <c r="AG67" s="11">
        <v>1</v>
      </c>
      <c r="AH67" s="11" t="s">
        <v>211</v>
      </c>
      <c r="AI67" s="11" t="s">
        <v>43</v>
      </c>
      <c r="AJ67">
        <v>113.39999999999999</v>
      </c>
      <c r="AK67" s="47" t="s">
        <v>33</v>
      </c>
      <c r="AL67" s="47" t="s">
        <v>554</v>
      </c>
      <c r="AM67" s="47" t="s">
        <v>732</v>
      </c>
      <c r="AN67" s="47" t="s">
        <v>43</v>
      </c>
      <c r="AO67" s="1" t="s">
        <v>43</v>
      </c>
      <c r="AP67" s="48" t="s">
        <v>631</v>
      </c>
      <c r="AQ67" s="6">
        <f t="shared" si="9"/>
        <v>1</v>
      </c>
    </row>
    <row r="68" spans="1:46">
      <c r="A68" s="20">
        <v>72</v>
      </c>
      <c r="B68" s="1" t="s">
        <v>735</v>
      </c>
      <c r="C68" s="1" t="s">
        <v>735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200</v>
      </c>
      <c r="P68" s="1" t="s">
        <v>102</v>
      </c>
      <c r="Q68" s="1" t="s">
        <v>739</v>
      </c>
      <c r="R68" s="1">
        <v>2</v>
      </c>
      <c r="S68" s="1" t="s">
        <v>78</v>
      </c>
      <c r="T68" s="6" t="s">
        <v>740</v>
      </c>
      <c r="U68" s="6" t="s">
        <v>232</v>
      </c>
      <c r="V68">
        <v>0</v>
      </c>
      <c r="W68">
        <v>0</v>
      </c>
      <c r="X68">
        <v>0</v>
      </c>
      <c r="Y68">
        <v>0</v>
      </c>
      <c r="Z68">
        <v>1</v>
      </c>
      <c r="AA68">
        <v>0.5</v>
      </c>
      <c r="AB68" s="7" t="s">
        <v>238</v>
      </c>
      <c r="AC68" s="10" t="s">
        <v>43</v>
      </c>
      <c r="AD68" s="11">
        <v>2</v>
      </c>
      <c r="AE68" t="s">
        <v>43</v>
      </c>
      <c r="AF68" s="11" t="s">
        <v>43</v>
      </c>
      <c r="AG68" s="11">
        <v>0.1</v>
      </c>
      <c r="AH68" s="11" t="s">
        <v>211</v>
      </c>
      <c r="AI68" s="11" t="s">
        <v>43</v>
      </c>
      <c r="AJ68" s="11">
        <f>PI()*0.25^2</f>
        <v>0.19634954084936207</v>
      </c>
      <c r="AK68" s="47" t="s">
        <v>33</v>
      </c>
      <c r="AL68" s="47" t="s">
        <v>554</v>
      </c>
      <c r="AM68" s="47" t="s">
        <v>605</v>
      </c>
      <c r="AN68" s="47" t="s">
        <v>43</v>
      </c>
      <c r="AO68" s="47" t="s">
        <v>43</v>
      </c>
      <c r="AP68" s="47" t="s">
        <v>635</v>
      </c>
      <c r="AQ68" s="6">
        <f t="shared" si="9"/>
        <v>1</v>
      </c>
    </row>
    <row r="69" spans="1:46">
      <c r="A69" s="20">
        <v>73</v>
      </c>
      <c r="B69" t="s">
        <v>742</v>
      </c>
      <c r="C69" t="s">
        <v>742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 t="s">
        <v>43</v>
      </c>
      <c r="P69" t="s">
        <v>43</v>
      </c>
      <c r="Q69" s="1" t="s">
        <v>686</v>
      </c>
      <c r="R69" s="1">
        <v>2</v>
      </c>
      <c r="S69" s="1" t="s">
        <v>16</v>
      </c>
      <c r="T69" s="6" t="s">
        <v>746</v>
      </c>
      <c r="U69" s="6" t="s">
        <v>232</v>
      </c>
      <c r="V69">
        <v>0</v>
      </c>
      <c r="W69">
        <v>0</v>
      </c>
      <c r="X69">
        <v>0</v>
      </c>
      <c r="Y69">
        <v>1</v>
      </c>
      <c r="Z69">
        <v>0</v>
      </c>
      <c r="AA69">
        <v>5.6000000000000001E-2</v>
      </c>
      <c r="AB69" s="7" t="s">
        <v>216</v>
      </c>
      <c r="AC69" s="11">
        <v>5</v>
      </c>
      <c r="AD69" s="11">
        <v>1</v>
      </c>
      <c r="AE69">
        <f>AC69*AA69</f>
        <v>0.28000000000000003</v>
      </c>
      <c r="AF69" s="11" t="s">
        <v>216</v>
      </c>
      <c r="AG69" s="11">
        <v>0.1</v>
      </c>
      <c r="AH69" s="11" t="s">
        <v>211</v>
      </c>
      <c r="AI69" s="11">
        <f>AA69</f>
        <v>5.6000000000000001E-2</v>
      </c>
      <c r="AJ69">
        <v>0.28000000000000003</v>
      </c>
      <c r="AK69" s="47" t="s">
        <v>33</v>
      </c>
      <c r="AL69" s="47" t="s">
        <v>554</v>
      </c>
      <c r="AM69" s="47" t="s">
        <v>582</v>
      </c>
      <c r="AN69" s="1">
        <f>1/0.056</f>
        <v>17.857142857142858</v>
      </c>
      <c r="AO69" s="48" t="s">
        <v>43</v>
      </c>
      <c r="AP69" s="48" t="s">
        <v>631</v>
      </c>
      <c r="AQ69" s="6">
        <f t="shared" si="9"/>
        <v>1</v>
      </c>
    </row>
    <row r="70" spans="1:46">
      <c r="A70" s="20">
        <v>74</v>
      </c>
      <c r="B70" s="1" t="s">
        <v>748</v>
      </c>
      <c r="C70" s="1" t="s">
        <v>748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0</v>
      </c>
      <c r="N70">
        <v>0</v>
      </c>
      <c r="O70" t="s">
        <v>43</v>
      </c>
      <c r="P70" t="s">
        <v>43</v>
      </c>
      <c r="Q70" s="1" t="s">
        <v>686</v>
      </c>
      <c r="R70" s="1">
        <v>2</v>
      </c>
      <c r="S70" s="1" t="s">
        <v>16</v>
      </c>
      <c r="T70" s="6" t="s">
        <v>759</v>
      </c>
      <c r="U70" s="6" t="s">
        <v>232</v>
      </c>
      <c r="V70">
        <v>0</v>
      </c>
      <c r="W70">
        <v>0</v>
      </c>
      <c r="X70">
        <v>0</v>
      </c>
      <c r="Y70">
        <v>1</v>
      </c>
      <c r="Z70">
        <v>0</v>
      </c>
      <c r="AA70">
        <v>0.06</v>
      </c>
      <c r="AB70" s="7" t="s">
        <v>216</v>
      </c>
      <c r="AC70" s="11">
        <v>4</v>
      </c>
      <c r="AD70" s="11">
        <v>6</v>
      </c>
      <c r="AE70">
        <f>AC70*AA70</f>
        <v>0.24</v>
      </c>
      <c r="AF70" s="11" t="s">
        <v>216</v>
      </c>
      <c r="AG70" s="11">
        <v>0.1</v>
      </c>
      <c r="AH70" s="11" t="s">
        <v>211</v>
      </c>
      <c r="AI70" s="11" t="s">
        <v>43</v>
      </c>
      <c r="AJ70">
        <v>0.24</v>
      </c>
      <c r="AK70" s="47" t="s">
        <v>33</v>
      </c>
      <c r="AL70" s="47" t="s">
        <v>554</v>
      </c>
      <c r="AM70" s="47" t="s">
        <v>589</v>
      </c>
      <c r="AN70" s="47" t="s">
        <v>43</v>
      </c>
      <c r="AO70" s="47" t="s">
        <v>43</v>
      </c>
      <c r="AP70" s="47" t="s">
        <v>631</v>
      </c>
      <c r="AQ70" s="6">
        <f t="shared" si="9"/>
        <v>1</v>
      </c>
    </row>
    <row r="71" spans="1:46">
      <c r="A71" s="20">
        <v>75</v>
      </c>
      <c r="B71" t="s">
        <v>763</v>
      </c>
      <c r="C71" t="s">
        <v>763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 t="s">
        <v>43</v>
      </c>
      <c r="P71" t="s">
        <v>43</v>
      </c>
      <c r="Q71" s="1" t="s">
        <v>686</v>
      </c>
      <c r="R71" s="1">
        <v>2</v>
      </c>
      <c r="S71" s="1" t="s">
        <v>16</v>
      </c>
      <c r="T71" s="6" t="s">
        <v>803</v>
      </c>
      <c r="U71" s="6" t="s">
        <v>232</v>
      </c>
      <c r="V71">
        <v>1</v>
      </c>
      <c r="W71">
        <v>0</v>
      </c>
      <c r="X71">
        <v>0</v>
      </c>
      <c r="Y71">
        <v>0</v>
      </c>
      <c r="Z71">
        <v>1</v>
      </c>
      <c r="AA71">
        <v>0.04</v>
      </c>
      <c r="AB71" s="7" t="s">
        <v>216</v>
      </c>
      <c r="AC71" s="10">
        <v>20</v>
      </c>
      <c r="AD71" s="11">
        <v>3</v>
      </c>
      <c r="AE71" t="s">
        <v>43</v>
      </c>
      <c r="AF71" s="11" t="s">
        <v>43</v>
      </c>
      <c r="AG71" s="11">
        <v>0.1</v>
      </c>
      <c r="AH71" s="11" t="s">
        <v>211</v>
      </c>
      <c r="AI71" s="11" t="s">
        <v>43</v>
      </c>
      <c r="AJ71" s="11">
        <f>AA71*AC71</f>
        <v>0.8</v>
      </c>
      <c r="AK71" s="47" t="s">
        <v>33</v>
      </c>
      <c r="AL71" s="47" t="s">
        <v>554</v>
      </c>
      <c r="AM71" s="47" t="s">
        <v>605</v>
      </c>
      <c r="AN71" s="47" t="s">
        <v>43</v>
      </c>
      <c r="AO71" s="1">
        <v>1</v>
      </c>
      <c r="AP71" s="47" t="s">
        <v>635</v>
      </c>
      <c r="AQ71" s="1">
        <v>1</v>
      </c>
      <c r="AR71" s="1" t="s">
        <v>800</v>
      </c>
    </row>
    <row r="72" spans="1:46">
      <c r="A72" s="20">
        <v>76</v>
      </c>
      <c r="B72" t="s">
        <v>768</v>
      </c>
      <c r="C72" t="s">
        <v>773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 t="s">
        <v>43</v>
      </c>
      <c r="P72" t="s">
        <v>43</v>
      </c>
      <c r="Q72" s="1" t="s">
        <v>15</v>
      </c>
      <c r="R72" s="1">
        <v>3</v>
      </c>
      <c r="S72" s="1" t="s">
        <v>15</v>
      </c>
      <c r="T72" s="6" t="s">
        <v>776</v>
      </c>
      <c r="U72" s="6" t="s">
        <v>232</v>
      </c>
      <c r="V72">
        <v>1</v>
      </c>
      <c r="W72">
        <v>0</v>
      </c>
      <c r="X72">
        <v>0</v>
      </c>
      <c r="Y72">
        <v>0</v>
      </c>
      <c r="Z72">
        <v>0</v>
      </c>
      <c r="AA72">
        <v>1570</v>
      </c>
      <c r="AB72" s="7" t="s">
        <v>221</v>
      </c>
      <c r="AC72" s="11">
        <v>10</v>
      </c>
      <c r="AD72" s="11">
        <v>3</v>
      </c>
      <c r="AE72">
        <f>AA72*10</f>
        <v>15700</v>
      </c>
      <c r="AF72" s="11" t="s">
        <v>221</v>
      </c>
      <c r="AG72" s="11">
        <v>0.1</v>
      </c>
      <c r="AH72" s="11" t="s">
        <v>211</v>
      </c>
      <c r="AI72" s="11" t="s">
        <v>43</v>
      </c>
      <c r="AJ72">
        <f>PI()*25*10</f>
        <v>785.39816339744834</v>
      </c>
      <c r="AK72" s="47" t="s">
        <v>33</v>
      </c>
      <c r="AL72" s="47" t="s">
        <v>43</v>
      </c>
      <c r="AM72" s="47" t="s">
        <v>43</v>
      </c>
      <c r="AN72" s="47" t="s">
        <v>43</v>
      </c>
      <c r="AO72" s="47" t="s">
        <v>43</v>
      </c>
      <c r="AP72" s="47" t="s">
        <v>43</v>
      </c>
      <c r="AQ72" s="1">
        <v>0</v>
      </c>
      <c r="AR72">
        <f>PI()*25*20</f>
        <v>1570.7963267948967</v>
      </c>
    </row>
    <row r="73" spans="1:46">
      <c r="A73" s="20">
        <v>77</v>
      </c>
      <c r="B73" t="s">
        <v>768</v>
      </c>
      <c r="C73" t="s">
        <v>774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 t="s">
        <v>43</v>
      </c>
      <c r="P73" t="s">
        <v>43</v>
      </c>
      <c r="Q73" s="1" t="s">
        <v>15</v>
      </c>
      <c r="R73" s="1">
        <v>3</v>
      </c>
      <c r="S73" s="1" t="s">
        <v>15</v>
      </c>
      <c r="T73" s="6" t="s">
        <v>776</v>
      </c>
      <c r="U73" s="6" t="s">
        <v>232</v>
      </c>
      <c r="V73">
        <v>1</v>
      </c>
      <c r="W73">
        <v>0</v>
      </c>
      <c r="X73">
        <v>0</v>
      </c>
      <c r="Y73">
        <v>0</v>
      </c>
      <c r="Z73">
        <v>0</v>
      </c>
      <c r="AA73">
        <v>1570</v>
      </c>
      <c r="AB73" s="7" t="s">
        <v>221</v>
      </c>
      <c r="AC73" s="11">
        <v>10</v>
      </c>
      <c r="AD73" s="11">
        <v>3</v>
      </c>
      <c r="AE73">
        <f t="shared" ref="AE73:AE74" si="10">AA73*10</f>
        <v>15700</v>
      </c>
      <c r="AF73" s="11" t="s">
        <v>221</v>
      </c>
      <c r="AG73" s="11">
        <v>0.1</v>
      </c>
      <c r="AH73" s="11" t="s">
        <v>211</v>
      </c>
      <c r="AI73" s="11" t="s">
        <v>43</v>
      </c>
      <c r="AJ73">
        <f t="shared" ref="AJ73:AJ74" si="11">PI()*25*10</f>
        <v>785.39816339744834</v>
      </c>
      <c r="AK73" s="47" t="s">
        <v>33</v>
      </c>
      <c r="AL73" s="47" t="s">
        <v>43</v>
      </c>
      <c r="AM73" s="47" t="s">
        <v>43</v>
      </c>
      <c r="AN73" s="47" t="s">
        <v>43</v>
      </c>
      <c r="AO73" s="47" t="s">
        <v>43</v>
      </c>
      <c r="AP73" s="47" t="s">
        <v>43</v>
      </c>
      <c r="AQ73" s="1">
        <v>0</v>
      </c>
      <c r="AR73">
        <f t="shared" ref="AR73:AR74" si="12">PI()*25*20</f>
        <v>1570.7963267948967</v>
      </c>
    </row>
    <row r="74" spans="1:46">
      <c r="A74" s="20">
        <v>78</v>
      </c>
      <c r="B74" t="s">
        <v>768</v>
      </c>
      <c r="C74" t="s">
        <v>775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 t="s">
        <v>43</v>
      </c>
      <c r="P74" t="s">
        <v>43</v>
      </c>
      <c r="Q74" s="1" t="s">
        <v>15</v>
      </c>
      <c r="R74" s="1">
        <v>3</v>
      </c>
      <c r="S74" s="1" t="s">
        <v>15</v>
      </c>
      <c r="T74" s="6" t="s">
        <v>776</v>
      </c>
      <c r="U74" s="6" t="s">
        <v>232</v>
      </c>
      <c r="V74">
        <v>1</v>
      </c>
      <c r="W74">
        <v>0</v>
      </c>
      <c r="X74">
        <v>0</v>
      </c>
      <c r="Y74">
        <v>0</v>
      </c>
      <c r="Z74">
        <v>0</v>
      </c>
      <c r="AA74">
        <v>1570</v>
      </c>
      <c r="AB74" s="7" t="s">
        <v>221</v>
      </c>
      <c r="AC74" s="11">
        <v>10</v>
      </c>
      <c r="AD74" s="11">
        <v>3</v>
      </c>
      <c r="AE74">
        <f t="shared" si="10"/>
        <v>15700</v>
      </c>
      <c r="AF74" s="11" t="s">
        <v>221</v>
      </c>
      <c r="AG74" s="11">
        <v>0.1</v>
      </c>
      <c r="AH74" s="11" t="s">
        <v>211</v>
      </c>
      <c r="AI74" s="11" t="s">
        <v>43</v>
      </c>
      <c r="AJ74">
        <f t="shared" si="11"/>
        <v>785.39816339744834</v>
      </c>
      <c r="AK74" s="47" t="s">
        <v>33</v>
      </c>
      <c r="AL74" s="47" t="s">
        <v>43</v>
      </c>
      <c r="AM74" s="47" t="s">
        <v>43</v>
      </c>
      <c r="AN74" s="47" t="s">
        <v>43</v>
      </c>
      <c r="AO74" s="47" t="s">
        <v>43</v>
      </c>
      <c r="AP74" s="47" t="s">
        <v>43</v>
      </c>
      <c r="AQ74" s="1">
        <v>0</v>
      </c>
      <c r="AR74">
        <f t="shared" si="12"/>
        <v>1570.7963267948967</v>
      </c>
    </row>
    <row r="75" spans="1:46">
      <c r="A75" s="20">
        <v>79</v>
      </c>
      <c r="B75" t="s">
        <v>779</v>
      </c>
      <c r="C75" t="s">
        <v>779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1</v>
      </c>
      <c r="K75" s="1">
        <v>1</v>
      </c>
      <c r="L75" s="1">
        <v>0</v>
      </c>
      <c r="M75" s="1">
        <v>0</v>
      </c>
      <c r="N75" s="1">
        <v>0</v>
      </c>
      <c r="O75" s="1" t="s">
        <v>43</v>
      </c>
      <c r="P75" s="1" t="s">
        <v>43</v>
      </c>
      <c r="Q75" s="1" t="s">
        <v>686</v>
      </c>
      <c r="R75" s="1">
        <v>2</v>
      </c>
      <c r="S75" s="1" t="s">
        <v>16</v>
      </c>
      <c r="T75" s="6" t="s">
        <v>783</v>
      </c>
      <c r="U75" s="6" t="s">
        <v>232</v>
      </c>
      <c r="V75">
        <v>0</v>
      </c>
      <c r="W75">
        <v>0</v>
      </c>
      <c r="X75">
        <v>0</v>
      </c>
      <c r="Y75">
        <v>1</v>
      </c>
      <c r="Z75">
        <v>0</v>
      </c>
      <c r="AA75">
        <v>0.1</v>
      </c>
      <c r="AB75" s="7" t="s">
        <v>216</v>
      </c>
      <c r="AC75" s="11">
        <v>5</v>
      </c>
      <c r="AD75" s="11">
        <v>5</v>
      </c>
      <c r="AE75">
        <f>AA75*AC75</f>
        <v>0.5</v>
      </c>
      <c r="AF75" s="11" t="s">
        <v>216</v>
      </c>
      <c r="AG75" s="11">
        <v>0.1</v>
      </c>
      <c r="AH75" s="11" t="s">
        <v>211</v>
      </c>
      <c r="AI75" s="10">
        <v>0.5</v>
      </c>
      <c r="AJ75" t="s">
        <v>43</v>
      </c>
      <c r="AK75" s="47" t="s">
        <v>33</v>
      </c>
      <c r="AL75" s="47" t="s">
        <v>43</v>
      </c>
      <c r="AM75" s="47" t="s">
        <v>43</v>
      </c>
      <c r="AN75" s="47" t="s">
        <v>43</v>
      </c>
      <c r="AO75" s="47" t="s">
        <v>43</v>
      </c>
      <c r="AP75" s="47" t="s">
        <v>43</v>
      </c>
      <c r="AQ75" s="1">
        <v>0</v>
      </c>
    </row>
    <row r="76" spans="1:46">
      <c r="A76" s="20">
        <v>17</v>
      </c>
      <c r="B76" t="s">
        <v>9</v>
      </c>
      <c r="C76" t="s">
        <v>820</v>
      </c>
      <c r="D76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>
        <v>0</v>
      </c>
      <c r="M76">
        <v>0</v>
      </c>
      <c r="N76" s="1">
        <v>0</v>
      </c>
      <c r="O76" s="1" t="s">
        <v>43</v>
      </c>
      <c r="P76" s="1" t="s">
        <v>43</v>
      </c>
      <c r="Q76" s="1" t="s">
        <v>14</v>
      </c>
      <c r="R76" s="1">
        <v>1</v>
      </c>
      <c r="S76" s="1" t="s">
        <v>14</v>
      </c>
      <c r="T76" s="6" t="s">
        <v>821</v>
      </c>
      <c r="U76" s="6" t="s">
        <v>232</v>
      </c>
      <c r="V76">
        <v>1</v>
      </c>
      <c r="W76">
        <v>0</v>
      </c>
      <c r="X76">
        <v>0</v>
      </c>
      <c r="Y76">
        <v>0</v>
      </c>
      <c r="Z76">
        <v>0</v>
      </c>
      <c r="AA76">
        <v>40</v>
      </c>
      <c r="AB76" t="s">
        <v>238</v>
      </c>
      <c r="AC76" s="10" t="s">
        <v>237</v>
      </c>
      <c r="AD76" s="10">
        <v>11</v>
      </c>
      <c r="AE76" s="10">
        <f>AA76*5</f>
        <v>200</v>
      </c>
      <c r="AF76" s="10" t="s">
        <v>216</v>
      </c>
      <c r="AG76" s="10">
        <v>0.1</v>
      </c>
      <c r="AH76" t="s">
        <v>211</v>
      </c>
      <c r="AI76" s="10">
        <v>40</v>
      </c>
      <c r="AJ76">
        <v>200</v>
      </c>
      <c r="AK76" s="1" t="s">
        <v>33</v>
      </c>
      <c r="AL76" s="1" t="s">
        <v>555</v>
      </c>
      <c r="AM76" s="1" t="s">
        <v>555</v>
      </c>
      <c r="AN76" s="1">
        <v>1</v>
      </c>
      <c r="AO76" s="1">
        <v>1</v>
      </c>
      <c r="AP76" s="1" t="s">
        <v>632</v>
      </c>
      <c r="AQ76" s="6">
        <f t="shared" ref="AQ76:AQ79" si="13">IF(AP76 = "NA", 0, 1)</f>
        <v>1</v>
      </c>
      <c r="AR76" t="s">
        <v>613</v>
      </c>
    </row>
    <row r="77" spans="1:46">
      <c r="A77" s="20">
        <v>18</v>
      </c>
      <c r="B77" t="s">
        <v>9</v>
      </c>
      <c r="C77" t="s">
        <v>99</v>
      </c>
      <c r="D77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>
        <v>0</v>
      </c>
      <c r="M77">
        <v>0</v>
      </c>
      <c r="N77" s="1">
        <v>0</v>
      </c>
      <c r="O77" s="1" t="s">
        <v>43</v>
      </c>
      <c r="P77" s="1" t="s">
        <v>43</v>
      </c>
      <c r="Q77" s="1" t="s">
        <v>15</v>
      </c>
      <c r="R77" s="1">
        <v>3</v>
      </c>
      <c r="S77" s="1" t="s">
        <v>15</v>
      </c>
      <c r="T77" s="6" t="s">
        <v>236</v>
      </c>
      <c r="U77" s="6" t="s">
        <v>232</v>
      </c>
      <c r="V77">
        <v>1</v>
      </c>
      <c r="W77">
        <v>0</v>
      </c>
      <c r="X77">
        <v>0</v>
      </c>
      <c r="Y77">
        <v>0</v>
      </c>
      <c r="Z77">
        <v>0</v>
      </c>
      <c r="AA77">
        <f>40*2</f>
        <v>80</v>
      </c>
      <c r="AB77" t="s">
        <v>216</v>
      </c>
      <c r="AC77" s="10" t="s">
        <v>237</v>
      </c>
      <c r="AD77" s="10">
        <v>11</v>
      </c>
      <c r="AE77" s="10">
        <f>AA77*5</f>
        <v>400</v>
      </c>
      <c r="AF77" s="10" t="s">
        <v>216</v>
      </c>
      <c r="AG77" s="10">
        <v>0.1</v>
      </c>
      <c r="AH77" t="s">
        <v>211</v>
      </c>
      <c r="AI77" s="10">
        <v>80</v>
      </c>
      <c r="AJ77">
        <v>400</v>
      </c>
      <c r="AK77" s="1" t="s">
        <v>33</v>
      </c>
      <c r="AL77" s="1" t="s">
        <v>554</v>
      </c>
      <c r="AM77" s="1" t="s">
        <v>582</v>
      </c>
      <c r="AN77" s="1" t="s">
        <v>43</v>
      </c>
      <c r="AO77" s="1" t="s">
        <v>43</v>
      </c>
      <c r="AP77" s="1" t="s">
        <v>631</v>
      </c>
      <c r="AQ77" s="6">
        <f t="shared" si="13"/>
        <v>1</v>
      </c>
      <c r="AR77" t="s">
        <v>613</v>
      </c>
    </row>
    <row r="78" spans="1:46">
      <c r="A78" s="20">
        <v>19</v>
      </c>
      <c r="B78" t="s">
        <v>9</v>
      </c>
      <c r="C78" t="s">
        <v>822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1</v>
      </c>
      <c r="L78">
        <v>0</v>
      </c>
      <c r="M78">
        <v>0</v>
      </c>
      <c r="N78" s="1">
        <v>0</v>
      </c>
      <c r="O78" s="1" t="s">
        <v>43</v>
      </c>
      <c r="P78" s="1" t="s">
        <v>43</v>
      </c>
      <c r="Q78" s="1" t="s">
        <v>823</v>
      </c>
      <c r="R78" s="1">
        <v>2</v>
      </c>
      <c r="S78" s="1" t="s">
        <v>16</v>
      </c>
      <c r="T78" s="6" t="s">
        <v>821</v>
      </c>
      <c r="U78" s="6" t="s">
        <v>232</v>
      </c>
      <c r="V78">
        <v>1</v>
      </c>
      <c r="W78">
        <v>0</v>
      </c>
      <c r="X78">
        <v>0</v>
      </c>
      <c r="Y78">
        <v>0</v>
      </c>
      <c r="Z78">
        <v>0</v>
      </c>
      <c r="AA78">
        <v>80</v>
      </c>
      <c r="AB78" t="s">
        <v>238</v>
      </c>
      <c r="AC78" s="10" t="s">
        <v>237</v>
      </c>
      <c r="AD78" s="10">
        <v>11</v>
      </c>
      <c r="AE78" s="10">
        <f>AA78*5</f>
        <v>400</v>
      </c>
      <c r="AF78" s="10" t="s">
        <v>216</v>
      </c>
      <c r="AG78" s="10">
        <v>0.1</v>
      </c>
      <c r="AH78" t="s">
        <v>211</v>
      </c>
      <c r="AI78" s="10">
        <v>40</v>
      </c>
      <c r="AJ78">
        <v>200</v>
      </c>
      <c r="AK78" s="1" t="s">
        <v>33</v>
      </c>
      <c r="AL78" s="1" t="s">
        <v>555</v>
      </c>
      <c r="AM78" s="1" t="s">
        <v>555</v>
      </c>
      <c r="AN78" s="1">
        <v>1</v>
      </c>
      <c r="AO78" s="1">
        <v>1</v>
      </c>
      <c r="AP78" s="1" t="s">
        <v>632</v>
      </c>
      <c r="AQ78" s="6">
        <f t="shared" si="13"/>
        <v>1</v>
      </c>
      <c r="AR78" t="s">
        <v>613</v>
      </c>
    </row>
    <row r="79" spans="1:46">
      <c r="A79" s="20">
        <v>21</v>
      </c>
      <c r="B79" t="s">
        <v>9</v>
      </c>
      <c r="C79" t="s">
        <v>824</v>
      </c>
      <c r="D79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  <c r="L79">
        <v>0</v>
      </c>
      <c r="M79">
        <v>0</v>
      </c>
      <c r="N79" s="1">
        <v>0</v>
      </c>
      <c r="O79" s="1" t="s">
        <v>43</v>
      </c>
      <c r="P79" s="1" t="s">
        <v>43</v>
      </c>
      <c r="Q79" s="1" t="s">
        <v>689</v>
      </c>
      <c r="R79" s="1">
        <v>3</v>
      </c>
      <c r="S79" s="1" t="s">
        <v>16</v>
      </c>
      <c r="T79" s="6" t="s">
        <v>236</v>
      </c>
      <c r="U79" s="12" t="s">
        <v>231</v>
      </c>
      <c r="V79">
        <v>1</v>
      </c>
      <c r="W79">
        <v>0</v>
      </c>
      <c r="X79">
        <v>0</v>
      </c>
      <c r="Y79">
        <v>0</v>
      </c>
      <c r="Z79">
        <v>0</v>
      </c>
      <c r="AA79">
        <f>40*2</f>
        <v>80</v>
      </c>
      <c r="AB79" t="s">
        <v>216</v>
      </c>
      <c r="AC79" s="10" t="s">
        <v>237</v>
      </c>
      <c r="AD79" s="10">
        <v>11</v>
      </c>
      <c r="AE79" s="10">
        <f>AA79*5</f>
        <v>400</v>
      </c>
      <c r="AF79" s="10" t="s">
        <v>216</v>
      </c>
      <c r="AG79" s="10">
        <v>0.1</v>
      </c>
      <c r="AH79" t="s">
        <v>211</v>
      </c>
      <c r="AI79" s="10">
        <f>40*2</f>
        <v>80</v>
      </c>
      <c r="AJ79" s="10">
        <f>AE79</f>
        <v>400</v>
      </c>
      <c r="AK79" s="1" t="s">
        <v>33</v>
      </c>
      <c r="AL79" s="1" t="s">
        <v>554</v>
      </c>
      <c r="AM79" s="1" t="s">
        <v>582</v>
      </c>
      <c r="AN79" s="1" t="s">
        <v>43</v>
      </c>
      <c r="AO79" s="1" t="s">
        <v>43</v>
      </c>
      <c r="AP79" s="1" t="s">
        <v>631</v>
      </c>
      <c r="AQ79" s="6">
        <f t="shared" si="13"/>
        <v>1</v>
      </c>
      <c r="AR79" t="s">
        <v>613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2"/>
  <sheetViews>
    <sheetView workbookViewId="0">
      <pane ySplit="1" topLeftCell="A22" activePane="bottomLeft" state="frozen"/>
      <selection pane="bottomLeft" activeCell="C49" sqref="C49"/>
    </sheetView>
  </sheetViews>
  <sheetFormatPr baseColWidth="10" defaultRowHeight="15" x14ac:dyDescent="0"/>
  <cols>
    <col min="1" max="2" width="5.1640625" customWidth="1"/>
    <col min="3" max="3" width="13.33203125" bestFit="1" customWidth="1"/>
    <col min="4" max="4" width="17.5" bestFit="1" customWidth="1"/>
    <col min="5" max="5" width="5.83203125" bestFit="1" customWidth="1"/>
    <col min="6" max="6" width="19.83203125" customWidth="1"/>
    <col min="7" max="7" width="15.5" bestFit="1" customWidth="1"/>
    <col min="8" max="8" width="32" bestFit="1" customWidth="1"/>
    <col min="9" max="9" width="9.83203125" customWidth="1"/>
    <col min="10" max="10" width="9.6640625" customWidth="1"/>
    <col min="11" max="11" width="12.33203125" bestFit="1" customWidth="1"/>
    <col min="12" max="12" width="9.6640625" customWidth="1"/>
    <col min="13" max="14" width="10.6640625" style="10" customWidth="1"/>
    <col min="15" max="16" width="8.83203125" customWidth="1"/>
    <col min="17" max="17" width="9.33203125" customWidth="1"/>
    <col min="18" max="18" width="10.33203125" customWidth="1"/>
    <col min="19" max="19" width="18" customWidth="1"/>
    <col min="20" max="20" width="16" bestFit="1" customWidth="1"/>
    <col min="21" max="21" width="12.6640625" bestFit="1" customWidth="1"/>
    <col min="22" max="22" width="11.1640625" bestFit="1" customWidth="1"/>
  </cols>
  <sheetData>
    <row r="1" spans="1:23">
      <c r="A1" t="s">
        <v>207</v>
      </c>
      <c r="B1" t="s">
        <v>817</v>
      </c>
      <c r="C1" t="s">
        <v>0</v>
      </c>
      <c r="D1" s="16" t="s">
        <v>103</v>
      </c>
      <c r="E1" s="13" t="s">
        <v>189</v>
      </c>
      <c r="F1" t="s">
        <v>557</v>
      </c>
      <c r="G1" t="s">
        <v>556</v>
      </c>
      <c r="H1" s="13" t="s">
        <v>205</v>
      </c>
      <c r="I1" s="13" t="s">
        <v>242</v>
      </c>
      <c r="J1" t="s">
        <v>190</v>
      </c>
      <c r="K1" s="13" t="s">
        <v>811</v>
      </c>
      <c r="L1" s="13" t="s">
        <v>245</v>
      </c>
      <c r="M1" s="23" t="s">
        <v>203</v>
      </c>
      <c r="N1" s="23" t="s">
        <v>204</v>
      </c>
      <c r="O1" s="13" t="s">
        <v>17</v>
      </c>
      <c r="P1" s="13" t="s">
        <v>18</v>
      </c>
      <c r="Q1" s="13" t="s">
        <v>575</v>
      </c>
      <c r="R1" s="13" t="s">
        <v>249</v>
      </c>
      <c r="S1" t="s">
        <v>202</v>
      </c>
      <c r="T1" s="13" t="s">
        <v>794</v>
      </c>
      <c r="U1" s="13" t="s">
        <v>798</v>
      </c>
      <c r="V1" s="13" t="s">
        <v>799</v>
      </c>
      <c r="W1" s="13" t="s">
        <v>813</v>
      </c>
    </row>
    <row r="2" spans="1:23">
      <c r="A2" s="20">
        <v>89</v>
      </c>
      <c r="B2" s="20">
        <v>58</v>
      </c>
      <c r="C2" s="25" t="s">
        <v>260</v>
      </c>
      <c r="D2" s="25" t="s">
        <v>267</v>
      </c>
      <c r="E2" s="25" t="s">
        <v>194</v>
      </c>
      <c r="F2" s="25" t="s">
        <v>43</v>
      </c>
      <c r="G2" s="25" t="s">
        <v>43</v>
      </c>
      <c r="H2" s="25" t="s">
        <v>246</v>
      </c>
      <c r="I2" s="25" t="s">
        <v>246</v>
      </c>
      <c r="J2" s="25" t="s">
        <v>43</v>
      </c>
      <c r="K2" s="25" t="s">
        <v>193</v>
      </c>
      <c r="L2" t="s">
        <v>812</v>
      </c>
      <c r="M2" s="28">
        <v>33390</v>
      </c>
      <c r="N2" s="28" t="s">
        <v>43</v>
      </c>
      <c r="O2" s="25">
        <v>-41.88</v>
      </c>
      <c r="P2" s="25">
        <v>148.31</v>
      </c>
      <c r="Q2" s="25">
        <v>3</v>
      </c>
      <c r="R2" t="str">
        <f t="shared" ref="R2:R65" si="0">IF(ABS(O2)&lt;23.5,"tropical",IF(ABS(O2)&lt;38,"subtropical",IF(ABS(O2)&lt;66.3,"temperate","polar")))</f>
        <v>temperate</v>
      </c>
      <c r="S2" s="25"/>
      <c r="T2" t="str">
        <f t="shared" ref="T2:T7" si="1">IF(F2 = "MPA", "1_protected", "2_unprotected")</f>
        <v>2_unprotected</v>
      </c>
      <c r="U2" s="26" t="s">
        <v>43</v>
      </c>
      <c r="V2" s="26" t="s">
        <v>43</v>
      </c>
      <c r="W2" s="25"/>
    </row>
    <row r="3" spans="1:23">
      <c r="A3" s="20">
        <v>90</v>
      </c>
      <c r="B3" s="20">
        <v>59</v>
      </c>
      <c r="C3" t="s">
        <v>260</v>
      </c>
      <c r="D3" t="s">
        <v>268</v>
      </c>
      <c r="E3" t="s">
        <v>191</v>
      </c>
      <c r="F3" t="s">
        <v>198</v>
      </c>
      <c r="G3" t="s">
        <v>43</v>
      </c>
      <c r="H3" t="s">
        <v>673</v>
      </c>
      <c r="I3" t="s">
        <v>244</v>
      </c>
      <c r="J3" t="s">
        <v>199</v>
      </c>
      <c r="K3" t="s">
        <v>199</v>
      </c>
      <c r="L3" t="s">
        <v>199</v>
      </c>
      <c r="M3" s="10">
        <v>33390</v>
      </c>
      <c r="N3" s="10" t="s">
        <v>43</v>
      </c>
      <c r="O3">
        <v>-41.872999999999998</v>
      </c>
      <c r="P3">
        <v>148.315</v>
      </c>
      <c r="Q3">
        <v>2</v>
      </c>
      <c r="R3" t="str">
        <f t="shared" si="0"/>
        <v>temperate</v>
      </c>
      <c r="T3" t="str">
        <f t="shared" si="1"/>
        <v>1_protected</v>
      </c>
      <c r="U3" s="26" t="s">
        <v>43</v>
      </c>
      <c r="V3" s="26" t="s">
        <v>43</v>
      </c>
    </row>
    <row r="4" spans="1:23">
      <c r="A4" s="20">
        <v>91</v>
      </c>
      <c r="B4" s="20">
        <v>115</v>
      </c>
      <c r="C4" t="s">
        <v>260</v>
      </c>
      <c r="D4" t="s">
        <v>269</v>
      </c>
      <c r="E4" t="s">
        <v>194</v>
      </c>
      <c r="F4" t="s">
        <v>43</v>
      </c>
      <c r="G4" t="s">
        <v>43</v>
      </c>
      <c r="H4" t="s">
        <v>246</v>
      </c>
      <c r="I4" t="s">
        <v>246</v>
      </c>
      <c r="J4" t="s">
        <v>43</v>
      </c>
      <c r="K4" t="s">
        <v>193</v>
      </c>
      <c r="L4" t="s">
        <v>812</v>
      </c>
      <c r="M4" s="10">
        <v>33390</v>
      </c>
      <c r="N4" s="10" t="s">
        <v>43</v>
      </c>
      <c r="O4">
        <v>-42.61</v>
      </c>
      <c r="P4">
        <v>148.035</v>
      </c>
      <c r="Q4">
        <v>5</v>
      </c>
      <c r="R4" t="str">
        <f t="shared" si="0"/>
        <v>temperate</v>
      </c>
      <c r="T4" t="str">
        <f t="shared" si="1"/>
        <v>2_unprotected</v>
      </c>
      <c r="U4" s="26" t="s">
        <v>43</v>
      </c>
      <c r="V4" s="26" t="s">
        <v>43</v>
      </c>
    </row>
    <row r="5" spans="1:23">
      <c r="A5" s="20">
        <v>92</v>
      </c>
      <c r="B5" s="20">
        <v>116</v>
      </c>
      <c r="C5" t="s">
        <v>260</v>
      </c>
      <c r="D5" t="s">
        <v>270</v>
      </c>
      <c r="E5" t="s">
        <v>191</v>
      </c>
      <c r="F5" t="s">
        <v>198</v>
      </c>
      <c r="G5" t="s">
        <v>43</v>
      </c>
      <c r="H5" t="s">
        <v>673</v>
      </c>
      <c r="I5" t="s">
        <v>244</v>
      </c>
      <c r="J5" t="s">
        <v>199</v>
      </c>
      <c r="K5" t="s">
        <v>199</v>
      </c>
      <c r="L5" t="s">
        <v>199</v>
      </c>
      <c r="M5" s="10">
        <v>33390</v>
      </c>
      <c r="N5" s="10" t="s">
        <v>43</v>
      </c>
      <c r="O5">
        <v>-42.631999999999998</v>
      </c>
      <c r="P5">
        <v>147.95599999999999</v>
      </c>
      <c r="Q5">
        <v>7</v>
      </c>
      <c r="R5" t="str">
        <f t="shared" si="0"/>
        <v>temperate</v>
      </c>
      <c r="T5" t="str">
        <f t="shared" si="1"/>
        <v>1_protected</v>
      </c>
      <c r="U5" s="26" t="s">
        <v>43</v>
      </c>
      <c r="V5" s="26" t="s">
        <v>43</v>
      </c>
    </row>
    <row r="6" spans="1:23">
      <c r="A6" s="20">
        <v>93</v>
      </c>
      <c r="B6" s="20">
        <v>180</v>
      </c>
      <c r="C6" t="s">
        <v>260</v>
      </c>
      <c r="D6" t="s">
        <v>271</v>
      </c>
      <c r="E6" t="s">
        <v>194</v>
      </c>
      <c r="F6" t="s">
        <v>43</v>
      </c>
      <c r="G6" t="s">
        <v>43</v>
      </c>
      <c r="H6" t="s">
        <v>246</v>
      </c>
      <c r="I6" t="s">
        <v>246</v>
      </c>
      <c r="J6" t="s">
        <v>43</v>
      </c>
      <c r="K6" t="s">
        <v>193</v>
      </c>
      <c r="L6" t="s">
        <v>812</v>
      </c>
      <c r="M6" s="10">
        <v>33390</v>
      </c>
      <c r="N6" s="10" t="s">
        <v>43</v>
      </c>
      <c r="O6">
        <v>-43.048999999999999</v>
      </c>
      <c r="P6">
        <v>147.35</v>
      </c>
      <c r="Q6">
        <v>2</v>
      </c>
      <c r="R6" t="str">
        <f t="shared" si="0"/>
        <v>temperate</v>
      </c>
      <c r="T6" t="str">
        <f t="shared" si="1"/>
        <v>2_unprotected</v>
      </c>
      <c r="U6" s="26" t="s">
        <v>43</v>
      </c>
      <c r="V6" s="26" t="s">
        <v>43</v>
      </c>
    </row>
    <row r="7" spans="1:23">
      <c r="A7" s="20">
        <v>94</v>
      </c>
      <c r="B7" s="20">
        <v>181</v>
      </c>
      <c r="C7" t="s">
        <v>260</v>
      </c>
      <c r="D7" t="s">
        <v>272</v>
      </c>
      <c r="E7" t="s">
        <v>191</v>
      </c>
      <c r="F7" t="s">
        <v>198</v>
      </c>
      <c r="G7" t="s">
        <v>43</v>
      </c>
      <c r="H7" t="s">
        <v>673</v>
      </c>
      <c r="I7" t="s">
        <v>244</v>
      </c>
      <c r="J7" t="s">
        <v>199</v>
      </c>
      <c r="K7" t="s">
        <v>199</v>
      </c>
      <c r="L7" t="s">
        <v>199</v>
      </c>
      <c r="M7" s="10">
        <v>33390</v>
      </c>
      <c r="N7" s="10" t="s">
        <v>43</v>
      </c>
      <c r="O7">
        <v>-43.057000000000002</v>
      </c>
      <c r="P7">
        <v>147.34</v>
      </c>
      <c r="Q7">
        <v>2</v>
      </c>
      <c r="R7" t="str">
        <f t="shared" si="0"/>
        <v>temperate</v>
      </c>
      <c r="T7" t="str">
        <f t="shared" si="1"/>
        <v>1_protected</v>
      </c>
      <c r="U7" s="26" t="s">
        <v>43</v>
      </c>
      <c r="V7" s="26" t="s">
        <v>43</v>
      </c>
    </row>
    <row r="8" spans="1:23">
      <c r="A8" s="20">
        <v>1</v>
      </c>
      <c r="B8" s="20">
        <v>46</v>
      </c>
      <c r="C8" t="s">
        <v>1</v>
      </c>
      <c r="D8" t="s">
        <v>117</v>
      </c>
      <c r="E8" t="s">
        <v>191</v>
      </c>
      <c r="F8" s="1" t="s">
        <v>558</v>
      </c>
      <c r="G8" s="1" t="s">
        <v>559</v>
      </c>
      <c r="H8" t="s">
        <v>672</v>
      </c>
      <c r="I8" t="s">
        <v>244</v>
      </c>
      <c r="J8" t="s">
        <v>192</v>
      </c>
      <c r="K8" t="s">
        <v>192</v>
      </c>
      <c r="L8" t="s">
        <v>192</v>
      </c>
      <c r="M8" s="10">
        <v>21551</v>
      </c>
      <c r="N8" s="10">
        <v>25204</v>
      </c>
      <c r="O8">
        <v>31.251000000000001</v>
      </c>
      <c r="P8">
        <v>30.21</v>
      </c>
      <c r="Q8">
        <v>1</v>
      </c>
      <c r="R8" t="str">
        <f t="shared" si="0"/>
        <v>subtropical</v>
      </c>
      <c r="T8" t="s">
        <v>791</v>
      </c>
      <c r="U8">
        <v>1</v>
      </c>
      <c r="V8" s="11">
        <f>151*(1000^2)</f>
        <v>151000000</v>
      </c>
      <c r="W8" s="6"/>
    </row>
    <row r="9" spans="1:23">
      <c r="A9" s="20">
        <v>2</v>
      </c>
      <c r="B9" s="20">
        <v>113</v>
      </c>
      <c r="C9" t="s">
        <v>1</v>
      </c>
      <c r="D9" t="s">
        <v>161</v>
      </c>
      <c r="E9" t="s">
        <v>191</v>
      </c>
      <c r="F9" s="1" t="s">
        <v>558</v>
      </c>
      <c r="G9" s="1" t="s">
        <v>559</v>
      </c>
      <c r="H9" t="s">
        <v>672</v>
      </c>
      <c r="I9" t="s">
        <v>244</v>
      </c>
      <c r="J9" t="s">
        <v>192</v>
      </c>
      <c r="K9" t="s">
        <v>192</v>
      </c>
      <c r="L9" t="s">
        <v>192</v>
      </c>
      <c r="M9" s="10">
        <v>21551</v>
      </c>
      <c r="N9" s="10">
        <v>25204</v>
      </c>
      <c r="O9">
        <v>31.321000000000002</v>
      </c>
      <c r="P9">
        <v>32.069000000000003</v>
      </c>
      <c r="Q9">
        <v>1</v>
      </c>
      <c r="R9" t="str">
        <f t="shared" si="0"/>
        <v>subtropical</v>
      </c>
      <c r="T9" t="s">
        <v>791</v>
      </c>
      <c r="U9">
        <v>10</v>
      </c>
      <c r="V9" s="11">
        <f>1360*(1000^2)</f>
        <v>1360000000</v>
      </c>
    </row>
    <row r="10" spans="1:23">
      <c r="A10" s="20">
        <v>3</v>
      </c>
      <c r="B10" s="20">
        <v>127</v>
      </c>
      <c r="C10" t="s">
        <v>1</v>
      </c>
      <c r="D10" t="s">
        <v>167</v>
      </c>
      <c r="E10" t="s">
        <v>191</v>
      </c>
      <c r="F10" s="1" t="s">
        <v>558</v>
      </c>
      <c r="G10" s="1" t="s">
        <v>559</v>
      </c>
      <c r="H10" t="s">
        <v>672</v>
      </c>
      <c r="I10" t="s">
        <v>244</v>
      </c>
      <c r="J10" t="s">
        <v>192</v>
      </c>
      <c r="K10" t="s">
        <v>192</v>
      </c>
      <c r="L10" t="s">
        <v>192</v>
      </c>
      <c r="M10" s="10">
        <v>21551</v>
      </c>
      <c r="N10" s="10">
        <v>25204</v>
      </c>
      <c r="O10">
        <v>31.481000000000002</v>
      </c>
      <c r="P10">
        <v>30.838000000000001</v>
      </c>
      <c r="Q10">
        <v>1</v>
      </c>
      <c r="R10" t="str">
        <f t="shared" si="0"/>
        <v>subtropical</v>
      </c>
      <c r="T10" t="s">
        <v>791</v>
      </c>
      <c r="U10">
        <v>100</v>
      </c>
      <c r="V10" s="11">
        <f>8500*(1000^2)</f>
        <v>8500000000</v>
      </c>
    </row>
    <row r="11" spans="1:23">
      <c r="A11" s="20">
        <v>162</v>
      </c>
      <c r="B11" s="20">
        <v>167</v>
      </c>
      <c r="C11" s="1" t="s">
        <v>518</v>
      </c>
      <c r="D11" t="s">
        <v>522</v>
      </c>
      <c r="E11" t="s">
        <v>191</v>
      </c>
      <c r="F11" t="s">
        <v>383</v>
      </c>
      <c r="G11" t="s">
        <v>43</v>
      </c>
      <c r="H11" t="s">
        <v>682</v>
      </c>
      <c r="I11" t="s">
        <v>244</v>
      </c>
      <c r="J11" t="s">
        <v>199</v>
      </c>
      <c r="K11" t="s">
        <v>199</v>
      </c>
      <c r="L11" t="s">
        <v>199</v>
      </c>
      <c r="M11" s="10">
        <v>31778</v>
      </c>
      <c r="N11" s="10" t="s">
        <v>43</v>
      </c>
      <c r="O11" s="1">
        <v>34.01</v>
      </c>
      <c r="P11" s="1">
        <v>-118.53400000000001</v>
      </c>
      <c r="Q11" s="1">
        <v>1</v>
      </c>
      <c r="R11" t="str">
        <f t="shared" si="0"/>
        <v>subtropical</v>
      </c>
      <c r="T11" t="s">
        <v>793</v>
      </c>
      <c r="U11" t="s">
        <v>43</v>
      </c>
      <c r="V11" t="s">
        <v>43</v>
      </c>
    </row>
    <row r="12" spans="1:23">
      <c r="A12" s="20">
        <v>163</v>
      </c>
      <c r="B12" s="20">
        <v>168</v>
      </c>
      <c r="C12" s="1" t="s">
        <v>518</v>
      </c>
      <c r="D12" t="s">
        <v>523</v>
      </c>
      <c r="E12" t="s">
        <v>191</v>
      </c>
      <c r="F12" t="s">
        <v>383</v>
      </c>
      <c r="G12" t="s">
        <v>43</v>
      </c>
      <c r="H12" t="s">
        <v>682</v>
      </c>
      <c r="I12" t="s">
        <v>244</v>
      </c>
      <c r="J12" t="s">
        <v>199</v>
      </c>
      <c r="K12" t="s">
        <v>199</v>
      </c>
      <c r="L12" t="s">
        <v>199</v>
      </c>
      <c r="M12" s="10">
        <v>31778</v>
      </c>
      <c r="N12" s="10" t="s">
        <v>43</v>
      </c>
      <c r="O12" s="1">
        <v>34.005000000000003</v>
      </c>
      <c r="P12" s="1">
        <v>-118.53700000000001</v>
      </c>
      <c r="Q12" s="1">
        <v>1</v>
      </c>
      <c r="R12" t="str">
        <f t="shared" si="0"/>
        <v>subtropical</v>
      </c>
      <c r="T12" t="s">
        <v>793</v>
      </c>
      <c r="U12" t="s">
        <v>43</v>
      </c>
      <c r="V12" t="s">
        <v>43</v>
      </c>
    </row>
    <row r="13" spans="1:23">
      <c r="A13" s="20">
        <v>161</v>
      </c>
      <c r="B13" s="20">
        <v>169</v>
      </c>
      <c r="C13" s="1" t="s">
        <v>518</v>
      </c>
      <c r="D13" t="s">
        <v>521</v>
      </c>
      <c r="E13" t="s">
        <v>191</v>
      </c>
      <c r="F13" t="s">
        <v>383</v>
      </c>
      <c r="G13" t="s">
        <v>43</v>
      </c>
      <c r="H13" t="s">
        <v>682</v>
      </c>
      <c r="I13" t="s">
        <v>244</v>
      </c>
      <c r="J13" t="s">
        <v>199</v>
      </c>
      <c r="K13" t="s">
        <v>199</v>
      </c>
      <c r="L13" t="s">
        <v>199</v>
      </c>
      <c r="M13" s="10">
        <v>31778</v>
      </c>
      <c r="N13" s="10" t="s">
        <v>43</v>
      </c>
      <c r="O13" s="1">
        <v>34.017200000000003</v>
      </c>
      <c r="P13" s="1">
        <v>-118.536</v>
      </c>
      <c r="Q13" s="1">
        <v>1</v>
      </c>
      <c r="R13" t="str">
        <f t="shared" si="0"/>
        <v>subtropical</v>
      </c>
      <c r="T13" t="s">
        <v>793</v>
      </c>
      <c r="U13" t="s">
        <v>43</v>
      </c>
      <c r="V13" t="s">
        <v>43</v>
      </c>
    </row>
    <row r="14" spans="1:23">
      <c r="A14" s="20">
        <v>4</v>
      </c>
      <c r="B14" s="20">
        <v>55</v>
      </c>
      <c r="C14" t="s">
        <v>86</v>
      </c>
      <c r="D14" t="s">
        <v>120</v>
      </c>
      <c r="E14" t="s">
        <v>191</v>
      </c>
      <c r="F14" t="s">
        <v>566</v>
      </c>
      <c r="G14" t="s">
        <v>567</v>
      </c>
      <c r="H14" t="s">
        <v>675</v>
      </c>
      <c r="I14" t="s">
        <v>243</v>
      </c>
      <c r="J14" t="s">
        <v>193</v>
      </c>
      <c r="K14" t="s">
        <v>193</v>
      </c>
      <c r="L14" t="s">
        <v>193</v>
      </c>
      <c r="M14" s="10">
        <v>32752</v>
      </c>
      <c r="N14" s="10">
        <v>34943</v>
      </c>
      <c r="O14" s="6">
        <v>18.321999999999999</v>
      </c>
      <c r="P14" s="6">
        <v>-64.688000000000002</v>
      </c>
      <c r="Q14" s="1">
        <v>4</v>
      </c>
      <c r="R14" t="str">
        <f t="shared" si="0"/>
        <v>tropical</v>
      </c>
      <c r="T14" t="s">
        <v>790</v>
      </c>
      <c r="U14" t="s">
        <v>43</v>
      </c>
      <c r="V14" t="s">
        <v>43</v>
      </c>
    </row>
    <row r="15" spans="1:23">
      <c r="A15" s="20">
        <v>176</v>
      </c>
      <c r="B15" s="20">
        <v>4</v>
      </c>
      <c r="C15" s="1" t="s">
        <v>698</v>
      </c>
      <c r="D15" t="s">
        <v>705</v>
      </c>
      <c r="E15" t="s">
        <v>194</v>
      </c>
      <c r="F15" t="s">
        <v>43</v>
      </c>
      <c r="G15" t="s">
        <v>43</v>
      </c>
      <c r="H15" t="s">
        <v>246</v>
      </c>
      <c r="I15" t="s">
        <v>43</v>
      </c>
      <c r="J15" t="s">
        <v>43</v>
      </c>
      <c r="K15" t="s">
        <v>193</v>
      </c>
      <c r="L15" t="s">
        <v>812</v>
      </c>
      <c r="M15" s="10" t="s">
        <v>43</v>
      </c>
      <c r="N15" s="10" t="s">
        <v>43</v>
      </c>
      <c r="O15" s="1">
        <v>38.457000000000001</v>
      </c>
      <c r="P15" s="1">
        <v>-9.0020000000000007</v>
      </c>
      <c r="Q15" s="1">
        <v>2</v>
      </c>
      <c r="R15" t="str">
        <f t="shared" si="0"/>
        <v>temperate</v>
      </c>
      <c r="T15" t="s">
        <v>790</v>
      </c>
      <c r="U15" t="s">
        <v>43</v>
      </c>
      <c r="V15" t="s">
        <v>43</v>
      </c>
    </row>
    <row r="16" spans="1:23">
      <c r="A16" s="20">
        <v>5</v>
      </c>
      <c r="B16" s="20">
        <v>189</v>
      </c>
      <c r="C16" t="s">
        <v>2</v>
      </c>
      <c r="D16" t="s">
        <v>184</v>
      </c>
      <c r="E16" t="s">
        <v>194</v>
      </c>
      <c r="F16" t="s">
        <v>671</v>
      </c>
      <c r="G16" t="s">
        <v>45</v>
      </c>
      <c r="H16" t="s">
        <v>683</v>
      </c>
      <c r="I16" t="s">
        <v>244</v>
      </c>
      <c r="J16" t="s">
        <v>193</v>
      </c>
      <c r="K16" t="s">
        <v>193</v>
      </c>
      <c r="L16" t="s">
        <v>193</v>
      </c>
      <c r="M16" s="10">
        <v>25569</v>
      </c>
      <c r="N16" s="10">
        <v>29952</v>
      </c>
      <c r="O16" s="6">
        <v>52.930999999999997</v>
      </c>
      <c r="P16" s="6">
        <v>4.8630000000000004</v>
      </c>
      <c r="Q16" s="1">
        <v>15</v>
      </c>
      <c r="R16" t="str">
        <f t="shared" si="0"/>
        <v>temperate</v>
      </c>
      <c r="T16" t="s">
        <v>791</v>
      </c>
      <c r="U16" t="s">
        <v>43</v>
      </c>
      <c r="V16" t="s">
        <v>43</v>
      </c>
    </row>
    <row r="17" spans="1:22">
      <c r="A17" s="20">
        <v>6</v>
      </c>
      <c r="B17" s="20">
        <v>32</v>
      </c>
      <c r="C17" t="s">
        <v>624</v>
      </c>
      <c r="D17" t="s">
        <v>114</v>
      </c>
      <c r="E17" t="s">
        <v>194</v>
      </c>
      <c r="F17" t="s">
        <v>43</v>
      </c>
      <c r="G17" s="8" t="s">
        <v>43</v>
      </c>
      <c r="H17" t="s">
        <v>246</v>
      </c>
      <c r="I17" t="s">
        <v>246</v>
      </c>
      <c r="J17" t="s">
        <v>43</v>
      </c>
      <c r="K17" t="s">
        <v>193</v>
      </c>
      <c r="L17" t="s">
        <v>812</v>
      </c>
      <c r="M17" s="10" t="s">
        <v>43</v>
      </c>
      <c r="N17" s="10" t="s">
        <v>43</v>
      </c>
      <c r="O17" s="1">
        <v>52.335000000000001</v>
      </c>
      <c r="P17" s="1">
        <v>4.4470000000000001</v>
      </c>
      <c r="Q17" s="1">
        <v>14</v>
      </c>
      <c r="R17" t="str">
        <f t="shared" si="0"/>
        <v>temperate</v>
      </c>
      <c r="T17" t="s">
        <v>792</v>
      </c>
      <c r="U17" t="s">
        <v>43</v>
      </c>
      <c r="V17" t="s">
        <v>43</v>
      </c>
    </row>
    <row r="18" spans="1:22">
      <c r="A18" s="20">
        <v>7</v>
      </c>
      <c r="B18" s="20">
        <v>44</v>
      </c>
      <c r="C18" t="s">
        <v>624</v>
      </c>
      <c r="D18" t="s">
        <v>115</v>
      </c>
      <c r="E18" t="s">
        <v>194</v>
      </c>
      <c r="F18" t="s">
        <v>43</v>
      </c>
      <c r="G18" s="8" t="s">
        <v>43</v>
      </c>
      <c r="H18" t="s">
        <v>246</v>
      </c>
      <c r="I18" t="s">
        <v>246</v>
      </c>
      <c r="J18" t="s">
        <v>43</v>
      </c>
      <c r="K18" t="s">
        <v>193</v>
      </c>
      <c r="L18" t="s">
        <v>812</v>
      </c>
      <c r="M18" s="10" t="s">
        <v>43</v>
      </c>
      <c r="N18" s="10" t="s">
        <v>43</v>
      </c>
      <c r="O18" s="1">
        <v>55.12</v>
      </c>
      <c r="P18" s="1">
        <v>3.3660000000000001</v>
      </c>
      <c r="Q18" s="1">
        <v>6</v>
      </c>
      <c r="R18" t="str">
        <f t="shared" si="0"/>
        <v>temperate</v>
      </c>
      <c r="T18" t="s">
        <v>792</v>
      </c>
      <c r="U18" t="s">
        <v>43</v>
      </c>
      <c r="V18" t="s">
        <v>43</v>
      </c>
    </row>
    <row r="19" spans="1:22">
      <c r="A19" s="20">
        <v>8</v>
      </c>
      <c r="B19" s="20">
        <v>134</v>
      </c>
      <c r="C19" t="s">
        <v>624</v>
      </c>
      <c r="D19" t="s">
        <v>169</v>
      </c>
      <c r="E19" t="s">
        <v>194</v>
      </c>
      <c r="F19" t="s">
        <v>43</v>
      </c>
      <c r="G19" s="8" t="s">
        <v>43</v>
      </c>
      <c r="H19" t="s">
        <v>246</v>
      </c>
      <c r="I19" t="s">
        <v>246</v>
      </c>
      <c r="J19" t="s">
        <v>43</v>
      </c>
      <c r="K19" t="s">
        <v>193</v>
      </c>
      <c r="L19" t="s">
        <v>812</v>
      </c>
      <c r="M19" s="10" t="s">
        <v>43</v>
      </c>
      <c r="N19" s="10" t="s">
        <v>43</v>
      </c>
      <c r="O19" s="1">
        <v>52.886000000000003</v>
      </c>
      <c r="P19" s="1">
        <v>3.96</v>
      </c>
      <c r="Q19" s="1">
        <v>21</v>
      </c>
      <c r="R19" t="str">
        <f t="shared" si="0"/>
        <v>temperate</v>
      </c>
      <c r="T19" t="s">
        <v>792</v>
      </c>
      <c r="U19" t="s">
        <v>43</v>
      </c>
      <c r="V19" t="s">
        <v>43</v>
      </c>
    </row>
    <row r="20" spans="1:22">
      <c r="A20" s="20">
        <v>9</v>
      </c>
      <c r="B20" s="20">
        <v>138</v>
      </c>
      <c r="C20" t="s">
        <v>624</v>
      </c>
      <c r="D20" t="s">
        <v>171</v>
      </c>
      <c r="E20" t="s">
        <v>194</v>
      </c>
      <c r="F20" t="s">
        <v>43</v>
      </c>
      <c r="G20" s="8" t="s">
        <v>43</v>
      </c>
      <c r="H20" t="s">
        <v>246</v>
      </c>
      <c r="I20" t="s">
        <v>246</v>
      </c>
      <c r="J20" t="s">
        <v>43</v>
      </c>
      <c r="K20" t="s">
        <v>193</v>
      </c>
      <c r="L20" t="s">
        <v>812</v>
      </c>
      <c r="M20" s="10" t="s">
        <v>43</v>
      </c>
      <c r="N20" s="10" t="s">
        <v>43</v>
      </c>
      <c r="O20" s="1">
        <v>54.030999999999999</v>
      </c>
      <c r="P20" s="1">
        <v>3.9809999999999999</v>
      </c>
      <c r="Q20" s="1">
        <v>45</v>
      </c>
      <c r="R20" t="str">
        <f t="shared" si="0"/>
        <v>temperate</v>
      </c>
      <c r="T20" t="s">
        <v>792</v>
      </c>
      <c r="U20" t="s">
        <v>43</v>
      </c>
      <c r="V20" t="s">
        <v>43</v>
      </c>
    </row>
    <row r="21" spans="1:22">
      <c r="A21" s="20">
        <v>177</v>
      </c>
      <c r="B21" s="20">
        <v>172</v>
      </c>
      <c r="C21" s="1" t="s">
        <v>706</v>
      </c>
      <c r="D21" t="s">
        <v>712</v>
      </c>
      <c r="E21" t="s">
        <v>191</v>
      </c>
      <c r="F21" t="s">
        <v>318</v>
      </c>
      <c r="G21" t="s">
        <v>43</v>
      </c>
      <c r="H21" t="s">
        <v>679</v>
      </c>
      <c r="I21" t="s">
        <v>244</v>
      </c>
      <c r="J21" t="s">
        <v>199</v>
      </c>
      <c r="K21" t="s">
        <v>199</v>
      </c>
      <c r="L21" t="s">
        <v>199</v>
      </c>
      <c r="M21" s="10">
        <v>36130</v>
      </c>
      <c r="N21" s="10" t="s">
        <v>43</v>
      </c>
      <c r="O21" s="1">
        <v>55.155999999999999</v>
      </c>
      <c r="P21" s="1">
        <v>-1.4259999999999999</v>
      </c>
      <c r="Q21" s="1">
        <v>1</v>
      </c>
      <c r="R21" t="str">
        <f t="shared" si="0"/>
        <v>temperate</v>
      </c>
      <c r="T21" t="s">
        <v>792</v>
      </c>
      <c r="U21" t="s">
        <v>43</v>
      </c>
      <c r="V21" t="s">
        <v>43</v>
      </c>
    </row>
    <row r="22" spans="1:22">
      <c r="A22" s="20">
        <v>178</v>
      </c>
      <c r="B22" s="20">
        <v>173</v>
      </c>
      <c r="C22" s="1" t="s">
        <v>706</v>
      </c>
      <c r="D22" t="s">
        <v>713</v>
      </c>
      <c r="E22" t="s">
        <v>191</v>
      </c>
      <c r="F22" t="s">
        <v>318</v>
      </c>
      <c r="G22" t="s">
        <v>43</v>
      </c>
      <c r="H22" t="s">
        <v>679</v>
      </c>
      <c r="I22" t="s">
        <v>244</v>
      </c>
      <c r="J22" t="s">
        <v>199</v>
      </c>
      <c r="K22" t="s">
        <v>199</v>
      </c>
      <c r="L22" t="s">
        <v>199</v>
      </c>
      <c r="M22" s="10">
        <v>36130</v>
      </c>
      <c r="N22" s="10" t="s">
        <v>43</v>
      </c>
      <c r="O22" s="1">
        <v>55.143999999999998</v>
      </c>
      <c r="P22" s="1">
        <v>-1.45</v>
      </c>
      <c r="Q22" s="1">
        <v>1</v>
      </c>
      <c r="R22" t="str">
        <f t="shared" si="0"/>
        <v>temperate</v>
      </c>
      <c r="T22" t="s">
        <v>792</v>
      </c>
      <c r="U22" t="s">
        <v>43</v>
      </c>
      <c r="V22" t="s">
        <v>43</v>
      </c>
    </row>
    <row r="23" spans="1:22">
      <c r="A23" s="20">
        <v>179</v>
      </c>
      <c r="B23" s="20">
        <v>174</v>
      </c>
      <c r="C23" s="1" t="s">
        <v>706</v>
      </c>
      <c r="D23" t="s">
        <v>714</v>
      </c>
      <c r="E23" t="s">
        <v>194</v>
      </c>
      <c r="F23" t="s">
        <v>43</v>
      </c>
      <c r="G23" t="s">
        <v>43</v>
      </c>
      <c r="H23" t="s">
        <v>246</v>
      </c>
      <c r="I23" t="s">
        <v>43</v>
      </c>
      <c r="J23" t="s">
        <v>43</v>
      </c>
      <c r="K23" t="s">
        <v>193</v>
      </c>
      <c r="L23" t="s">
        <v>812</v>
      </c>
      <c r="M23" s="10" t="s">
        <v>43</v>
      </c>
      <c r="N23" s="10" t="s">
        <v>43</v>
      </c>
      <c r="O23" s="1">
        <v>55.033000000000001</v>
      </c>
      <c r="P23" s="1">
        <v>-1.35</v>
      </c>
      <c r="Q23" s="1">
        <v>1</v>
      </c>
      <c r="R23" t="str">
        <f t="shared" si="0"/>
        <v>temperate</v>
      </c>
      <c r="T23" t="s">
        <v>792</v>
      </c>
      <c r="U23" t="s">
        <v>43</v>
      </c>
      <c r="V23" t="s">
        <v>43</v>
      </c>
    </row>
    <row r="24" spans="1:22">
      <c r="A24" s="20">
        <v>180</v>
      </c>
      <c r="B24" s="20">
        <v>175</v>
      </c>
      <c r="C24" s="1" t="s">
        <v>706</v>
      </c>
      <c r="D24" t="s">
        <v>715</v>
      </c>
      <c r="E24" t="s">
        <v>194</v>
      </c>
      <c r="F24" t="s">
        <v>43</v>
      </c>
      <c r="G24" t="s">
        <v>43</v>
      </c>
      <c r="H24" t="s">
        <v>246</v>
      </c>
      <c r="I24" t="s">
        <v>43</v>
      </c>
      <c r="J24" t="s">
        <v>43</v>
      </c>
      <c r="K24" t="s">
        <v>193</v>
      </c>
      <c r="L24" t="s">
        <v>812</v>
      </c>
      <c r="M24" s="10" t="s">
        <v>43</v>
      </c>
      <c r="N24" s="10" t="s">
        <v>43</v>
      </c>
      <c r="O24" s="1">
        <v>55.011000000000003</v>
      </c>
      <c r="P24" s="1">
        <v>-1.325</v>
      </c>
      <c r="Q24" s="1">
        <v>1</v>
      </c>
      <c r="R24" t="str">
        <f t="shared" si="0"/>
        <v>temperate</v>
      </c>
      <c r="T24" t="s">
        <v>792</v>
      </c>
      <c r="U24" t="s">
        <v>43</v>
      </c>
      <c r="V24" t="s">
        <v>43</v>
      </c>
    </row>
    <row r="25" spans="1:22">
      <c r="A25" s="20">
        <v>10</v>
      </c>
      <c r="B25" s="20">
        <v>14</v>
      </c>
      <c r="C25" t="s">
        <v>3</v>
      </c>
      <c r="D25" t="s">
        <v>622</v>
      </c>
      <c r="E25" t="s">
        <v>194</v>
      </c>
      <c r="F25" t="s">
        <v>43</v>
      </c>
      <c r="G25" s="8" t="s">
        <v>43</v>
      </c>
      <c r="H25" t="s">
        <v>246</v>
      </c>
      <c r="I25" t="s">
        <v>246</v>
      </c>
      <c r="J25" t="s">
        <v>43</v>
      </c>
      <c r="K25" t="s">
        <v>193</v>
      </c>
      <c r="L25" t="s">
        <v>812</v>
      </c>
      <c r="M25" s="10" t="s">
        <v>43</v>
      </c>
      <c r="N25" s="10" t="s">
        <v>43</v>
      </c>
      <c r="O25" s="1">
        <v>48.551000000000002</v>
      </c>
      <c r="P25" s="1">
        <v>-123.005</v>
      </c>
      <c r="Q25" s="1">
        <v>1</v>
      </c>
      <c r="R25" t="str">
        <f t="shared" si="0"/>
        <v>temperate</v>
      </c>
      <c r="T25" t="s">
        <v>792</v>
      </c>
      <c r="U25" t="s">
        <v>43</v>
      </c>
      <c r="V25" t="s">
        <v>43</v>
      </c>
    </row>
    <row r="26" spans="1:22">
      <c r="A26" s="20">
        <v>181</v>
      </c>
      <c r="B26" s="20">
        <v>27</v>
      </c>
      <c r="C26" s="1" t="s">
        <v>716</v>
      </c>
      <c r="D26" t="s">
        <v>721</v>
      </c>
      <c r="E26" t="s">
        <v>194</v>
      </c>
      <c r="F26" t="s">
        <v>43</v>
      </c>
      <c r="G26" t="s">
        <v>43</v>
      </c>
      <c r="H26" t="s">
        <v>246</v>
      </c>
      <c r="I26" t="s">
        <v>43</v>
      </c>
      <c r="J26" t="s">
        <v>43</v>
      </c>
      <c r="K26" t="s">
        <v>193</v>
      </c>
      <c r="L26" t="s">
        <v>812</v>
      </c>
      <c r="M26" s="10" t="s">
        <v>43</v>
      </c>
      <c r="N26" s="10" t="s">
        <v>43</v>
      </c>
      <c r="O26" s="1">
        <v>37.847000000000001</v>
      </c>
      <c r="P26" s="1">
        <v>-122.333</v>
      </c>
      <c r="Q26" s="1">
        <v>2</v>
      </c>
      <c r="R26" t="str">
        <f t="shared" si="0"/>
        <v>subtropical</v>
      </c>
      <c r="T26" t="s">
        <v>793</v>
      </c>
      <c r="U26" t="s">
        <v>43</v>
      </c>
      <c r="V26" t="s">
        <v>43</v>
      </c>
    </row>
    <row r="27" spans="1:22">
      <c r="A27" s="20">
        <v>182</v>
      </c>
      <c r="B27" s="20">
        <v>156</v>
      </c>
      <c r="C27" s="1" t="s">
        <v>716</v>
      </c>
      <c r="D27" t="s">
        <v>722</v>
      </c>
      <c r="E27" t="s">
        <v>194</v>
      </c>
      <c r="F27" t="s">
        <v>43</v>
      </c>
      <c r="G27" t="s">
        <v>43</v>
      </c>
      <c r="H27" t="s">
        <v>246</v>
      </c>
      <c r="I27" t="s">
        <v>43</v>
      </c>
      <c r="J27" t="s">
        <v>43</v>
      </c>
      <c r="K27" t="s">
        <v>193</v>
      </c>
      <c r="L27" t="s">
        <v>812</v>
      </c>
      <c r="M27" s="10" t="s">
        <v>43</v>
      </c>
      <c r="N27" s="10" t="s">
        <v>43</v>
      </c>
      <c r="O27" s="1">
        <v>38.052999999999997</v>
      </c>
      <c r="P27" s="1">
        <v>-122.313</v>
      </c>
      <c r="Q27" s="1">
        <v>2</v>
      </c>
      <c r="R27" t="str">
        <f t="shared" si="0"/>
        <v>temperate</v>
      </c>
      <c r="T27" t="s">
        <v>793</v>
      </c>
      <c r="U27" t="s">
        <v>43</v>
      </c>
      <c r="V27" t="s">
        <v>43</v>
      </c>
    </row>
    <row r="28" spans="1:22">
      <c r="A28" s="20">
        <v>183</v>
      </c>
      <c r="B28" s="20">
        <v>170</v>
      </c>
      <c r="C28" s="1" t="s">
        <v>716</v>
      </c>
      <c r="D28" t="s">
        <v>723</v>
      </c>
      <c r="E28" t="s">
        <v>194</v>
      </c>
      <c r="F28" t="s">
        <v>43</v>
      </c>
      <c r="G28" t="s">
        <v>43</v>
      </c>
      <c r="H28" t="s">
        <v>246</v>
      </c>
      <c r="I28" t="s">
        <v>43</v>
      </c>
      <c r="J28" t="s">
        <v>43</v>
      </c>
      <c r="K28" t="s">
        <v>193</v>
      </c>
      <c r="L28" t="s">
        <v>812</v>
      </c>
      <c r="M28" s="10" t="s">
        <v>43</v>
      </c>
      <c r="N28" s="10" t="s">
        <v>43</v>
      </c>
      <c r="O28" s="1">
        <v>37.57</v>
      </c>
      <c r="P28" s="1">
        <v>-122.191</v>
      </c>
      <c r="Q28" s="1">
        <v>2</v>
      </c>
      <c r="R28" t="str">
        <f t="shared" si="0"/>
        <v>subtropical</v>
      </c>
      <c r="T28" t="s">
        <v>793</v>
      </c>
      <c r="U28" t="s">
        <v>43</v>
      </c>
      <c r="V28" t="s">
        <v>43</v>
      </c>
    </row>
    <row r="29" spans="1:22">
      <c r="A29" s="20">
        <v>95</v>
      </c>
      <c r="B29" s="20">
        <v>187</v>
      </c>
      <c r="C29" t="s">
        <v>273</v>
      </c>
      <c r="D29" t="s">
        <v>278</v>
      </c>
      <c r="E29" t="s">
        <v>194</v>
      </c>
      <c r="F29" t="s">
        <v>43</v>
      </c>
      <c r="G29" t="s">
        <v>43</v>
      </c>
      <c r="H29" t="s">
        <v>246</v>
      </c>
      <c r="I29" t="s">
        <v>246</v>
      </c>
      <c r="J29" t="s">
        <v>43</v>
      </c>
      <c r="K29" t="s">
        <v>193</v>
      </c>
      <c r="L29" t="s">
        <v>812</v>
      </c>
      <c r="M29" s="10" t="s">
        <v>43</v>
      </c>
      <c r="N29" s="10" t="s">
        <v>43</v>
      </c>
      <c r="O29">
        <v>23.238</v>
      </c>
      <c r="P29">
        <v>-106.471</v>
      </c>
      <c r="Q29">
        <v>1</v>
      </c>
      <c r="R29" t="str">
        <f t="shared" si="0"/>
        <v>tropical</v>
      </c>
      <c r="T29" t="str">
        <f>IF(F29 = "MPA", "1_protected", "2_unprotected")</f>
        <v>2_unprotected</v>
      </c>
      <c r="U29" s="26" t="s">
        <v>43</v>
      </c>
      <c r="V29" s="26" t="s">
        <v>43</v>
      </c>
    </row>
    <row r="30" spans="1:22">
      <c r="A30" s="20">
        <v>170</v>
      </c>
      <c r="B30" s="20">
        <v>50</v>
      </c>
      <c r="C30" s="1" t="s">
        <v>533</v>
      </c>
      <c r="D30" t="s">
        <v>538</v>
      </c>
      <c r="E30" t="s">
        <v>191</v>
      </c>
      <c r="F30" t="s">
        <v>541</v>
      </c>
      <c r="G30" t="s">
        <v>43</v>
      </c>
      <c r="H30" t="s">
        <v>541</v>
      </c>
      <c r="I30" t="s">
        <v>244</v>
      </c>
      <c r="J30" t="s">
        <v>192</v>
      </c>
      <c r="K30" t="s">
        <v>192</v>
      </c>
      <c r="L30" t="s">
        <v>192</v>
      </c>
      <c r="M30" s="10">
        <v>32143</v>
      </c>
      <c r="N30" s="10" t="s">
        <v>43</v>
      </c>
      <c r="O30" s="1">
        <v>40.122999999999998</v>
      </c>
      <c r="P30" s="1">
        <v>-8.8360000000000003</v>
      </c>
      <c r="Q30" s="1">
        <v>1</v>
      </c>
      <c r="R30" t="str">
        <f t="shared" si="0"/>
        <v>temperate</v>
      </c>
      <c r="T30" t="s">
        <v>793</v>
      </c>
      <c r="U30" t="s">
        <v>43</v>
      </c>
      <c r="V30" t="s">
        <v>43</v>
      </c>
    </row>
    <row r="31" spans="1:22">
      <c r="A31" s="20">
        <v>169</v>
      </c>
      <c r="B31" s="20">
        <v>69</v>
      </c>
      <c r="C31" s="1" t="s">
        <v>533</v>
      </c>
      <c r="D31" t="s">
        <v>537</v>
      </c>
      <c r="E31" t="s">
        <v>191</v>
      </c>
      <c r="F31" t="s">
        <v>541</v>
      </c>
      <c r="G31" t="s">
        <v>43</v>
      </c>
      <c r="H31" t="s">
        <v>541</v>
      </c>
      <c r="I31" t="s">
        <v>244</v>
      </c>
      <c r="J31" t="s">
        <v>192</v>
      </c>
      <c r="K31" t="s">
        <v>192</v>
      </c>
      <c r="L31" t="s">
        <v>192</v>
      </c>
      <c r="M31" s="10">
        <v>32143</v>
      </c>
      <c r="N31" s="10" t="s">
        <v>43</v>
      </c>
      <c r="O31" s="1">
        <v>40.128999999999998</v>
      </c>
      <c r="P31" s="1">
        <v>-8.8450000000000006</v>
      </c>
      <c r="Q31" s="1">
        <v>1</v>
      </c>
      <c r="R31" t="str">
        <f t="shared" si="0"/>
        <v>temperate</v>
      </c>
      <c r="T31" t="s">
        <v>793</v>
      </c>
      <c r="U31" t="s">
        <v>43</v>
      </c>
      <c r="V31" t="s">
        <v>43</v>
      </c>
    </row>
    <row r="32" spans="1:22">
      <c r="A32" s="20">
        <v>168</v>
      </c>
      <c r="B32" s="20">
        <v>201</v>
      </c>
      <c r="C32" s="1" t="s">
        <v>533</v>
      </c>
      <c r="D32" t="s">
        <v>539</v>
      </c>
      <c r="E32" t="s">
        <v>191</v>
      </c>
      <c r="F32" t="s">
        <v>541</v>
      </c>
      <c r="G32" t="s">
        <v>43</v>
      </c>
      <c r="H32" t="s">
        <v>541</v>
      </c>
      <c r="I32" t="s">
        <v>244</v>
      </c>
      <c r="J32" t="s">
        <v>192</v>
      </c>
      <c r="K32" t="s">
        <v>192</v>
      </c>
      <c r="L32" t="s">
        <v>192</v>
      </c>
      <c r="M32" s="10">
        <v>32143</v>
      </c>
      <c r="N32" s="10" t="s">
        <v>43</v>
      </c>
      <c r="O32" s="1">
        <v>40.131999999999998</v>
      </c>
      <c r="P32" s="1">
        <v>-8.8510000000000009</v>
      </c>
      <c r="Q32" s="1">
        <v>1</v>
      </c>
      <c r="R32" t="str">
        <f t="shared" si="0"/>
        <v>temperate</v>
      </c>
      <c r="T32" t="s">
        <v>793</v>
      </c>
      <c r="U32" t="s">
        <v>43</v>
      </c>
      <c r="V32" t="s">
        <v>43</v>
      </c>
    </row>
    <row r="33" spans="1:22">
      <c r="A33" s="20">
        <v>195</v>
      </c>
      <c r="B33" s="20">
        <v>155</v>
      </c>
      <c r="C33" t="s">
        <v>763</v>
      </c>
      <c r="D33" t="s">
        <v>762</v>
      </c>
      <c r="E33" t="s">
        <v>194</v>
      </c>
      <c r="F33" t="s">
        <v>43</v>
      </c>
      <c r="G33" t="s">
        <v>43</v>
      </c>
      <c r="H33" t="s">
        <v>246</v>
      </c>
      <c r="I33" t="s">
        <v>43</v>
      </c>
      <c r="J33" t="s">
        <v>43</v>
      </c>
      <c r="K33" t="s">
        <v>193</v>
      </c>
      <c r="L33" t="s">
        <v>812</v>
      </c>
      <c r="M33" s="10" t="s">
        <v>43</v>
      </c>
      <c r="N33" s="10" t="s">
        <v>43</v>
      </c>
      <c r="O33">
        <v>35.953000000000003</v>
      </c>
      <c r="P33">
        <v>14.428000000000001</v>
      </c>
      <c r="Q33" s="1">
        <v>1</v>
      </c>
      <c r="R33" t="str">
        <f t="shared" si="0"/>
        <v>subtropical</v>
      </c>
      <c r="T33" t="s">
        <v>792</v>
      </c>
      <c r="U33" t="s">
        <v>43</v>
      </c>
      <c r="V33" t="s">
        <v>43</v>
      </c>
    </row>
    <row r="34" spans="1:22">
      <c r="A34" s="20">
        <v>194</v>
      </c>
      <c r="B34" s="20">
        <v>161</v>
      </c>
      <c r="C34" t="s">
        <v>763</v>
      </c>
      <c r="D34" t="s">
        <v>761</v>
      </c>
      <c r="E34" t="s">
        <v>194</v>
      </c>
      <c r="F34" t="s">
        <v>43</v>
      </c>
      <c r="G34" t="s">
        <v>43</v>
      </c>
      <c r="H34" t="s">
        <v>246</v>
      </c>
      <c r="I34" t="s">
        <v>43</v>
      </c>
      <c r="J34" t="s">
        <v>43</v>
      </c>
      <c r="K34" t="s">
        <v>193</v>
      </c>
      <c r="L34" t="s">
        <v>812</v>
      </c>
      <c r="M34" s="10" t="s">
        <v>43</v>
      </c>
      <c r="N34" s="10" t="s">
        <v>43</v>
      </c>
      <c r="O34">
        <v>35.970300000000002</v>
      </c>
      <c r="P34">
        <v>14.385999999999999</v>
      </c>
      <c r="Q34" s="1">
        <v>1</v>
      </c>
      <c r="R34" t="str">
        <f t="shared" si="0"/>
        <v>subtropical</v>
      </c>
      <c r="T34" t="s">
        <v>792</v>
      </c>
      <c r="U34" t="s">
        <v>43</v>
      </c>
      <c r="V34" t="s">
        <v>43</v>
      </c>
    </row>
    <row r="35" spans="1:22">
      <c r="A35" s="20">
        <v>193</v>
      </c>
      <c r="B35" s="20">
        <v>198</v>
      </c>
      <c r="C35" t="s">
        <v>763</v>
      </c>
      <c r="D35" t="s">
        <v>760</v>
      </c>
      <c r="E35" t="s">
        <v>194</v>
      </c>
      <c r="F35" t="s">
        <v>43</v>
      </c>
      <c r="G35" t="s">
        <v>43</v>
      </c>
      <c r="H35" t="s">
        <v>246</v>
      </c>
      <c r="I35" t="s">
        <v>43</v>
      </c>
      <c r="J35" t="s">
        <v>43</v>
      </c>
      <c r="K35" t="s">
        <v>193</v>
      </c>
      <c r="L35" t="s">
        <v>812</v>
      </c>
      <c r="M35" s="10" t="s">
        <v>43</v>
      </c>
      <c r="N35" s="10" t="s">
        <v>43</v>
      </c>
      <c r="O35">
        <v>36.018999999999998</v>
      </c>
      <c r="P35">
        <v>14.2897</v>
      </c>
      <c r="Q35" s="1">
        <v>1</v>
      </c>
      <c r="R35" t="str">
        <f t="shared" si="0"/>
        <v>subtropical</v>
      </c>
      <c r="T35" t="s">
        <v>792</v>
      </c>
      <c r="U35" t="s">
        <v>43</v>
      </c>
      <c r="V35" t="s">
        <v>43</v>
      </c>
    </row>
    <row r="36" spans="1:22">
      <c r="A36" s="20">
        <v>96</v>
      </c>
      <c r="B36" s="20">
        <v>61</v>
      </c>
      <c r="C36" t="s">
        <v>279</v>
      </c>
      <c r="D36" t="s">
        <v>289</v>
      </c>
      <c r="E36" t="s">
        <v>194</v>
      </c>
      <c r="F36" t="s">
        <v>43</v>
      </c>
      <c r="G36" t="s">
        <v>43</v>
      </c>
      <c r="H36" t="s">
        <v>246</v>
      </c>
      <c r="I36" t="s">
        <v>246</v>
      </c>
      <c r="J36" t="s">
        <v>43</v>
      </c>
      <c r="K36" t="s">
        <v>193</v>
      </c>
      <c r="L36" t="s">
        <v>812</v>
      </c>
      <c r="M36" s="10" t="s">
        <v>43</v>
      </c>
      <c r="N36" s="10" t="s">
        <v>43</v>
      </c>
      <c r="O36" s="1">
        <v>-18.274000000000001</v>
      </c>
      <c r="P36" s="1">
        <v>146.08500000000001</v>
      </c>
      <c r="Q36">
        <v>1</v>
      </c>
      <c r="R36" t="str">
        <f t="shared" si="0"/>
        <v>tropical</v>
      </c>
      <c r="T36" t="str">
        <f>IF(F36 = "MPA", "1_protected", "2_unprotected")</f>
        <v>2_unprotected</v>
      </c>
      <c r="U36" s="26" t="s">
        <v>43</v>
      </c>
      <c r="V36" s="26" t="s">
        <v>43</v>
      </c>
    </row>
    <row r="37" spans="1:22">
      <c r="A37" s="20">
        <v>97</v>
      </c>
      <c r="B37" s="20">
        <v>62</v>
      </c>
      <c r="C37" t="s">
        <v>279</v>
      </c>
      <c r="D37" t="s">
        <v>290</v>
      </c>
      <c r="E37" t="s">
        <v>194</v>
      </c>
      <c r="F37" t="s">
        <v>43</v>
      </c>
      <c r="G37" t="s">
        <v>43</v>
      </c>
      <c r="H37" t="s">
        <v>246</v>
      </c>
      <c r="I37" t="s">
        <v>246</v>
      </c>
      <c r="J37" t="s">
        <v>43</v>
      </c>
      <c r="K37" t="s">
        <v>193</v>
      </c>
      <c r="L37" t="s">
        <v>812</v>
      </c>
      <c r="M37" s="10" t="s">
        <v>43</v>
      </c>
      <c r="N37" s="10" t="s">
        <v>43</v>
      </c>
      <c r="O37" s="1">
        <v>-18.321000000000002</v>
      </c>
      <c r="P37" s="1">
        <v>146.148</v>
      </c>
      <c r="Q37">
        <v>1</v>
      </c>
      <c r="R37" t="str">
        <f t="shared" si="0"/>
        <v>tropical</v>
      </c>
      <c r="T37" t="str">
        <f>IF(F37 = "MPA", "1_protected", "2_unprotected")</f>
        <v>2_unprotected</v>
      </c>
      <c r="U37" s="26" t="s">
        <v>43</v>
      </c>
      <c r="V37" s="26" t="s">
        <v>43</v>
      </c>
    </row>
    <row r="38" spans="1:22">
      <c r="A38" s="20">
        <v>196</v>
      </c>
      <c r="B38" s="20">
        <v>56</v>
      </c>
      <c r="C38" t="s">
        <v>768</v>
      </c>
      <c r="D38" t="s">
        <v>777</v>
      </c>
      <c r="E38" t="s">
        <v>191</v>
      </c>
      <c r="F38" t="s">
        <v>778</v>
      </c>
      <c r="G38" t="s">
        <v>43</v>
      </c>
      <c r="H38" t="s">
        <v>778</v>
      </c>
      <c r="I38" t="s">
        <v>244</v>
      </c>
      <c r="J38" t="s">
        <v>43</v>
      </c>
      <c r="K38" t="s">
        <v>193</v>
      </c>
      <c r="L38" t="s">
        <v>193</v>
      </c>
      <c r="M38" s="10">
        <v>38687</v>
      </c>
      <c r="N38" s="10" t="s">
        <v>43</v>
      </c>
      <c r="O38" s="1">
        <v>27.561</v>
      </c>
      <c r="P38" s="1">
        <v>-83.006</v>
      </c>
      <c r="Q38" s="1">
        <v>6</v>
      </c>
      <c r="R38" t="str">
        <f t="shared" si="0"/>
        <v>subtropical</v>
      </c>
      <c r="T38" t="s">
        <v>792</v>
      </c>
      <c r="U38" t="s">
        <v>43</v>
      </c>
      <c r="V38" t="s">
        <v>43</v>
      </c>
    </row>
    <row r="39" spans="1:22">
      <c r="A39" s="20">
        <v>11</v>
      </c>
      <c r="B39" s="20">
        <v>24</v>
      </c>
      <c r="C39" t="s">
        <v>66</v>
      </c>
      <c r="D39" t="s">
        <v>112</v>
      </c>
      <c r="E39" t="s">
        <v>194</v>
      </c>
      <c r="F39" t="s">
        <v>43</v>
      </c>
      <c r="G39" s="8" t="s">
        <v>43</v>
      </c>
      <c r="H39" t="s">
        <v>246</v>
      </c>
      <c r="I39" t="s">
        <v>246</v>
      </c>
      <c r="J39" t="s">
        <v>43</v>
      </c>
      <c r="K39" t="s">
        <v>193</v>
      </c>
      <c r="L39" t="s">
        <v>812</v>
      </c>
      <c r="M39" s="10" t="s">
        <v>43</v>
      </c>
      <c r="N39" s="10" t="s">
        <v>43</v>
      </c>
      <c r="O39" s="1">
        <v>18.308</v>
      </c>
      <c r="P39" s="1">
        <v>-64.721999999999994</v>
      </c>
      <c r="Q39" s="1">
        <v>1</v>
      </c>
      <c r="R39" t="str">
        <f t="shared" si="0"/>
        <v>tropical</v>
      </c>
      <c r="T39" t="s">
        <v>790</v>
      </c>
      <c r="U39" t="s">
        <v>43</v>
      </c>
      <c r="V39" t="s">
        <v>43</v>
      </c>
    </row>
    <row r="40" spans="1:22">
      <c r="A40" s="20">
        <v>12</v>
      </c>
      <c r="B40" s="20">
        <v>45</v>
      </c>
      <c r="C40" t="s">
        <v>66</v>
      </c>
      <c r="D40" t="s">
        <v>116</v>
      </c>
      <c r="E40" t="s">
        <v>194</v>
      </c>
      <c r="F40" t="s">
        <v>43</v>
      </c>
      <c r="G40" s="8" t="s">
        <v>43</v>
      </c>
      <c r="H40" t="s">
        <v>246</v>
      </c>
      <c r="I40" t="s">
        <v>246</v>
      </c>
      <c r="J40" t="s">
        <v>43</v>
      </c>
      <c r="K40" t="s">
        <v>193</v>
      </c>
      <c r="L40" t="s">
        <v>812</v>
      </c>
      <c r="M40" s="10" t="s">
        <v>43</v>
      </c>
      <c r="N40" s="10" t="s">
        <v>43</v>
      </c>
      <c r="O40">
        <v>18.311</v>
      </c>
      <c r="P40">
        <v>-64.722999999999999</v>
      </c>
      <c r="Q40" s="1">
        <v>1</v>
      </c>
      <c r="R40" t="str">
        <f t="shared" si="0"/>
        <v>tropical</v>
      </c>
      <c r="T40" t="s">
        <v>790</v>
      </c>
      <c r="U40" t="s">
        <v>43</v>
      </c>
      <c r="V40" t="s">
        <v>43</v>
      </c>
    </row>
    <row r="41" spans="1:22">
      <c r="A41" s="20">
        <v>13</v>
      </c>
      <c r="B41" s="20">
        <v>49</v>
      </c>
      <c r="C41" t="s">
        <v>66</v>
      </c>
      <c r="D41" t="s">
        <v>119</v>
      </c>
      <c r="E41" t="s">
        <v>194</v>
      </c>
      <c r="F41" t="s">
        <v>43</v>
      </c>
      <c r="G41" s="8" t="s">
        <v>43</v>
      </c>
      <c r="H41" t="s">
        <v>246</v>
      </c>
      <c r="I41" t="s">
        <v>246</v>
      </c>
      <c r="J41" t="s">
        <v>43</v>
      </c>
      <c r="K41" t="s">
        <v>193</v>
      </c>
      <c r="L41" t="s">
        <v>812</v>
      </c>
      <c r="M41" s="10" t="s">
        <v>43</v>
      </c>
      <c r="N41" s="10" t="s">
        <v>43</v>
      </c>
      <c r="O41">
        <v>18.317</v>
      </c>
      <c r="P41">
        <v>-64.73</v>
      </c>
      <c r="Q41" s="1">
        <v>1</v>
      </c>
      <c r="R41" t="str">
        <f t="shared" si="0"/>
        <v>tropical</v>
      </c>
      <c r="T41" t="s">
        <v>790</v>
      </c>
      <c r="U41" t="s">
        <v>43</v>
      </c>
      <c r="V41" t="s">
        <v>43</v>
      </c>
    </row>
    <row r="42" spans="1:22">
      <c r="A42" s="20">
        <v>14</v>
      </c>
      <c r="B42" s="20">
        <v>125</v>
      </c>
      <c r="C42" t="s">
        <v>66</v>
      </c>
      <c r="D42" t="s">
        <v>166</v>
      </c>
      <c r="E42" t="s">
        <v>194</v>
      </c>
      <c r="F42" t="s">
        <v>43</v>
      </c>
      <c r="G42" s="8" t="s">
        <v>43</v>
      </c>
      <c r="H42" t="s">
        <v>246</v>
      </c>
      <c r="I42" t="s">
        <v>246</v>
      </c>
      <c r="J42" t="s">
        <v>43</v>
      </c>
      <c r="K42" t="s">
        <v>193</v>
      </c>
      <c r="L42" t="s">
        <v>812</v>
      </c>
      <c r="M42" s="10" t="s">
        <v>43</v>
      </c>
      <c r="N42" s="10" t="s">
        <v>43</v>
      </c>
      <c r="O42">
        <v>18.317</v>
      </c>
      <c r="P42">
        <v>-64.721000000000004</v>
      </c>
      <c r="Q42" s="1">
        <v>1</v>
      </c>
      <c r="R42" t="str">
        <f t="shared" si="0"/>
        <v>tropical</v>
      </c>
      <c r="T42" t="s">
        <v>790</v>
      </c>
      <c r="U42" t="s">
        <v>43</v>
      </c>
      <c r="V42" t="s">
        <v>43</v>
      </c>
    </row>
    <row r="43" spans="1:22">
      <c r="A43" s="20">
        <v>15</v>
      </c>
      <c r="B43" s="20">
        <v>192</v>
      </c>
      <c r="C43" t="s">
        <v>66</v>
      </c>
      <c r="D43" t="s">
        <v>185</v>
      </c>
      <c r="E43" t="s">
        <v>194</v>
      </c>
      <c r="F43" t="s">
        <v>43</v>
      </c>
      <c r="G43" s="8" t="s">
        <v>43</v>
      </c>
      <c r="H43" t="s">
        <v>246</v>
      </c>
      <c r="I43" t="s">
        <v>246</v>
      </c>
      <c r="J43" t="s">
        <v>43</v>
      </c>
      <c r="K43" t="s">
        <v>193</v>
      </c>
      <c r="L43" t="s">
        <v>812</v>
      </c>
      <c r="M43" s="10" t="s">
        <v>43</v>
      </c>
      <c r="N43" s="10" t="s">
        <v>43</v>
      </c>
      <c r="O43">
        <v>18.317</v>
      </c>
      <c r="P43">
        <v>-64.727999999999994</v>
      </c>
      <c r="Q43" s="1">
        <v>1</v>
      </c>
      <c r="R43" t="str">
        <f t="shared" si="0"/>
        <v>tropical</v>
      </c>
      <c r="T43" t="s">
        <v>790</v>
      </c>
      <c r="U43" t="s">
        <v>43</v>
      </c>
      <c r="V43" t="s">
        <v>43</v>
      </c>
    </row>
    <row r="44" spans="1:22">
      <c r="A44" s="20">
        <v>16</v>
      </c>
      <c r="B44" s="20">
        <v>193</v>
      </c>
      <c r="C44" t="s">
        <v>66</v>
      </c>
      <c r="D44" t="s">
        <v>186</v>
      </c>
      <c r="E44" t="s">
        <v>194</v>
      </c>
      <c r="F44" t="s">
        <v>43</v>
      </c>
      <c r="G44" s="8" t="s">
        <v>43</v>
      </c>
      <c r="H44" t="s">
        <v>246</v>
      </c>
      <c r="I44" t="s">
        <v>246</v>
      </c>
      <c r="J44" t="s">
        <v>43</v>
      </c>
      <c r="K44" t="s">
        <v>193</v>
      </c>
      <c r="L44" t="s">
        <v>812</v>
      </c>
      <c r="M44" s="10" t="s">
        <v>43</v>
      </c>
      <c r="N44" s="10" t="s">
        <v>43</v>
      </c>
      <c r="O44">
        <v>18.314</v>
      </c>
      <c r="P44">
        <v>-64.730999999999995</v>
      </c>
      <c r="Q44" s="1">
        <v>1</v>
      </c>
      <c r="R44" t="str">
        <f t="shared" si="0"/>
        <v>tropical</v>
      </c>
      <c r="T44" t="s">
        <v>790</v>
      </c>
      <c r="U44" t="s">
        <v>43</v>
      </c>
      <c r="V44" t="s">
        <v>43</v>
      </c>
    </row>
    <row r="45" spans="1:22">
      <c r="A45" s="20">
        <v>17</v>
      </c>
      <c r="B45" s="20">
        <v>135</v>
      </c>
      <c r="C45" t="s">
        <v>4</v>
      </c>
      <c r="D45" t="s">
        <v>170</v>
      </c>
      <c r="E45" t="s">
        <v>194</v>
      </c>
      <c r="F45" t="s">
        <v>43</v>
      </c>
      <c r="G45" s="8" t="s">
        <v>43</v>
      </c>
      <c r="H45" t="s">
        <v>246</v>
      </c>
      <c r="I45" t="s">
        <v>246</v>
      </c>
      <c r="J45" t="s">
        <v>43</v>
      </c>
      <c r="K45" t="s">
        <v>193</v>
      </c>
      <c r="L45" t="s">
        <v>812</v>
      </c>
      <c r="M45" s="10" t="s">
        <v>43</v>
      </c>
      <c r="N45" s="10" t="s">
        <v>43</v>
      </c>
      <c r="O45">
        <v>48.604999999999997</v>
      </c>
      <c r="P45">
        <v>-123.092</v>
      </c>
      <c r="Q45" s="1">
        <v>1</v>
      </c>
      <c r="R45" t="str">
        <f t="shared" si="0"/>
        <v>temperate</v>
      </c>
      <c r="T45" t="s">
        <v>792</v>
      </c>
      <c r="U45" t="s">
        <v>43</v>
      </c>
      <c r="V45" t="s">
        <v>43</v>
      </c>
    </row>
    <row r="46" spans="1:22">
      <c r="A46" s="20">
        <v>18</v>
      </c>
      <c r="B46" s="20">
        <v>141</v>
      </c>
      <c r="C46" t="s">
        <v>4</v>
      </c>
      <c r="D46" t="s">
        <v>172</v>
      </c>
      <c r="E46" t="s">
        <v>194</v>
      </c>
      <c r="F46" t="s">
        <v>43</v>
      </c>
      <c r="G46" s="8" t="s">
        <v>43</v>
      </c>
      <c r="H46" t="s">
        <v>246</v>
      </c>
      <c r="I46" t="s">
        <v>246</v>
      </c>
      <c r="J46" t="s">
        <v>43</v>
      </c>
      <c r="K46" t="s">
        <v>193</v>
      </c>
      <c r="L46" t="s">
        <v>812</v>
      </c>
      <c r="M46" s="10" t="s">
        <v>43</v>
      </c>
      <c r="N46" s="10" t="s">
        <v>43</v>
      </c>
      <c r="O46">
        <v>48.558999999999997</v>
      </c>
      <c r="P46">
        <v>-122.988</v>
      </c>
      <c r="Q46" s="1">
        <v>1</v>
      </c>
      <c r="R46" t="str">
        <f t="shared" si="0"/>
        <v>temperate</v>
      </c>
      <c r="T46" t="s">
        <v>790</v>
      </c>
      <c r="U46" t="s">
        <v>43</v>
      </c>
      <c r="V46" t="s">
        <v>43</v>
      </c>
    </row>
    <row r="47" spans="1:22">
      <c r="A47" s="20">
        <v>19</v>
      </c>
      <c r="B47" s="20">
        <v>157</v>
      </c>
      <c r="C47" t="s">
        <v>4</v>
      </c>
      <c r="D47" t="s">
        <v>177</v>
      </c>
      <c r="E47" t="s">
        <v>194</v>
      </c>
      <c r="F47" t="s">
        <v>43</v>
      </c>
      <c r="G47" s="8" t="s">
        <v>43</v>
      </c>
      <c r="H47" t="s">
        <v>246</v>
      </c>
      <c r="I47" t="s">
        <v>246</v>
      </c>
      <c r="J47" t="s">
        <v>43</v>
      </c>
      <c r="K47" t="s">
        <v>193</v>
      </c>
      <c r="L47" t="s">
        <v>812</v>
      </c>
      <c r="M47" s="10" t="s">
        <v>43</v>
      </c>
      <c r="N47" s="10" t="s">
        <v>43</v>
      </c>
      <c r="O47" s="1">
        <v>48.551000000000002</v>
      </c>
      <c r="P47" s="1">
        <v>-123.005</v>
      </c>
      <c r="Q47" s="1">
        <v>1</v>
      </c>
      <c r="R47" t="str">
        <f t="shared" si="0"/>
        <v>temperate</v>
      </c>
      <c r="T47" t="s">
        <v>790</v>
      </c>
      <c r="U47" t="s">
        <v>43</v>
      </c>
      <c r="V47" t="s">
        <v>43</v>
      </c>
    </row>
    <row r="48" spans="1:22">
      <c r="A48" s="20">
        <v>20</v>
      </c>
      <c r="B48" s="20">
        <v>112</v>
      </c>
      <c r="C48" t="s">
        <v>5</v>
      </c>
      <c r="D48" t="s">
        <v>160</v>
      </c>
      <c r="E48" t="s">
        <v>194</v>
      </c>
      <c r="F48" t="s">
        <v>43</v>
      </c>
      <c r="G48" s="8" t="s">
        <v>43</v>
      </c>
      <c r="H48" t="s">
        <v>246</v>
      </c>
      <c r="I48" t="s">
        <v>246</v>
      </c>
      <c r="J48" t="s">
        <v>43</v>
      </c>
      <c r="K48" t="s">
        <v>193</v>
      </c>
      <c r="L48" t="s">
        <v>812</v>
      </c>
      <c r="M48" s="10" t="s">
        <v>43</v>
      </c>
      <c r="N48" s="10" t="s">
        <v>43</v>
      </c>
      <c r="O48" s="1">
        <v>55.116999999999997</v>
      </c>
      <c r="P48" s="1">
        <v>-1.333</v>
      </c>
      <c r="Q48" s="1">
        <v>1</v>
      </c>
      <c r="R48" t="str">
        <f t="shared" si="0"/>
        <v>temperate</v>
      </c>
      <c r="T48" t="s">
        <v>792</v>
      </c>
      <c r="U48" t="s">
        <v>43</v>
      </c>
      <c r="V48" t="s">
        <v>43</v>
      </c>
    </row>
    <row r="49" spans="1:22">
      <c r="A49" s="20">
        <v>21</v>
      </c>
      <c r="B49" s="20">
        <v>33</v>
      </c>
      <c r="C49" t="s">
        <v>96</v>
      </c>
      <c r="D49" t="s">
        <v>579</v>
      </c>
      <c r="E49" t="s">
        <v>191</v>
      </c>
      <c r="F49" t="s">
        <v>566</v>
      </c>
      <c r="G49" s="8" t="s">
        <v>43</v>
      </c>
      <c r="H49" t="s">
        <v>674</v>
      </c>
      <c r="I49" t="s">
        <v>243</v>
      </c>
      <c r="J49" t="s">
        <v>193</v>
      </c>
      <c r="K49" s="33" t="s">
        <v>193</v>
      </c>
      <c r="L49" s="33" t="s">
        <v>193</v>
      </c>
      <c r="M49" s="10">
        <v>32752</v>
      </c>
      <c r="N49" s="10" t="s">
        <v>43</v>
      </c>
      <c r="O49" s="1">
        <v>18.315000000000001</v>
      </c>
      <c r="P49" s="1">
        <v>-64.760000000000005</v>
      </c>
      <c r="Q49" s="1">
        <v>1</v>
      </c>
      <c r="R49" t="str">
        <f t="shared" si="0"/>
        <v>tropical</v>
      </c>
      <c r="T49" t="s">
        <v>790</v>
      </c>
      <c r="U49" t="s">
        <v>43</v>
      </c>
      <c r="V49" t="s">
        <v>43</v>
      </c>
    </row>
    <row r="50" spans="1:22">
      <c r="A50" s="20">
        <v>22</v>
      </c>
      <c r="B50" s="20">
        <v>199</v>
      </c>
      <c r="C50" t="s">
        <v>96</v>
      </c>
      <c r="D50" t="s">
        <v>187</v>
      </c>
      <c r="E50" t="s">
        <v>191</v>
      </c>
      <c r="F50" t="s">
        <v>576</v>
      </c>
      <c r="G50" t="s">
        <v>566</v>
      </c>
      <c r="H50" t="s">
        <v>675</v>
      </c>
      <c r="I50" t="s">
        <v>243</v>
      </c>
      <c r="J50" t="s">
        <v>193</v>
      </c>
      <c r="K50" t="s">
        <v>193</v>
      </c>
      <c r="L50" t="s">
        <v>193</v>
      </c>
      <c r="M50" s="10">
        <v>32387</v>
      </c>
      <c r="N50" s="10">
        <v>32752</v>
      </c>
      <c r="O50">
        <v>18.315000000000001</v>
      </c>
      <c r="P50">
        <v>-64.725999999999999</v>
      </c>
      <c r="Q50" s="1">
        <v>1</v>
      </c>
      <c r="R50" t="str">
        <f t="shared" si="0"/>
        <v>tropical</v>
      </c>
      <c r="T50" t="s">
        <v>790</v>
      </c>
      <c r="U50" t="s">
        <v>43</v>
      </c>
      <c r="V50" t="s">
        <v>43</v>
      </c>
    </row>
    <row r="51" spans="1:22">
      <c r="A51" s="20">
        <v>23</v>
      </c>
      <c r="B51" s="20">
        <v>60</v>
      </c>
      <c r="C51" t="s">
        <v>87</v>
      </c>
      <c r="D51" t="s">
        <v>122</v>
      </c>
      <c r="E51" t="s">
        <v>194</v>
      </c>
      <c r="F51" t="s">
        <v>43</v>
      </c>
      <c r="G51" s="8" t="s">
        <v>43</v>
      </c>
      <c r="H51" t="s">
        <v>246</v>
      </c>
      <c r="I51" t="s">
        <v>246</v>
      </c>
      <c r="J51" t="s">
        <v>43</v>
      </c>
      <c r="K51" t="s">
        <v>193</v>
      </c>
      <c r="L51" t="s">
        <v>812</v>
      </c>
      <c r="M51" s="10" t="s">
        <v>43</v>
      </c>
      <c r="N51" s="10" t="s">
        <v>43</v>
      </c>
      <c r="O51" s="1">
        <v>22.21</v>
      </c>
      <c r="P51" s="1">
        <v>-159.51</v>
      </c>
      <c r="Q51" s="1">
        <v>1</v>
      </c>
      <c r="R51" t="str">
        <f t="shared" si="0"/>
        <v>tropical</v>
      </c>
      <c r="T51" t="s">
        <v>792</v>
      </c>
      <c r="U51" t="s">
        <v>43</v>
      </c>
      <c r="V51" t="s">
        <v>43</v>
      </c>
    </row>
    <row r="52" spans="1:22">
      <c r="A52" s="20">
        <v>98</v>
      </c>
      <c r="B52" s="20">
        <v>139</v>
      </c>
      <c r="C52" t="s">
        <v>292</v>
      </c>
      <c r="D52" t="s">
        <v>305</v>
      </c>
      <c r="E52" t="s">
        <v>194</v>
      </c>
      <c r="F52" t="s">
        <v>43</v>
      </c>
      <c r="G52" t="s">
        <v>43</v>
      </c>
      <c r="H52" t="s">
        <v>246</v>
      </c>
      <c r="I52" t="s">
        <v>246</v>
      </c>
      <c r="J52" t="s">
        <v>43</v>
      </c>
      <c r="K52" t="s">
        <v>193</v>
      </c>
      <c r="L52" t="s">
        <v>812</v>
      </c>
      <c r="M52" s="10" t="s">
        <v>43</v>
      </c>
      <c r="N52" s="10" t="s">
        <v>43</v>
      </c>
      <c r="O52" s="1">
        <v>49</v>
      </c>
      <c r="P52" s="1">
        <v>-16.5</v>
      </c>
      <c r="Q52">
        <v>1</v>
      </c>
      <c r="R52" t="str">
        <f t="shared" si="0"/>
        <v>temperate</v>
      </c>
      <c r="T52" t="s">
        <v>790</v>
      </c>
      <c r="U52" s="26" t="s">
        <v>43</v>
      </c>
      <c r="V52" s="26" t="s">
        <v>43</v>
      </c>
    </row>
    <row r="53" spans="1:22">
      <c r="A53" s="20">
        <v>24</v>
      </c>
      <c r="B53" s="20">
        <v>117</v>
      </c>
      <c r="C53" t="s">
        <v>6</v>
      </c>
      <c r="D53" t="s">
        <v>163</v>
      </c>
      <c r="E53" t="s">
        <v>194</v>
      </c>
      <c r="F53" t="s">
        <v>43</v>
      </c>
      <c r="G53" s="8" t="s">
        <v>43</v>
      </c>
      <c r="H53" t="s">
        <v>246</v>
      </c>
      <c r="I53" t="s">
        <v>246</v>
      </c>
      <c r="J53" t="s">
        <v>43</v>
      </c>
      <c r="K53" t="s">
        <v>193</v>
      </c>
      <c r="L53" t="s">
        <v>812</v>
      </c>
      <c r="M53" s="10" t="s">
        <v>43</v>
      </c>
      <c r="N53" s="10" t="s">
        <v>43</v>
      </c>
      <c r="O53" s="1">
        <v>37.222499999999997</v>
      </c>
      <c r="P53" s="1">
        <v>-76.385000000000005</v>
      </c>
      <c r="Q53" s="1">
        <v>1</v>
      </c>
      <c r="R53" t="str">
        <f t="shared" si="0"/>
        <v>subtropical</v>
      </c>
      <c r="T53" t="s">
        <v>790</v>
      </c>
      <c r="U53" t="s">
        <v>43</v>
      </c>
      <c r="V53" t="s">
        <v>43</v>
      </c>
    </row>
    <row r="54" spans="1:22">
      <c r="A54" s="20">
        <v>99</v>
      </c>
      <c r="B54" s="20">
        <v>54</v>
      </c>
      <c r="C54" t="s">
        <v>306</v>
      </c>
      <c r="D54" t="s">
        <v>312</v>
      </c>
      <c r="E54" t="s">
        <v>194</v>
      </c>
      <c r="F54" t="s">
        <v>43</v>
      </c>
      <c r="G54" t="s">
        <v>43</v>
      </c>
      <c r="H54" t="s">
        <v>246</v>
      </c>
      <c r="I54" t="s">
        <v>246</v>
      </c>
      <c r="J54" t="s">
        <v>43</v>
      </c>
      <c r="K54" t="s">
        <v>193</v>
      </c>
      <c r="L54" t="s">
        <v>812</v>
      </c>
      <c r="M54" s="10" t="s">
        <v>43</v>
      </c>
      <c r="N54" s="10" t="s">
        <v>43</v>
      </c>
      <c r="O54" s="1">
        <v>56.034999999999997</v>
      </c>
      <c r="P54" s="1">
        <v>-3.5859999999999999</v>
      </c>
      <c r="Q54">
        <v>3</v>
      </c>
      <c r="R54" t="str">
        <f t="shared" si="0"/>
        <v>temperate</v>
      </c>
      <c r="T54" t="s">
        <v>793</v>
      </c>
      <c r="U54" s="26" t="s">
        <v>43</v>
      </c>
      <c r="V54" s="26" t="s">
        <v>43</v>
      </c>
    </row>
    <row r="55" spans="1:22">
      <c r="A55" s="20">
        <v>102</v>
      </c>
      <c r="B55" s="20">
        <v>64</v>
      </c>
      <c r="C55" t="s">
        <v>313</v>
      </c>
      <c r="D55" t="s">
        <v>321</v>
      </c>
      <c r="E55" t="s">
        <v>191</v>
      </c>
      <c r="F55" t="s">
        <v>318</v>
      </c>
      <c r="G55" t="s">
        <v>43</v>
      </c>
      <c r="H55" t="s">
        <v>679</v>
      </c>
      <c r="I55" t="s">
        <v>244</v>
      </c>
      <c r="J55" t="s">
        <v>199</v>
      </c>
      <c r="K55" t="s">
        <v>199</v>
      </c>
      <c r="L55" t="s">
        <v>199</v>
      </c>
      <c r="M55" s="10">
        <v>31686</v>
      </c>
      <c r="N55" s="10" t="s">
        <v>43</v>
      </c>
      <c r="O55" s="1">
        <v>54.987000000000002</v>
      </c>
      <c r="P55" s="1">
        <v>-1.496</v>
      </c>
      <c r="Q55" s="1">
        <v>1</v>
      </c>
      <c r="R55" t="str">
        <f t="shared" si="0"/>
        <v>temperate</v>
      </c>
      <c r="T55" t="s">
        <v>793</v>
      </c>
      <c r="U55" s="26" t="s">
        <v>43</v>
      </c>
      <c r="V55" s="26" t="s">
        <v>43</v>
      </c>
    </row>
    <row r="56" spans="1:22">
      <c r="A56" s="20">
        <v>100</v>
      </c>
      <c r="B56" s="20">
        <v>132</v>
      </c>
      <c r="C56" t="s">
        <v>313</v>
      </c>
      <c r="D56" t="s">
        <v>319</v>
      </c>
      <c r="E56" t="s">
        <v>191</v>
      </c>
      <c r="F56" t="s">
        <v>318</v>
      </c>
      <c r="G56" t="s">
        <v>43</v>
      </c>
      <c r="H56" t="s">
        <v>679</v>
      </c>
      <c r="I56" t="s">
        <v>244</v>
      </c>
      <c r="J56" t="s">
        <v>199</v>
      </c>
      <c r="K56" t="s">
        <v>199</v>
      </c>
      <c r="L56" t="s">
        <v>199</v>
      </c>
      <c r="M56" s="10">
        <v>31686</v>
      </c>
      <c r="N56" s="10" t="s">
        <v>43</v>
      </c>
      <c r="O56" s="1">
        <v>55.012</v>
      </c>
      <c r="P56" s="1">
        <v>-1.4239999999999999</v>
      </c>
      <c r="Q56" s="1">
        <v>1</v>
      </c>
      <c r="R56" t="str">
        <f t="shared" si="0"/>
        <v>temperate</v>
      </c>
      <c r="T56" t="s">
        <v>793</v>
      </c>
      <c r="U56" s="26" t="s">
        <v>43</v>
      </c>
      <c r="V56" s="26" t="s">
        <v>43</v>
      </c>
    </row>
    <row r="57" spans="1:22">
      <c r="A57" s="20">
        <v>103</v>
      </c>
      <c r="B57" s="20">
        <v>146</v>
      </c>
      <c r="C57" t="s">
        <v>313</v>
      </c>
      <c r="D57" t="s">
        <v>322</v>
      </c>
      <c r="E57" t="s">
        <v>191</v>
      </c>
      <c r="F57" t="s">
        <v>318</v>
      </c>
      <c r="G57" t="s">
        <v>43</v>
      </c>
      <c r="H57" t="s">
        <v>679</v>
      </c>
      <c r="I57" t="s">
        <v>244</v>
      </c>
      <c r="J57" t="s">
        <v>199</v>
      </c>
      <c r="K57" t="s">
        <v>199</v>
      </c>
      <c r="L57" t="s">
        <v>199</v>
      </c>
      <c r="M57" s="10">
        <v>31686</v>
      </c>
      <c r="N57" s="10" t="s">
        <v>43</v>
      </c>
      <c r="O57">
        <v>54.97</v>
      </c>
      <c r="P57">
        <v>-1.5880000000000001</v>
      </c>
      <c r="Q57">
        <v>1</v>
      </c>
      <c r="R57" t="str">
        <f t="shared" si="0"/>
        <v>temperate</v>
      </c>
      <c r="T57" t="s">
        <v>793</v>
      </c>
      <c r="U57" s="26" t="s">
        <v>43</v>
      </c>
      <c r="V57" s="26" t="s">
        <v>43</v>
      </c>
    </row>
    <row r="58" spans="1:22">
      <c r="A58" s="20">
        <v>104</v>
      </c>
      <c r="B58" s="20">
        <v>159</v>
      </c>
      <c r="C58" t="s">
        <v>313</v>
      </c>
      <c r="D58" t="s">
        <v>323</v>
      </c>
      <c r="E58" t="s">
        <v>191</v>
      </c>
      <c r="F58" t="s">
        <v>318</v>
      </c>
      <c r="G58" t="s">
        <v>43</v>
      </c>
      <c r="H58" t="s">
        <v>679</v>
      </c>
      <c r="I58" t="s">
        <v>244</v>
      </c>
      <c r="J58" t="s">
        <v>199</v>
      </c>
      <c r="K58" t="s">
        <v>199</v>
      </c>
      <c r="L58" t="s">
        <v>199</v>
      </c>
      <c r="M58" s="10">
        <v>31686</v>
      </c>
      <c r="N58" s="10" t="s">
        <v>43</v>
      </c>
      <c r="O58">
        <v>54.966000000000001</v>
      </c>
      <c r="P58">
        <v>-1.6890000000000001</v>
      </c>
      <c r="Q58">
        <v>1</v>
      </c>
      <c r="R58" t="str">
        <f t="shared" si="0"/>
        <v>temperate</v>
      </c>
      <c r="T58" t="s">
        <v>793</v>
      </c>
      <c r="U58" s="26" t="s">
        <v>43</v>
      </c>
      <c r="V58" s="26" t="s">
        <v>43</v>
      </c>
    </row>
    <row r="59" spans="1:22">
      <c r="A59" s="20">
        <v>101</v>
      </c>
      <c r="B59" s="20">
        <v>171</v>
      </c>
      <c r="C59" t="s">
        <v>313</v>
      </c>
      <c r="D59" t="s">
        <v>320</v>
      </c>
      <c r="E59" t="s">
        <v>191</v>
      </c>
      <c r="F59" t="s">
        <v>318</v>
      </c>
      <c r="G59" t="s">
        <v>43</v>
      </c>
      <c r="H59" t="s">
        <v>679</v>
      </c>
      <c r="I59" t="s">
        <v>244</v>
      </c>
      <c r="J59" t="s">
        <v>199</v>
      </c>
      <c r="K59" t="s">
        <v>199</v>
      </c>
      <c r="L59" t="s">
        <v>199</v>
      </c>
      <c r="M59" s="10">
        <v>31686</v>
      </c>
      <c r="N59" s="10" t="s">
        <v>43</v>
      </c>
      <c r="O59" s="1">
        <v>54.988</v>
      </c>
      <c r="P59" s="1">
        <v>-1.452</v>
      </c>
      <c r="Q59" s="1">
        <v>1</v>
      </c>
      <c r="R59" t="str">
        <f t="shared" si="0"/>
        <v>temperate</v>
      </c>
      <c r="T59" t="s">
        <v>793</v>
      </c>
      <c r="U59" s="26" t="s">
        <v>43</v>
      </c>
      <c r="V59" s="26" t="s">
        <v>43</v>
      </c>
    </row>
    <row r="60" spans="1:22">
      <c r="A60" s="20">
        <v>105</v>
      </c>
      <c r="B60" s="20">
        <v>53</v>
      </c>
      <c r="C60" t="s">
        <v>324</v>
      </c>
      <c r="D60" t="s">
        <v>329</v>
      </c>
      <c r="E60" t="s">
        <v>194</v>
      </c>
      <c r="F60" t="s">
        <v>43</v>
      </c>
      <c r="G60" t="s">
        <v>43</v>
      </c>
      <c r="H60" t="s">
        <v>246</v>
      </c>
      <c r="I60" t="s">
        <v>246</v>
      </c>
      <c r="J60" t="s">
        <v>43</v>
      </c>
      <c r="K60" t="s">
        <v>193</v>
      </c>
      <c r="L60" t="s">
        <v>812</v>
      </c>
      <c r="M60" s="10" t="s">
        <v>43</v>
      </c>
      <c r="N60" s="10" t="s">
        <v>43</v>
      </c>
      <c r="O60" s="1">
        <v>13.837</v>
      </c>
      <c r="P60" s="1">
        <v>-61.076000000000001</v>
      </c>
      <c r="Q60">
        <v>8</v>
      </c>
      <c r="R60" t="str">
        <f t="shared" si="0"/>
        <v>tropical</v>
      </c>
      <c r="T60" t="str">
        <f>IF(F60 = "MPA", "1_protected", "2_unprotected")</f>
        <v>2_unprotected</v>
      </c>
      <c r="U60" s="26" t="s">
        <v>43</v>
      </c>
      <c r="V60" s="26" t="s">
        <v>43</v>
      </c>
    </row>
    <row r="61" spans="1:22">
      <c r="A61" s="20">
        <v>106</v>
      </c>
      <c r="B61" s="20">
        <v>149</v>
      </c>
      <c r="C61" t="s">
        <v>324</v>
      </c>
      <c r="D61" t="s">
        <v>330</v>
      </c>
      <c r="E61" t="s">
        <v>191</v>
      </c>
      <c r="F61" t="s">
        <v>198</v>
      </c>
      <c r="G61" t="s">
        <v>43</v>
      </c>
      <c r="H61" t="s">
        <v>673</v>
      </c>
      <c r="I61" t="s">
        <v>244</v>
      </c>
      <c r="J61" t="s">
        <v>199</v>
      </c>
      <c r="K61" t="s">
        <v>199</v>
      </c>
      <c r="L61" t="s">
        <v>199</v>
      </c>
      <c r="M61" s="10">
        <v>35065</v>
      </c>
      <c r="N61" s="10" t="s">
        <v>43</v>
      </c>
      <c r="O61" s="1">
        <v>13.837</v>
      </c>
      <c r="P61" s="1">
        <v>-61.076000000000001</v>
      </c>
      <c r="Q61" s="1">
        <v>8</v>
      </c>
      <c r="R61" t="str">
        <f t="shared" si="0"/>
        <v>tropical</v>
      </c>
      <c r="T61" t="str">
        <f>IF(F61 = "MPA", "1_protected", "2_unprotected")</f>
        <v>1_protected</v>
      </c>
      <c r="U61" s="26" t="s">
        <v>43</v>
      </c>
      <c r="V61" s="26" t="s">
        <v>43</v>
      </c>
    </row>
    <row r="62" spans="1:22">
      <c r="A62" s="20">
        <v>184</v>
      </c>
      <c r="B62" s="20">
        <v>35</v>
      </c>
      <c r="C62" s="1" t="s">
        <v>724</v>
      </c>
      <c r="D62" t="s">
        <v>733</v>
      </c>
      <c r="E62" t="s">
        <v>191</v>
      </c>
      <c r="F62" t="s">
        <v>734</v>
      </c>
      <c r="G62" t="s">
        <v>43</v>
      </c>
      <c r="H62" t="s">
        <v>728</v>
      </c>
      <c r="I62" t="s">
        <v>243</v>
      </c>
      <c r="J62" t="s">
        <v>192</v>
      </c>
      <c r="K62" t="s">
        <v>192</v>
      </c>
      <c r="L62" t="s">
        <v>192</v>
      </c>
      <c r="M62" s="10">
        <v>39450</v>
      </c>
      <c r="N62" s="10" t="s">
        <v>43</v>
      </c>
      <c r="O62">
        <v>-36.534999999999997</v>
      </c>
      <c r="P62">
        <v>-72.95</v>
      </c>
      <c r="Q62" s="1">
        <v>3</v>
      </c>
      <c r="R62" t="str">
        <f t="shared" si="0"/>
        <v>subtropical</v>
      </c>
      <c r="T62" t="s">
        <v>792</v>
      </c>
      <c r="U62" t="s">
        <v>43</v>
      </c>
      <c r="V62" t="s">
        <v>43</v>
      </c>
    </row>
    <row r="63" spans="1:22">
      <c r="A63" s="20">
        <v>185</v>
      </c>
      <c r="B63" s="20">
        <v>118</v>
      </c>
      <c r="C63" s="1" t="s">
        <v>735</v>
      </c>
      <c r="D63" t="s">
        <v>741</v>
      </c>
      <c r="E63" t="s">
        <v>191</v>
      </c>
      <c r="F63" t="s">
        <v>397</v>
      </c>
      <c r="G63" t="s">
        <v>43</v>
      </c>
      <c r="H63" t="s">
        <v>684</v>
      </c>
      <c r="I63" t="s">
        <v>243</v>
      </c>
      <c r="J63" t="s">
        <v>43</v>
      </c>
      <c r="K63" t="s">
        <v>193</v>
      </c>
      <c r="L63" t="s">
        <v>193</v>
      </c>
      <c r="M63" s="10">
        <v>35551</v>
      </c>
      <c r="N63" s="10" t="s">
        <v>43</v>
      </c>
      <c r="O63" s="1">
        <v>-23.016999999999999</v>
      </c>
      <c r="P63" s="1">
        <v>-70.441999999999993</v>
      </c>
      <c r="Q63" s="1">
        <v>1</v>
      </c>
      <c r="R63" t="str">
        <f t="shared" si="0"/>
        <v>tropical</v>
      </c>
      <c r="T63" t="s">
        <v>792</v>
      </c>
      <c r="U63" t="s">
        <v>43</v>
      </c>
      <c r="V63" t="s">
        <v>43</v>
      </c>
    </row>
    <row r="64" spans="1:22">
      <c r="A64" s="20">
        <v>107</v>
      </c>
      <c r="B64" s="20">
        <v>130</v>
      </c>
      <c r="C64" s="1" t="s">
        <v>331</v>
      </c>
      <c r="D64" t="s">
        <v>338</v>
      </c>
      <c r="E64" t="s">
        <v>191</v>
      </c>
      <c r="F64" t="s">
        <v>340</v>
      </c>
      <c r="G64" t="s">
        <v>43</v>
      </c>
      <c r="H64" t="s">
        <v>680</v>
      </c>
      <c r="I64" t="s">
        <v>244</v>
      </c>
      <c r="J64" t="s">
        <v>192</v>
      </c>
      <c r="K64" t="s">
        <v>192</v>
      </c>
      <c r="L64" t="s">
        <v>192</v>
      </c>
      <c r="M64" s="10">
        <v>30713</v>
      </c>
      <c r="N64" s="10" t="s">
        <v>43</v>
      </c>
      <c r="O64" s="1">
        <v>31.72</v>
      </c>
      <c r="P64" s="1">
        <v>-116.655</v>
      </c>
      <c r="Q64" s="1">
        <v>1</v>
      </c>
      <c r="R64" t="str">
        <f t="shared" si="0"/>
        <v>subtropical</v>
      </c>
      <c r="T64" t="s">
        <v>791</v>
      </c>
      <c r="U64" s="26" t="s">
        <v>43</v>
      </c>
      <c r="V64" s="26" t="s">
        <v>43</v>
      </c>
    </row>
    <row r="65" spans="1:22">
      <c r="A65" s="20">
        <v>108</v>
      </c>
      <c r="B65" s="20">
        <v>179</v>
      </c>
      <c r="C65" s="1" t="s">
        <v>331</v>
      </c>
      <c r="D65" t="s">
        <v>339</v>
      </c>
      <c r="E65" t="s">
        <v>194</v>
      </c>
      <c r="F65" t="s">
        <v>43</v>
      </c>
      <c r="G65" t="s">
        <v>43</v>
      </c>
      <c r="H65" t="s">
        <v>246</v>
      </c>
      <c r="I65" t="s">
        <v>246</v>
      </c>
      <c r="J65" t="s">
        <v>43</v>
      </c>
      <c r="K65" t="s">
        <v>193</v>
      </c>
      <c r="L65" t="s">
        <v>812</v>
      </c>
      <c r="M65" s="10" t="s">
        <v>43</v>
      </c>
      <c r="N65" s="10" t="s">
        <v>43</v>
      </c>
      <c r="O65" s="1">
        <v>31.722000000000001</v>
      </c>
      <c r="P65" s="1">
        <v>-116.651</v>
      </c>
      <c r="Q65" s="1">
        <v>1</v>
      </c>
      <c r="R65" t="str">
        <f t="shared" si="0"/>
        <v>subtropical</v>
      </c>
      <c r="T65" t="s">
        <v>791</v>
      </c>
      <c r="U65" s="26" t="s">
        <v>43</v>
      </c>
      <c r="V65" s="26" t="s">
        <v>43</v>
      </c>
    </row>
    <row r="66" spans="1:22">
      <c r="A66" s="20"/>
      <c r="B66" s="20">
        <v>39</v>
      </c>
      <c r="C66" s="1" t="s">
        <v>7</v>
      </c>
      <c r="D66" t="s">
        <v>818</v>
      </c>
      <c r="E66" t="s">
        <v>194</v>
      </c>
      <c r="F66" t="s">
        <v>43</v>
      </c>
      <c r="G66" s="8" t="s">
        <v>43</v>
      </c>
      <c r="H66" t="s">
        <v>246</v>
      </c>
      <c r="I66" t="s">
        <v>246</v>
      </c>
      <c r="J66" t="s">
        <v>43</v>
      </c>
      <c r="K66" t="s">
        <v>193</v>
      </c>
      <c r="L66" t="s">
        <v>812</v>
      </c>
      <c r="M66" s="10" t="s">
        <v>43</v>
      </c>
      <c r="N66" s="10" t="s">
        <v>43</v>
      </c>
      <c r="O66" s="1">
        <v>-12.417</v>
      </c>
      <c r="P66" s="1">
        <v>130.78299999999999</v>
      </c>
      <c r="Q66" s="1">
        <v>1</v>
      </c>
      <c r="R66" t="str">
        <f t="shared" ref="R66:R129" si="2">IF(ABS(O66)&lt;23.5,"tropical",IF(ABS(O66)&lt;38,"subtropical",IF(ABS(O66)&lt;66.3,"temperate","polar")))</f>
        <v>tropical</v>
      </c>
      <c r="T66" t="s">
        <v>792</v>
      </c>
      <c r="U66" t="s">
        <v>43</v>
      </c>
      <c r="V66" t="s">
        <v>43</v>
      </c>
    </row>
    <row r="67" spans="1:22">
      <c r="A67" s="20">
        <v>25</v>
      </c>
      <c r="B67" s="20">
        <v>48</v>
      </c>
      <c r="C67" t="s">
        <v>7</v>
      </c>
      <c r="D67" t="s">
        <v>118</v>
      </c>
      <c r="E67" t="s">
        <v>194</v>
      </c>
      <c r="F67" t="s">
        <v>43</v>
      </c>
      <c r="G67" s="8" t="s">
        <v>43</v>
      </c>
      <c r="H67" t="s">
        <v>246</v>
      </c>
      <c r="I67" t="s">
        <v>246</v>
      </c>
      <c r="J67" t="s">
        <v>43</v>
      </c>
      <c r="K67" t="s">
        <v>193</v>
      </c>
      <c r="L67" t="s">
        <v>812</v>
      </c>
      <c r="M67" s="10" t="s">
        <v>43</v>
      </c>
      <c r="N67" s="10" t="s">
        <v>43</v>
      </c>
      <c r="O67">
        <v>-33.933300000000003</v>
      </c>
      <c r="P67">
        <v>121.85</v>
      </c>
      <c r="Q67" s="1">
        <v>1</v>
      </c>
      <c r="R67" t="str">
        <f t="shared" si="2"/>
        <v>subtropical</v>
      </c>
      <c r="T67" t="s">
        <v>792</v>
      </c>
      <c r="U67" t="s">
        <v>43</v>
      </c>
      <c r="V67" t="s">
        <v>43</v>
      </c>
    </row>
    <row r="68" spans="1:22">
      <c r="A68" s="20">
        <v>26</v>
      </c>
      <c r="B68" s="20">
        <v>72</v>
      </c>
      <c r="C68" t="s">
        <v>7</v>
      </c>
      <c r="D68" t="s">
        <v>124</v>
      </c>
      <c r="E68" t="s">
        <v>194</v>
      </c>
      <c r="F68" t="s">
        <v>43</v>
      </c>
      <c r="G68" s="8" t="s">
        <v>43</v>
      </c>
      <c r="H68" t="s">
        <v>246</v>
      </c>
      <c r="I68" t="s">
        <v>246</v>
      </c>
      <c r="J68" t="s">
        <v>43</v>
      </c>
      <c r="K68" t="s">
        <v>193</v>
      </c>
      <c r="L68" t="s">
        <v>812</v>
      </c>
      <c r="M68" s="10" t="s">
        <v>43</v>
      </c>
      <c r="N68" s="10" t="s">
        <v>43</v>
      </c>
      <c r="O68">
        <v>-35.835999999999999</v>
      </c>
      <c r="P68">
        <v>136.44800000000001</v>
      </c>
      <c r="Q68" s="1">
        <v>1</v>
      </c>
      <c r="R68" t="str">
        <f t="shared" si="2"/>
        <v>subtropical</v>
      </c>
      <c r="T68" t="s">
        <v>792</v>
      </c>
      <c r="U68" t="s">
        <v>43</v>
      </c>
      <c r="V68" t="s">
        <v>43</v>
      </c>
    </row>
    <row r="69" spans="1:22">
      <c r="A69" s="20">
        <v>27</v>
      </c>
      <c r="B69" s="20">
        <v>114</v>
      </c>
      <c r="C69" t="s">
        <v>7</v>
      </c>
      <c r="D69" t="s">
        <v>162</v>
      </c>
      <c r="E69" t="s">
        <v>194</v>
      </c>
      <c r="F69" t="s">
        <v>43</v>
      </c>
      <c r="G69" s="8" t="s">
        <v>43</v>
      </c>
      <c r="H69" t="s">
        <v>246</v>
      </c>
      <c r="I69" t="s">
        <v>246</v>
      </c>
      <c r="J69" t="s">
        <v>43</v>
      </c>
      <c r="K69" t="s">
        <v>193</v>
      </c>
      <c r="L69" t="s">
        <v>812</v>
      </c>
      <c r="M69" s="10" t="s">
        <v>43</v>
      </c>
      <c r="N69" s="10" t="s">
        <v>43</v>
      </c>
      <c r="O69">
        <v>-42.597000000000001</v>
      </c>
      <c r="P69">
        <v>148.233</v>
      </c>
      <c r="Q69" s="1">
        <v>1</v>
      </c>
      <c r="R69" t="str">
        <f t="shared" si="2"/>
        <v>temperate</v>
      </c>
      <c r="T69" t="s">
        <v>792</v>
      </c>
      <c r="U69" t="s">
        <v>43</v>
      </c>
      <c r="V69" t="s">
        <v>43</v>
      </c>
    </row>
    <row r="70" spans="1:22">
      <c r="A70" s="20">
        <v>28</v>
      </c>
      <c r="B70" s="20">
        <v>131</v>
      </c>
      <c r="C70" t="s">
        <v>7</v>
      </c>
      <c r="D70" t="s">
        <v>168</v>
      </c>
      <c r="E70" t="s">
        <v>194</v>
      </c>
      <c r="F70" t="s">
        <v>43</v>
      </c>
      <c r="G70" s="8" t="s">
        <v>43</v>
      </c>
      <c r="H70" t="s">
        <v>246</v>
      </c>
      <c r="I70" t="s">
        <v>246</v>
      </c>
      <c r="J70" t="s">
        <v>43</v>
      </c>
      <c r="K70" t="s">
        <v>193</v>
      </c>
      <c r="L70" t="s">
        <v>812</v>
      </c>
      <c r="M70" s="10" t="s">
        <v>43</v>
      </c>
      <c r="N70" s="10" t="s">
        <v>43</v>
      </c>
      <c r="O70">
        <v>-27.388999999999999</v>
      </c>
      <c r="P70">
        <v>153.58000000000001</v>
      </c>
      <c r="Q70" s="1">
        <v>1</v>
      </c>
      <c r="R70" t="str">
        <f t="shared" si="2"/>
        <v>subtropical</v>
      </c>
      <c r="T70" t="s">
        <v>792</v>
      </c>
      <c r="U70" t="s">
        <v>43</v>
      </c>
      <c r="V70" t="s">
        <v>43</v>
      </c>
    </row>
    <row r="71" spans="1:22">
      <c r="A71" s="20">
        <v>29</v>
      </c>
      <c r="B71" s="20">
        <v>145</v>
      </c>
      <c r="C71" t="s">
        <v>7</v>
      </c>
      <c r="D71" t="s">
        <v>173</v>
      </c>
      <c r="E71" t="s">
        <v>194</v>
      </c>
      <c r="F71" t="s">
        <v>43</v>
      </c>
      <c r="G71" s="8" t="s">
        <v>43</v>
      </c>
      <c r="H71" t="s">
        <v>246</v>
      </c>
      <c r="I71" t="s">
        <v>246</v>
      </c>
      <c r="J71" t="s">
        <v>43</v>
      </c>
      <c r="K71" t="s">
        <v>193</v>
      </c>
      <c r="L71" t="s">
        <v>812</v>
      </c>
      <c r="M71" s="10" t="s">
        <v>43</v>
      </c>
      <c r="N71" s="10" t="s">
        <v>43</v>
      </c>
      <c r="O71">
        <v>-34.119199999999999</v>
      </c>
      <c r="P71">
        <v>151.22669999999999</v>
      </c>
      <c r="Q71" s="1">
        <v>1</v>
      </c>
      <c r="R71" t="str">
        <f t="shared" si="2"/>
        <v>subtropical</v>
      </c>
      <c r="T71" t="s">
        <v>792</v>
      </c>
      <c r="U71" t="s">
        <v>43</v>
      </c>
      <c r="V71" t="s">
        <v>43</v>
      </c>
    </row>
    <row r="72" spans="1:22">
      <c r="A72" s="20">
        <v>31</v>
      </c>
      <c r="B72" s="20">
        <v>152</v>
      </c>
      <c r="C72" t="s">
        <v>7</v>
      </c>
      <c r="D72" t="s">
        <v>176</v>
      </c>
      <c r="E72" t="s">
        <v>194</v>
      </c>
      <c r="F72" t="s">
        <v>43</v>
      </c>
      <c r="G72" s="8" t="s">
        <v>43</v>
      </c>
      <c r="H72" t="s">
        <v>246</v>
      </c>
      <c r="I72" t="s">
        <v>246</v>
      </c>
      <c r="J72" t="s">
        <v>43</v>
      </c>
      <c r="K72" t="s">
        <v>193</v>
      </c>
      <c r="L72" t="s">
        <v>812</v>
      </c>
      <c r="M72" s="10" t="s">
        <v>43</v>
      </c>
      <c r="N72" s="10" t="s">
        <v>43</v>
      </c>
      <c r="O72">
        <v>-32</v>
      </c>
      <c r="P72">
        <v>115.417</v>
      </c>
      <c r="Q72" s="1">
        <v>1</v>
      </c>
      <c r="R72" t="str">
        <f t="shared" si="2"/>
        <v>subtropical</v>
      </c>
      <c r="T72" t="s">
        <v>792</v>
      </c>
      <c r="U72" t="s">
        <v>43</v>
      </c>
      <c r="V72" t="s">
        <v>43</v>
      </c>
    </row>
    <row r="73" spans="1:22">
      <c r="A73" s="20">
        <v>32</v>
      </c>
      <c r="B73" s="20">
        <v>200</v>
      </c>
      <c r="C73" t="s">
        <v>7</v>
      </c>
      <c r="D73" t="s">
        <v>188</v>
      </c>
      <c r="E73" t="s">
        <v>194</v>
      </c>
      <c r="F73" t="s">
        <v>43</v>
      </c>
      <c r="G73" s="8" t="s">
        <v>43</v>
      </c>
      <c r="H73" t="s">
        <v>246</v>
      </c>
      <c r="I73" t="s">
        <v>246</v>
      </c>
      <c r="J73" t="s">
        <v>43</v>
      </c>
      <c r="K73" t="s">
        <v>193</v>
      </c>
      <c r="L73" t="s">
        <v>812</v>
      </c>
      <c r="M73" s="10" t="s">
        <v>43</v>
      </c>
      <c r="N73" s="10" t="s">
        <v>43</v>
      </c>
      <c r="O73">
        <v>-19.306000000000001</v>
      </c>
      <c r="P73">
        <v>147.26</v>
      </c>
      <c r="Q73" s="1">
        <v>1</v>
      </c>
      <c r="R73" t="str">
        <f t="shared" si="2"/>
        <v>tropical</v>
      </c>
      <c r="T73" t="s">
        <v>792</v>
      </c>
      <c r="U73" t="s">
        <v>43</v>
      </c>
      <c r="V73" t="s">
        <v>43</v>
      </c>
    </row>
    <row r="74" spans="1:22">
      <c r="A74" s="20"/>
      <c r="B74" s="20">
        <v>128</v>
      </c>
      <c r="C74" t="s">
        <v>7</v>
      </c>
      <c r="D74" t="s">
        <v>819</v>
      </c>
      <c r="E74" t="s">
        <v>194</v>
      </c>
      <c r="F74" t="s">
        <v>43</v>
      </c>
      <c r="G74" s="8" t="s">
        <v>43</v>
      </c>
      <c r="H74" t="s">
        <v>246</v>
      </c>
      <c r="I74" t="s">
        <v>246</v>
      </c>
      <c r="J74" t="s">
        <v>43</v>
      </c>
      <c r="K74" t="s">
        <v>193</v>
      </c>
      <c r="L74" t="s">
        <v>812</v>
      </c>
      <c r="M74" s="10" t="s">
        <v>43</v>
      </c>
      <c r="N74" s="10" t="s">
        <v>43</v>
      </c>
      <c r="O74">
        <v>-21.870999999999999</v>
      </c>
      <c r="P74">
        <v>113.947</v>
      </c>
      <c r="Q74" s="1">
        <v>1</v>
      </c>
      <c r="R74" t="str">
        <f t="shared" si="2"/>
        <v>tropical</v>
      </c>
      <c r="T74" t="s">
        <v>792</v>
      </c>
      <c r="U74" t="s">
        <v>43</v>
      </c>
      <c r="V74" t="s">
        <v>43</v>
      </c>
    </row>
    <row r="75" spans="1:22">
      <c r="A75" s="20">
        <v>109</v>
      </c>
      <c r="B75" s="20">
        <v>52</v>
      </c>
      <c r="C75" s="1" t="s">
        <v>342</v>
      </c>
      <c r="D75" t="s">
        <v>346</v>
      </c>
      <c r="E75" t="s">
        <v>191</v>
      </c>
      <c r="F75" t="s">
        <v>348</v>
      </c>
      <c r="G75" t="s">
        <v>43</v>
      </c>
      <c r="H75" t="s">
        <v>541</v>
      </c>
      <c r="I75" t="s">
        <v>244</v>
      </c>
      <c r="J75" t="s">
        <v>192</v>
      </c>
      <c r="K75" t="s">
        <v>192</v>
      </c>
      <c r="L75" t="s">
        <v>192</v>
      </c>
      <c r="M75" s="10">
        <v>32325</v>
      </c>
      <c r="N75" s="10" t="s">
        <v>43</v>
      </c>
      <c r="O75" s="1">
        <v>66.215000000000003</v>
      </c>
      <c r="P75" s="1">
        <v>33.92</v>
      </c>
      <c r="Q75" s="1">
        <v>1</v>
      </c>
      <c r="R75" t="str">
        <f t="shared" si="2"/>
        <v>temperate</v>
      </c>
      <c r="T75" t="s">
        <v>791</v>
      </c>
      <c r="U75" s="26" t="s">
        <v>43</v>
      </c>
      <c r="V75" s="26" t="s">
        <v>43</v>
      </c>
    </row>
    <row r="76" spans="1:22">
      <c r="A76" s="20">
        <v>110</v>
      </c>
      <c r="B76" s="20">
        <v>129</v>
      </c>
      <c r="C76" s="1" t="s">
        <v>342</v>
      </c>
      <c r="D76" t="s">
        <v>347</v>
      </c>
      <c r="E76" t="s">
        <v>191</v>
      </c>
      <c r="F76" t="s">
        <v>349</v>
      </c>
      <c r="G76" t="s">
        <v>43</v>
      </c>
      <c r="H76" t="s">
        <v>681</v>
      </c>
      <c r="I76" t="s">
        <v>244</v>
      </c>
      <c r="J76" t="s">
        <v>199</v>
      </c>
      <c r="K76" t="s">
        <v>199</v>
      </c>
      <c r="L76" t="s">
        <v>199</v>
      </c>
      <c r="M76" s="10">
        <v>33786</v>
      </c>
      <c r="N76" s="10" t="s">
        <v>43</v>
      </c>
      <c r="O76" s="1">
        <v>66.215000000000003</v>
      </c>
      <c r="P76" s="1">
        <v>33.92</v>
      </c>
      <c r="Q76" s="1">
        <v>1</v>
      </c>
      <c r="R76" t="str">
        <f t="shared" si="2"/>
        <v>temperate</v>
      </c>
      <c r="T76" t="s">
        <v>791</v>
      </c>
      <c r="U76" s="26" t="s">
        <v>43</v>
      </c>
      <c r="V76" s="26" t="s">
        <v>43</v>
      </c>
    </row>
    <row r="77" spans="1:22">
      <c r="A77" s="20">
        <v>111</v>
      </c>
      <c r="B77" s="20">
        <v>18</v>
      </c>
      <c r="C77" s="1" t="s">
        <v>350</v>
      </c>
      <c r="D77" t="s">
        <v>358</v>
      </c>
      <c r="E77" t="s">
        <v>194</v>
      </c>
      <c r="F77" t="s">
        <v>43</v>
      </c>
      <c r="G77" t="s">
        <v>43</v>
      </c>
      <c r="H77" t="s">
        <v>246</v>
      </c>
      <c r="I77" t="s">
        <v>246</v>
      </c>
      <c r="J77" t="s">
        <v>43</v>
      </c>
      <c r="K77" t="s">
        <v>193</v>
      </c>
      <c r="L77" t="s">
        <v>812</v>
      </c>
      <c r="M77" s="10" t="s">
        <v>43</v>
      </c>
      <c r="N77" s="10" t="s">
        <v>43</v>
      </c>
      <c r="O77" s="1">
        <v>-35.372999999999998</v>
      </c>
      <c r="P77" s="1">
        <v>150.43100000000001</v>
      </c>
      <c r="Q77">
        <v>12</v>
      </c>
      <c r="R77" t="str">
        <f t="shared" si="2"/>
        <v>subtropical</v>
      </c>
      <c r="T77" t="s">
        <v>791</v>
      </c>
      <c r="U77">
        <v>1</v>
      </c>
      <c r="V77" t="s">
        <v>43</v>
      </c>
    </row>
    <row r="78" spans="1:22">
      <c r="A78" s="20">
        <v>112</v>
      </c>
      <c r="B78" s="20">
        <v>34</v>
      </c>
      <c r="C78" s="1" t="s">
        <v>350</v>
      </c>
      <c r="D78" t="s">
        <v>359</v>
      </c>
      <c r="E78" t="s">
        <v>194</v>
      </c>
      <c r="F78" t="s">
        <v>43</v>
      </c>
      <c r="G78" t="s">
        <v>43</v>
      </c>
      <c r="H78" t="s">
        <v>246</v>
      </c>
      <c r="I78" t="s">
        <v>246</v>
      </c>
      <c r="J78" t="s">
        <v>43</v>
      </c>
      <c r="K78" t="s">
        <v>193</v>
      </c>
      <c r="L78" t="s">
        <v>812</v>
      </c>
      <c r="M78" s="10" t="s">
        <v>43</v>
      </c>
      <c r="N78" s="10" t="s">
        <v>43</v>
      </c>
      <c r="O78" s="1">
        <v>-36.024999999999999</v>
      </c>
      <c r="P78" s="1">
        <v>150.12700000000001</v>
      </c>
      <c r="Q78">
        <v>12</v>
      </c>
      <c r="R78" t="str">
        <f t="shared" si="2"/>
        <v>subtropical</v>
      </c>
      <c r="T78" t="s">
        <v>791</v>
      </c>
      <c r="U78">
        <v>1</v>
      </c>
      <c r="V78" t="s">
        <v>43</v>
      </c>
    </row>
    <row r="79" spans="1:22">
      <c r="A79" s="20">
        <v>113</v>
      </c>
      <c r="B79" s="20">
        <v>36</v>
      </c>
      <c r="C79" s="1" t="s">
        <v>350</v>
      </c>
      <c r="D79" t="s">
        <v>360</v>
      </c>
      <c r="E79" t="s">
        <v>194</v>
      </c>
      <c r="F79" t="s">
        <v>43</v>
      </c>
      <c r="G79" t="s">
        <v>43</v>
      </c>
      <c r="H79" t="s">
        <v>246</v>
      </c>
      <c r="I79" t="s">
        <v>246</v>
      </c>
      <c r="J79" t="s">
        <v>43</v>
      </c>
      <c r="K79" t="s">
        <v>193</v>
      </c>
      <c r="L79" t="s">
        <v>812</v>
      </c>
      <c r="M79" s="10" t="s">
        <v>43</v>
      </c>
      <c r="N79" s="10" t="s">
        <v>43</v>
      </c>
      <c r="O79">
        <v>-35.26</v>
      </c>
      <c r="P79">
        <v>150.46199999999999</v>
      </c>
      <c r="Q79">
        <v>12</v>
      </c>
      <c r="R79" t="str">
        <f t="shared" si="2"/>
        <v>subtropical</v>
      </c>
      <c r="T79" t="s">
        <v>791</v>
      </c>
      <c r="U79">
        <v>1</v>
      </c>
      <c r="V79" t="s">
        <v>43</v>
      </c>
    </row>
    <row r="80" spans="1:22">
      <c r="A80" s="20">
        <v>114</v>
      </c>
      <c r="B80" s="20">
        <v>67</v>
      </c>
      <c r="C80" s="1" t="s">
        <v>350</v>
      </c>
      <c r="D80" t="s">
        <v>361</v>
      </c>
      <c r="E80" t="s">
        <v>194</v>
      </c>
      <c r="F80" t="s">
        <v>43</v>
      </c>
      <c r="G80" t="s">
        <v>43</v>
      </c>
      <c r="H80" t="s">
        <v>246</v>
      </c>
      <c r="I80" t="s">
        <v>246</v>
      </c>
      <c r="J80" t="s">
        <v>43</v>
      </c>
      <c r="K80" t="s">
        <v>193</v>
      </c>
      <c r="L80" t="s">
        <v>812</v>
      </c>
      <c r="M80" s="10" t="s">
        <v>43</v>
      </c>
      <c r="N80" s="10" t="s">
        <v>43</v>
      </c>
      <c r="O80">
        <v>-34.524000000000001</v>
      </c>
      <c r="P80">
        <v>150.834</v>
      </c>
      <c r="Q80">
        <v>12</v>
      </c>
      <c r="R80" t="str">
        <f t="shared" si="2"/>
        <v>subtropical</v>
      </c>
      <c r="T80" t="s">
        <v>791</v>
      </c>
      <c r="U80">
        <v>10</v>
      </c>
      <c r="V80" t="s">
        <v>43</v>
      </c>
    </row>
    <row r="81" spans="1:23">
      <c r="A81" s="20">
        <v>115</v>
      </c>
      <c r="B81" s="20">
        <v>176</v>
      </c>
      <c r="C81" s="1" t="s">
        <v>350</v>
      </c>
      <c r="D81" t="s">
        <v>362</v>
      </c>
      <c r="E81" t="s">
        <v>194</v>
      </c>
      <c r="F81" t="s">
        <v>43</v>
      </c>
      <c r="G81" t="s">
        <v>43</v>
      </c>
      <c r="H81" t="s">
        <v>246</v>
      </c>
      <c r="I81" t="s">
        <v>246</v>
      </c>
      <c r="J81" t="s">
        <v>43</v>
      </c>
      <c r="K81" t="s">
        <v>193</v>
      </c>
      <c r="L81" t="s">
        <v>812</v>
      </c>
      <c r="M81" s="10" t="s">
        <v>43</v>
      </c>
      <c r="N81" s="10" t="s">
        <v>43</v>
      </c>
      <c r="O81">
        <v>-35.124000000000002</v>
      </c>
      <c r="P81">
        <v>150.61099999999999</v>
      </c>
      <c r="Q81">
        <v>12</v>
      </c>
      <c r="R81" t="str">
        <f t="shared" si="2"/>
        <v>subtropical</v>
      </c>
      <c r="T81" t="s">
        <v>791</v>
      </c>
      <c r="U81">
        <v>10</v>
      </c>
      <c r="V81" t="s">
        <v>43</v>
      </c>
    </row>
    <row r="82" spans="1:23">
      <c r="A82" s="20">
        <v>116</v>
      </c>
      <c r="B82" s="20">
        <v>191</v>
      </c>
      <c r="C82" s="1" t="s">
        <v>350</v>
      </c>
      <c r="D82" t="s">
        <v>363</v>
      </c>
      <c r="E82" t="s">
        <v>194</v>
      </c>
      <c r="F82" t="s">
        <v>43</v>
      </c>
      <c r="G82" t="s">
        <v>43</v>
      </c>
      <c r="H82" t="s">
        <v>246</v>
      </c>
      <c r="I82" t="s">
        <v>246</v>
      </c>
      <c r="J82" t="s">
        <v>43</v>
      </c>
      <c r="K82" t="s">
        <v>193</v>
      </c>
      <c r="L82" t="s">
        <v>812</v>
      </c>
      <c r="M82" s="10" t="s">
        <v>43</v>
      </c>
      <c r="N82" s="10" t="s">
        <v>43</v>
      </c>
      <c r="O82">
        <v>-36.369</v>
      </c>
      <c r="P82">
        <v>150.05799999999999</v>
      </c>
      <c r="Q82">
        <v>12</v>
      </c>
      <c r="R82" t="str">
        <f t="shared" si="2"/>
        <v>subtropical</v>
      </c>
      <c r="T82" t="s">
        <v>791</v>
      </c>
      <c r="U82">
        <v>1</v>
      </c>
      <c r="V82" t="s">
        <v>43</v>
      </c>
    </row>
    <row r="83" spans="1:23">
      <c r="A83" s="20">
        <v>117</v>
      </c>
      <c r="B83" s="20">
        <v>41</v>
      </c>
      <c r="C83" s="1" t="s">
        <v>364</v>
      </c>
      <c r="D83" t="s">
        <v>371</v>
      </c>
      <c r="E83" t="s">
        <v>194</v>
      </c>
      <c r="F83" t="s">
        <v>43</v>
      </c>
      <c r="G83" t="s">
        <v>43</v>
      </c>
      <c r="H83" t="s">
        <v>246</v>
      </c>
      <c r="I83" t="s">
        <v>246</v>
      </c>
      <c r="J83" t="s">
        <v>43</v>
      </c>
      <c r="K83" t="s">
        <v>193</v>
      </c>
      <c r="L83" t="s">
        <v>812</v>
      </c>
      <c r="M83" s="10" t="s">
        <v>43</v>
      </c>
      <c r="N83" s="10" t="s">
        <v>43</v>
      </c>
      <c r="O83">
        <v>40</v>
      </c>
      <c r="P83">
        <v>-125</v>
      </c>
      <c r="Q83">
        <v>220</v>
      </c>
      <c r="R83" t="str">
        <f t="shared" si="2"/>
        <v>temperate</v>
      </c>
      <c r="T83" t="s">
        <v>792</v>
      </c>
      <c r="U83" t="s">
        <v>43</v>
      </c>
      <c r="V83" t="s">
        <v>43</v>
      </c>
    </row>
    <row r="84" spans="1:23">
      <c r="A84" s="20">
        <v>118</v>
      </c>
      <c r="B84" s="20">
        <v>119</v>
      </c>
      <c r="C84" s="1" t="s">
        <v>364</v>
      </c>
      <c r="D84" t="s">
        <v>372</v>
      </c>
      <c r="E84" t="s">
        <v>194</v>
      </c>
      <c r="F84" t="s">
        <v>43</v>
      </c>
      <c r="G84" t="s">
        <v>43</v>
      </c>
      <c r="H84" t="s">
        <v>246</v>
      </c>
      <c r="I84" t="s">
        <v>246</v>
      </c>
      <c r="J84" t="s">
        <v>43</v>
      </c>
      <c r="K84" t="s">
        <v>193</v>
      </c>
      <c r="L84" t="s">
        <v>812</v>
      </c>
      <c r="M84" s="10" t="s">
        <v>43</v>
      </c>
      <c r="N84" s="10" t="s">
        <v>43</v>
      </c>
      <c r="O84">
        <v>40</v>
      </c>
      <c r="P84">
        <v>-124.75</v>
      </c>
      <c r="Q84">
        <v>220</v>
      </c>
      <c r="R84" t="str">
        <f t="shared" si="2"/>
        <v>temperate</v>
      </c>
      <c r="T84" t="s">
        <v>792</v>
      </c>
      <c r="U84" t="s">
        <v>43</v>
      </c>
      <c r="V84" t="s">
        <v>43</v>
      </c>
    </row>
    <row r="85" spans="1:23">
      <c r="A85" s="20">
        <v>119</v>
      </c>
      <c r="B85" s="20">
        <v>162</v>
      </c>
      <c r="C85" s="1" t="s">
        <v>364</v>
      </c>
      <c r="D85" t="s">
        <v>373</v>
      </c>
      <c r="E85" t="s">
        <v>194</v>
      </c>
      <c r="F85" t="s">
        <v>43</v>
      </c>
      <c r="G85" t="s">
        <v>43</v>
      </c>
      <c r="H85" t="s">
        <v>246</v>
      </c>
      <c r="I85" t="s">
        <v>246</v>
      </c>
      <c r="J85" t="s">
        <v>43</v>
      </c>
      <c r="K85" t="s">
        <v>193</v>
      </c>
      <c r="L85" t="s">
        <v>812</v>
      </c>
      <c r="M85" s="10" t="s">
        <v>43</v>
      </c>
      <c r="N85" s="10" t="s">
        <v>43</v>
      </c>
      <c r="O85">
        <v>40</v>
      </c>
      <c r="P85">
        <v>-124.5</v>
      </c>
      <c r="Q85">
        <v>220</v>
      </c>
      <c r="R85" t="str">
        <f t="shared" si="2"/>
        <v>temperate</v>
      </c>
      <c r="T85" t="s">
        <v>792</v>
      </c>
      <c r="U85" t="s">
        <v>43</v>
      </c>
      <c r="V85" t="s">
        <v>43</v>
      </c>
    </row>
    <row r="86" spans="1:23">
      <c r="A86" s="20">
        <v>158</v>
      </c>
      <c r="B86" s="20">
        <v>9</v>
      </c>
      <c r="C86" s="1" t="s">
        <v>509</v>
      </c>
      <c r="D86" t="s">
        <v>665</v>
      </c>
      <c r="E86" t="s">
        <v>191</v>
      </c>
      <c r="F86" t="s">
        <v>397</v>
      </c>
      <c r="G86" t="s">
        <v>43</v>
      </c>
      <c r="H86" t="s">
        <v>684</v>
      </c>
      <c r="I86" t="s">
        <v>243</v>
      </c>
      <c r="J86" t="s">
        <v>43</v>
      </c>
      <c r="K86" t="s">
        <v>193</v>
      </c>
      <c r="L86" t="s">
        <v>193</v>
      </c>
      <c r="M86" s="10">
        <v>35947</v>
      </c>
      <c r="N86" s="10" t="s">
        <v>43</v>
      </c>
      <c r="O86" s="1">
        <v>-12.64</v>
      </c>
      <c r="P86" s="1">
        <v>-38.04</v>
      </c>
      <c r="Q86" s="1">
        <v>4</v>
      </c>
      <c r="R86" t="str">
        <f t="shared" si="2"/>
        <v>tropical</v>
      </c>
      <c r="T86" t="s">
        <v>792</v>
      </c>
      <c r="U86" t="s">
        <v>43</v>
      </c>
      <c r="V86" t="s">
        <v>43</v>
      </c>
    </row>
    <row r="87" spans="1:23">
      <c r="A87" s="20">
        <v>160</v>
      </c>
      <c r="B87" s="20">
        <v>10</v>
      </c>
      <c r="C87" s="8" t="s">
        <v>511</v>
      </c>
      <c r="D87" t="s">
        <v>667</v>
      </c>
      <c r="E87" t="s">
        <v>191</v>
      </c>
      <c r="F87" t="s">
        <v>397</v>
      </c>
      <c r="G87" t="s">
        <v>43</v>
      </c>
      <c r="H87" t="s">
        <v>684</v>
      </c>
      <c r="I87" t="s">
        <v>243</v>
      </c>
      <c r="J87" t="s">
        <v>43</v>
      </c>
      <c r="K87" t="s">
        <v>193</v>
      </c>
      <c r="L87" t="s">
        <v>193</v>
      </c>
      <c r="M87" s="10">
        <v>35947</v>
      </c>
      <c r="N87" s="10" t="s">
        <v>43</v>
      </c>
      <c r="O87" s="1">
        <v>-12.641999999999999</v>
      </c>
      <c r="P87" s="1">
        <v>-38.042000000000002</v>
      </c>
      <c r="Q87" s="1">
        <v>4</v>
      </c>
      <c r="R87" t="str">
        <f t="shared" si="2"/>
        <v>tropical</v>
      </c>
      <c r="T87" t="s">
        <v>792</v>
      </c>
      <c r="U87" t="s">
        <v>43</v>
      </c>
      <c r="V87" t="s">
        <v>43</v>
      </c>
    </row>
    <row r="88" spans="1:23">
      <c r="A88" s="20">
        <v>159</v>
      </c>
      <c r="B88" s="20">
        <v>11</v>
      </c>
      <c r="C88" s="8" t="s">
        <v>510</v>
      </c>
      <c r="D88" t="s">
        <v>666</v>
      </c>
      <c r="E88" t="s">
        <v>191</v>
      </c>
      <c r="F88" t="s">
        <v>397</v>
      </c>
      <c r="G88" t="s">
        <v>43</v>
      </c>
      <c r="H88" t="s">
        <v>684</v>
      </c>
      <c r="I88" t="s">
        <v>243</v>
      </c>
      <c r="J88" t="s">
        <v>43</v>
      </c>
      <c r="K88" t="s">
        <v>193</v>
      </c>
      <c r="L88" t="s">
        <v>193</v>
      </c>
      <c r="M88" s="10">
        <v>35947</v>
      </c>
      <c r="N88" s="10" t="s">
        <v>43</v>
      </c>
      <c r="O88" s="1">
        <v>-12.641</v>
      </c>
      <c r="P88" s="1">
        <v>-38.040999999999997</v>
      </c>
      <c r="Q88" s="1">
        <v>4</v>
      </c>
      <c r="R88" t="str">
        <f t="shared" si="2"/>
        <v>tropical</v>
      </c>
      <c r="T88" t="s">
        <v>792</v>
      </c>
      <c r="U88" t="s">
        <v>43</v>
      </c>
      <c r="V88" t="s">
        <v>43</v>
      </c>
    </row>
    <row r="89" spans="1:23">
      <c r="A89" s="20">
        <v>33</v>
      </c>
      <c r="B89" s="20">
        <v>75</v>
      </c>
      <c r="C89" t="s">
        <v>8</v>
      </c>
      <c r="D89" t="s">
        <v>125</v>
      </c>
      <c r="E89" t="s">
        <v>194</v>
      </c>
      <c r="F89" t="s">
        <v>43</v>
      </c>
      <c r="G89" s="8" t="s">
        <v>43</v>
      </c>
      <c r="H89" t="s">
        <v>246</v>
      </c>
      <c r="I89" t="s">
        <v>246</v>
      </c>
      <c r="J89" t="s">
        <v>43</v>
      </c>
      <c r="K89" t="s">
        <v>193</v>
      </c>
      <c r="L89" t="s">
        <v>812</v>
      </c>
      <c r="M89" s="10" t="s">
        <v>43</v>
      </c>
      <c r="N89" s="10" t="s">
        <v>43</v>
      </c>
      <c r="O89">
        <v>34.022366669999997</v>
      </c>
      <c r="P89">
        <v>-120.3874667</v>
      </c>
      <c r="Q89" s="1">
        <v>1</v>
      </c>
      <c r="R89" t="str">
        <f t="shared" si="2"/>
        <v>subtropical</v>
      </c>
      <c r="S89" t="s">
        <v>195</v>
      </c>
      <c r="T89" t="str">
        <f t="shared" ref="T89:T121" si="3">IF(F89 = "MPA", "1_protected", "2_unprotected")</f>
        <v>2_unprotected</v>
      </c>
      <c r="U89" t="s">
        <v>43</v>
      </c>
      <c r="V89" t="s">
        <v>43</v>
      </c>
    </row>
    <row r="90" spans="1:23" s="25" customFormat="1">
      <c r="A90" s="20">
        <v>34</v>
      </c>
      <c r="B90" s="20">
        <v>76</v>
      </c>
      <c r="C90" t="s">
        <v>8</v>
      </c>
      <c r="D90" t="s">
        <v>126</v>
      </c>
      <c r="E90" t="s">
        <v>194</v>
      </c>
      <c r="F90" t="s">
        <v>43</v>
      </c>
      <c r="G90" s="8" t="s">
        <v>43</v>
      </c>
      <c r="H90" t="s">
        <v>246</v>
      </c>
      <c r="I90" t="s">
        <v>246</v>
      </c>
      <c r="J90" t="s">
        <v>43</v>
      </c>
      <c r="K90" t="s">
        <v>193</v>
      </c>
      <c r="L90" t="s">
        <v>812</v>
      </c>
      <c r="M90" s="10" t="s">
        <v>43</v>
      </c>
      <c r="N90" s="10" t="s">
        <v>43</v>
      </c>
      <c r="O90">
        <v>33.989833330000003</v>
      </c>
      <c r="P90">
        <v>-119.56306669999999</v>
      </c>
      <c r="Q90" s="1">
        <v>1</v>
      </c>
      <c r="R90" t="str">
        <f t="shared" si="2"/>
        <v>subtropical</v>
      </c>
      <c r="S90" t="s">
        <v>196</v>
      </c>
      <c r="T90" t="str">
        <f t="shared" si="3"/>
        <v>2_unprotected</v>
      </c>
      <c r="U90" t="s">
        <v>43</v>
      </c>
      <c r="V90" t="s">
        <v>43</v>
      </c>
      <c r="W90"/>
    </row>
    <row r="91" spans="1:23" s="25" customFormat="1">
      <c r="A91" s="20">
        <v>35</v>
      </c>
      <c r="B91" s="20">
        <v>77</v>
      </c>
      <c r="C91" t="s">
        <v>8</v>
      </c>
      <c r="D91" t="s">
        <v>127</v>
      </c>
      <c r="E91" t="s">
        <v>194</v>
      </c>
      <c r="F91" t="s">
        <v>43</v>
      </c>
      <c r="G91" s="8" t="s">
        <v>43</v>
      </c>
      <c r="H91" t="s">
        <v>246</v>
      </c>
      <c r="I91" t="s">
        <v>246</v>
      </c>
      <c r="J91" t="s">
        <v>43</v>
      </c>
      <c r="K91" t="s">
        <v>193</v>
      </c>
      <c r="L91" t="s">
        <v>812</v>
      </c>
      <c r="M91" s="10" t="s">
        <v>43</v>
      </c>
      <c r="N91" s="10" t="s">
        <v>43</v>
      </c>
      <c r="O91">
        <v>34.007750000000001</v>
      </c>
      <c r="P91">
        <v>-119.43438329999999</v>
      </c>
      <c r="Q91" s="1">
        <v>1</v>
      </c>
      <c r="R91" t="str">
        <f t="shared" si="2"/>
        <v>subtropical</v>
      </c>
      <c r="S91" t="s">
        <v>197</v>
      </c>
      <c r="T91" t="str">
        <f t="shared" si="3"/>
        <v>2_unprotected</v>
      </c>
      <c r="U91" t="s">
        <v>43</v>
      </c>
      <c r="V91" t="s">
        <v>43</v>
      </c>
      <c r="W91"/>
    </row>
    <row r="92" spans="1:23">
      <c r="A92" s="20">
        <v>36</v>
      </c>
      <c r="B92" s="20">
        <v>78</v>
      </c>
      <c r="C92" t="s">
        <v>8</v>
      </c>
      <c r="D92" t="s">
        <v>128</v>
      </c>
      <c r="E92" t="s">
        <v>191</v>
      </c>
      <c r="F92" t="s">
        <v>198</v>
      </c>
      <c r="G92" s="8" t="s">
        <v>43</v>
      </c>
      <c r="H92" t="s">
        <v>673</v>
      </c>
      <c r="I92" t="s">
        <v>244</v>
      </c>
      <c r="J92" t="s">
        <v>199</v>
      </c>
      <c r="K92" t="s">
        <v>199</v>
      </c>
      <c r="L92" t="s">
        <v>199</v>
      </c>
      <c r="M92" s="10">
        <v>28491</v>
      </c>
      <c r="N92" s="10" t="s">
        <v>43</v>
      </c>
      <c r="O92">
        <v>34.015866670000001</v>
      </c>
      <c r="P92">
        <v>-119.3717333</v>
      </c>
      <c r="Q92" s="1">
        <v>1</v>
      </c>
      <c r="R92" t="str">
        <f t="shared" si="2"/>
        <v>subtropical</v>
      </c>
      <c r="S92" t="s">
        <v>197</v>
      </c>
      <c r="T92" t="str">
        <f t="shared" si="3"/>
        <v>1_protected</v>
      </c>
      <c r="U92" t="s">
        <v>43</v>
      </c>
      <c r="V92" t="s">
        <v>43</v>
      </c>
    </row>
    <row r="93" spans="1:23">
      <c r="A93" s="20">
        <v>37</v>
      </c>
      <c r="B93" s="20">
        <v>79</v>
      </c>
      <c r="C93" t="s">
        <v>8</v>
      </c>
      <c r="D93" t="s">
        <v>129</v>
      </c>
      <c r="E93" t="s">
        <v>191</v>
      </c>
      <c r="F93" t="s">
        <v>198</v>
      </c>
      <c r="G93" s="8" t="s">
        <v>43</v>
      </c>
      <c r="H93" t="s">
        <v>673</v>
      </c>
      <c r="I93" t="s">
        <v>244</v>
      </c>
      <c r="J93" t="s">
        <v>199</v>
      </c>
      <c r="K93" t="s">
        <v>199</v>
      </c>
      <c r="L93" t="s">
        <v>199</v>
      </c>
      <c r="M93" s="10">
        <v>37712</v>
      </c>
      <c r="N93" s="10" t="s">
        <v>43</v>
      </c>
      <c r="O93">
        <v>34.017033329999997</v>
      </c>
      <c r="P93">
        <v>-119.36113330000001</v>
      </c>
      <c r="Q93" s="1">
        <v>1</v>
      </c>
      <c r="R93" t="str">
        <f t="shared" si="2"/>
        <v>subtropical</v>
      </c>
      <c r="S93" t="s">
        <v>197</v>
      </c>
      <c r="T93" t="str">
        <f t="shared" si="3"/>
        <v>1_protected</v>
      </c>
      <c r="U93" t="s">
        <v>43</v>
      </c>
      <c r="V93" t="s">
        <v>43</v>
      </c>
    </row>
    <row r="94" spans="1:23">
      <c r="A94" s="20">
        <v>38</v>
      </c>
      <c r="B94" s="20">
        <v>80</v>
      </c>
      <c r="C94" t="s">
        <v>8</v>
      </c>
      <c r="D94" t="s">
        <v>130</v>
      </c>
      <c r="E94" t="s">
        <v>191</v>
      </c>
      <c r="F94" t="s">
        <v>198</v>
      </c>
      <c r="G94" s="8" t="s">
        <v>43</v>
      </c>
      <c r="H94" t="s">
        <v>673</v>
      </c>
      <c r="I94" t="s">
        <v>244</v>
      </c>
      <c r="J94" t="s">
        <v>199</v>
      </c>
      <c r="K94" t="s">
        <v>199</v>
      </c>
      <c r="L94" t="s">
        <v>199</v>
      </c>
      <c r="M94" s="10">
        <v>37712</v>
      </c>
      <c r="N94" s="10" t="s">
        <v>43</v>
      </c>
      <c r="O94">
        <v>33.466116669999998</v>
      </c>
      <c r="P94">
        <v>-119.0277833</v>
      </c>
      <c r="Q94" s="1">
        <v>1</v>
      </c>
      <c r="R94" t="str">
        <f t="shared" si="2"/>
        <v>subtropical</v>
      </c>
      <c r="S94" t="s">
        <v>200</v>
      </c>
      <c r="T94" t="str">
        <f t="shared" si="3"/>
        <v>1_protected</v>
      </c>
      <c r="U94" t="s">
        <v>43</v>
      </c>
      <c r="V94" t="s">
        <v>43</v>
      </c>
    </row>
    <row r="95" spans="1:23">
      <c r="A95" s="20">
        <v>39</v>
      </c>
      <c r="B95" s="20">
        <v>81</v>
      </c>
      <c r="C95" t="s">
        <v>8</v>
      </c>
      <c r="D95" t="s">
        <v>131</v>
      </c>
      <c r="E95" t="s">
        <v>194</v>
      </c>
      <c r="F95" t="s">
        <v>43</v>
      </c>
      <c r="G95" s="8" t="s">
        <v>43</v>
      </c>
      <c r="H95" t="s">
        <v>246</v>
      </c>
      <c r="I95" t="s">
        <v>246</v>
      </c>
      <c r="J95" t="s">
        <v>43</v>
      </c>
      <c r="K95" t="s">
        <v>193</v>
      </c>
      <c r="L95" t="s">
        <v>812</v>
      </c>
      <c r="M95" s="10" t="s">
        <v>43</v>
      </c>
      <c r="N95" s="10" t="s">
        <v>43</v>
      </c>
      <c r="O95">
        <v>33.487533329999998</v>
      </c>
      <c r="P95">
        <v>-119.0275833</v>
      </c>
      <c r="Q95" s="1">
        <v>1</v>
      </c>
      <c r="R95" t="str">
        <f t="shared" si="2"/>
        <v>subtropical</v>
      </c>
      <c r="S95" t="s">
        <v>200</v>
      </c>
      <c r="T95" t="str">
        <f t="shared" si="3"/>
        <v>2_unprotected</v>
      </c>
      <c r="U95" t="s">
        <v>43</v>
      </c>
      <c r="V95" t="s">
        <v>43</v>
      </c>
    </row>
    <row r="96" spans="1:23">
      <c r="A96" s="20">
        <v>40</v>
      </c>
      <c r="B96" s="20">
        <v>82</v>
      </c>
      <c r="C96" t="s">
        <v>8</v>
      </c>
      <c r="D96" t="s">
        <v>132</v>
      </c>
      <c r="E96" t="s">
        <v>194</v>
      </c>
      <c r="F96" t="s">
        <v>43</v>
      </c>
      <c r="G96" s="8" t="s">
        <v>43</v>
      </c>
      <c r="H96" t="s">
        <v>246</v>
      </c>
      <c r="I96" t="s">
        <v>246</v>
      </c>
      <c r="J96" t="s">
        <v>43</v>
      </c>
      <c r="K96" t="s">
        <v>193</v>
      </c>
      <c r="L96" t="s">
        <v>812</v>
      </c>
      <c r="M96" s="10" t="s">
        <v>43</v>
      </c>
      <c r="N96" s="10" t="s">
        <v>43</v>
      </c>
      <c r="O96">
        <v>33.464416669999999</v>
      </c>
      <c r="P96">
        <v>-119.0391667</v>
      </c>
      <c r="Q96" s="1">
        <v>1</v>
      </c>
      <c r="R96" t="str">
        <f t="shared" si="2"/>
        <v>subtropical</v>
      </c>
      <c r="S96" t="s">
        <v>200</v>
      </c>
      <c r="T96" t="str">
        <f t="shared" si="3"/>
        <v>2_unprotected</v>
      </c>
      <c r="U96" t="s">
        <v>43</v>
      </c>
      <c r="V96" t="s">
        <v>43</v>
      </c>
    </row>
    <row r="97" spans="1:22">
      <c r="A97" s="20">
        <v>41</v>
      </c>
      <c r="B97" s="20">
        <v>83</v>
      </c>
      <c r="C97" t="s">
        <v>8</v>
      </c>
      <c r="D97" t="s">
        <v>133</v>
      </c>
      <c r="E97" t="s">
        <v>191</v>
      </c>
      <c r="F97" t="s">
        <v>198</v>
      </c>
      <c r="G97" s="8" t="s">
        <v>43</v>
      </c>
      <c r="H97" t="s">
        <v>673</v>
      </c>
      <c r="I97" t="s">
        <v>244</v>
      </c>
      <c r="J97" t="s">
        <v>199</v>
      </c>
      <c r="K97" t="s">
        <v>199</v>
      </c>
      <c r="L97" t="s">
        <v>199</v>
      </c>
      <c r="M97" s="10">
        <v>37712</v>
      </c>
      <c r="N97" s="10" t="s">
        <v>43</v>
      </c>
      <c r="O97">
        <v>34.064383329999998</v>
      </c>
      <c r="P97">
        <v>-120.3566</v>
      </c>
      <c r="Q97" s="1">
        <v>1</v>
      </c>
      <c r="R97" t="str">
        <f t="shared" si="2"/>
        <v>subtropical</v>
      </c>
      <c r="S97" t="s">
        <v>195</v>
      </c>
      <c r="T97" t="str">
        <f t="shared" si="3"/>
        <v>1_protected</v>
      </c>
      <c r="U97" t="s">
        <v>43</v>
      </c>
      <c r="V97" t="s">
        <v>43</v>
      </c>
    </row>
    <row r="98" spans="1:22">
      <c r="A98" s="20">
        <v>42</v>
      </c>
      <c r="B98" s="20">
        <v>84</v>
      </c>
      <c r="C98" t="s">
        <v>8</v>
      </c>
      <c r="D98" t="s">
        <v>134</v>
      </c>
      <c r="E98" t="s">
        <v>194</v>
      </c>
      <c r="F98" t="s">
        <v>43</v>
      </c>
      <c r="G98" s="8" t="s">
        <v>43</v>
      </c>
      <c r="H98" t="s">
        <v>246</v>
      </c>
      <c r="I98" t="s">
        <v>246</v>
      </c>
      <c r="J98" t="s">
        <v>43</v>
      </c>
      <c r="K98" t="s">
        <v>193</v>
      </c>
      <c r="L98" t="s">
        <v>812</v>
      </c>
      <c r="M98" s="10" t="s">
        <v>43</v>
      </c>
      <c r="N98" s="10" t="s">
        <v>43</v>
      </c>
      <c r="O98">
        <v>34.023699999999998</v>
      </c>
      <c r="P98">
        <v>-120.3951333</v>
      </c>
      <c r="Q98" s="1">
        <v>1</v>
      </c>
      <c r="R98" t="str">
        <f t="shared" si="2"/>
        <v>subtropical</v>
      </c>
      <c r="S98" t="s">
        <v>195</v>
      </c>
      <c r="T98" t="str">
        <f t="shared" si="3"/>
        <v>2_unprotected</v>
      </c>
      <c r="U98" t="s">
        <v>43</v>
      </c>
      <c r="V98" t="s">
        <v>43</v>
      </c>
    </row>
    <row r="99" spans="1:22">
      <c r="A99" s="20">
        <v>43</v>
      </c>
      <c r="B99" s="20">
        <v>85</v>
      </c>
      <c r="C99" t="s">
        <v>8</v>
      </c>
      <c r="D99" t="s">
        <v>135</v>
      </c>
      <c r="E99" t="s">
        <v>194</v>
      </c>
      <c r="F99" t="s">
        <v>43</v>
      </c>
      <c r="G99" s="8" t="s">
        <v>43</v>
      </c>
      <c r="H99" t="s">
        <v>246</v>
      </c>
      <c r="I99" t="s">
        <v>246</v>
      </c>
      <c r="J99" t="s">
        <v>43</v>
      </c>
      <c r="K99" t="s">
        <v>193</v>
      </c>
      <c r="L99" t="s">
        <v>812</v>
      </c>
      <c r="M99" s="10" t="s">
        <v>43</v>
      </c>
      <c r="N99" s="10" t="s">
        <v>43</v>
      </c>
      <c r="O99">
        <v>33.923033330000003</v>
      </c>
      <c r="P99">
        <v>-120.1873667</v>
      </c>
      <c r="Q99" s="1">
        <v>1</v>
      </c>
      <c r="R99" t="str">
        <f t="shared" si="2"/>
        <v>subtropical</v>
      </c>
      <c r="S99" t="s">
        <v>201</v>
      </c>
      <c r="T99" t="str">
        <f t="shared" si="3"/>
        <v>2_unprotected</v>
      </c>
      <c r="U99" t="s">
        <v>43</v>
      </c>
      <c r="V99" t="s">
        <v>43</v>
      </c>
    </row>
    <row r="100" spans="1:22">
      <c r="A100" s="20">
        <v>44</v>
      </c>
      <c r="B100" s="20">
        <v>86</v>
      </c>
      <c r="C100" t="s">
        <v>8</v>
      </c>
      <c r="D100" t="s">
        <v>136</v>
      </c>
      <c r="E100" t="s">
        <v>191</v>
      </c>
      <c r="F100" t="s">
        <v>198</v>
      </c>
      <c r="G100" s="8" t="s">
        <v>43</v>
      </c>
      <c r="H100" t="s">
        <v>673</v>
      </c>
      <c r="I100" t="s">
        <v>244</v>
      </c>
      <c r="J100" t="s">
        <v>199</v>
      </c>
      <c r="K100" t="s">
        <v>199</v>
      </c>
      <c r="L100" t="s">
        <v>199</v>
      </c>
      <c r="M100" s="10">
        <v>37712</v>
      </c>
      <c r="N100" s="10" t="s">
        <v>43</v>
      </c>
      <c r="O100">
        <v>33.908549999999998</v>
      </c>
      <c r="P100">
        <v>-120.1555333</v>
      </c>
      <c r="Q100" s="1">
        <v>1</v>
      </c>
      <c r="R100" t="str">
        <f t="shared" si="2"/>
        <v>subtropical</v>
      </c>
      <c r="S100" t="s">
        <v>201</v>
      </c>
      <c r="T100" t="str">
        <f t="shared" si="3"/>
        <v>1_protected</v>
      </c>
      <c r="U100" t="s">
        <v>43</v>
      </c>
      <c r="V100" t="s">
        <v>43</v>
      </c>
    </row>
    <row r="101" spans="1:22">
      <c r="A101" s="20">
        <v>45</v>
      </c>
      <c r="B101" s="20">
        <v>87</v>
      </c>
      <c r="C101" t="s">
        <v>8</v>
      </c>
      <c r="D101" t="s">
        <v>137</v>
      </c>
      <c r="E101" t="s">
        <v>191</v>
      </c>
      <c r="F101" t="s">
        <v>198</v>
      </c>
      <c r="G101" s="8" t="s">
        <v>43</v>
      </c>
      <c r="H101" t="s">
        <v>673</v>
      </c>
      <c r="I101" t="s">
        <v>244</v>
      </c>
      <c r="J101" t="s">
        <v>199</v>
      </c>
      <c r="K101" t="s">
        <v>199</v>
      </c>
      <c r="L101" t="s">
        <v>199</v>
      </c>
      <c r="M101" s="10">
        <v>37712</v>
      </c>
      <c r="N101" s="10" t="s">
        <v>43</v>
      </c>
      <c r="O101">
        <v>33.900366669999997</v>
      </c>
      <c r="P101">
        <v>-120.1356667</v>
      </c>
      <c r="Q101" s="1">
        <v>1</v>
      </c>
      <c r="R101" t="str">
        <f t="shared" si="2"/>
        <v>subtropical</v>
      </c>
      <c r="S101" t="s">
        <v>201</v>
      </c>
      <c r="T101" t="str">
        <f t="shared" si="3"/>
        <v>1_protected</v>
      </c>
      <c r="U101" t="s">
        <v>43</v>
      </c>
      <c r="V101" t="s">
        <v>43</v>
      </c>
    </row>
    <row r="102" spans="1:22">
      <c r="A102" s="20">
        <v>46</v>
      </c>
      <c r="B102" s="20">
        <v>88</v>
      </c>
      <c r="C102" t="s">
        <v>8</v>
      </c>
      <c r="D102" t="s">
        <v>138</v>
      </c>
      <c r="E102" t="s">
        <v>191</v>
      </c>
      <c r="F102" t="s">
        <v>198</v>
      </c>
      <c r="G102" s="8" t="s">
        <v>43</v>
      </c>
      <c r="H102" t="s">
        <v>673</v>
      </c>
      <c r="I102" t="s">
        <v>244</v>
      </c>
      <c r="J102" t="s">
        <v>199</v>
      </c>
      <c r="K102" t="s">
        <v>199</v>
      </c>
      <c r="L102" t="s">
        <v>199</v>
      </c>
      <c r="M102" s="10">
        <v>37712</v>
      </c>
      <c r="N102" s="10" t="s">
        <v>43</v>
      </c>
      <c r="O102">
        <v>33.89233333</v>
      </c>
      <c r="P102">
        <v>-120.1195</v>
      </c>
      <c r="Q102" s="1">
        <v>1</v>
      </c>
      <c r="R102" t="str">
        <f t="shared" si="2"/>
        <v>subtropical</v>
      </c>
      <c r="S102" t="s">
        <v>201</v>
      </c>
      <c r="T102" t="str">
        <f t="shared" si="3"/>
        <v>1_protected</v>
      </c>
      <c r="U102" t="s">
        <v>43</v>
      </c>
      <c r="V102" t="s">
        <v>43</v>
      </c>
    </row>
    <row r="103" spans="1:22">
      <c r="A103" s="20">
        <v>47</v>
      </c>
      <c r="B103" s="20">
        <v>89</v>
      </c>
      <c r="C103" t="s">
        <v>8</v>
      </c>
      <c r="D103" t="s">
        <v>139</v>
      </c>
      <c r="E103" t="s">
        <v>194</v>
      </c>
      <c r="F103" t="s">
        <v>43</v>
      </c>
      <c r="G103" s="8" t="s">
        <v>43</v>
      </c>
      <c r="H103" t="s">
        <v>246</v>
      </c>
      <c r="I103" t="s">
        <v>246</v>
      </c>
      <c r="J103" t="s">
        <v>43</v>
      </c>
      <c r="K103" t="s">
        <v>193</v>
      </c>
      <c r="L103" t="s">
        <v>812</v>
      </c>
      <c r="M103" s="10" t="s">
        <v>43</v>
      </c>
      <c r="N103" s="10" t="s">
        <v>43</v>
      </c>
      <c r="O103">
        <v>34.044883329999998</v>
      </c>
      <c r="P103">
        <v>-119.6012667</v>
      </c>
      <c r="Q103" s="1">
        <v>1</v>
      </c>
      <c r="R103" t="str">
        <f t="shared" si="2"/>
        <v>subtropical</v>
      </c>
      <c r="S103" t="s">
        <v>196</v>
      </c>
      <c r="T103" t="str">
        <f t="shared" si="3"/>
        <v>2_unprotected</v>
      </c>
      <c r="U103" t="s">
        <v>43</v>
      </c>
      <c r="V103" t="s">
        <v>43</v>
      </c>
    </row>
    <row r="104" spans="1:22">
      <c r="A104" s="20">
        <v>48</v>
      </c>
      <c r="B104" s="20">
        <v>90</v>
      </c>
      <c r="C104" t="s">
        <v>8</v>
      </c>
      <c r="D104" t="s">
        <v>140</v>
      </c>
      <c r="E104" t="s">
        <v>191</v>
      </c>
      <c r="F104" t="s">
        <v>198</v>
      </c>
      <c r="G104" s="8" t="s">
        <v>43</v>
      </c>
      <c r="H104" t="s">
        <v>673</v>
      </c>
      <c r="I104" t="s">
        <v>244</v>
      </c>
      <c r="J104" t="s">
        <v>199</v>
      </c>
      <c r="K104" t="s">
        <v>199</v>
      </c>
      <c r="L104" t="s">
        <v>199</v>
      </c>
      <c r="M104" s="10">
        <v>37712</v>
      </c>
      <c r="N104" s="10" t="s">
        <v>43</v>
      </c>
      <c r="O104">
        <v>34.052166669999998</v>
      </c>
      <c r="P104">
        <v>-119.5821167</v>
      </c>
      <c r="Q104" s="1">
        <v>1</v>
      </c>
      <c r="R104" t="str">
        <f t="shared" si="2"/>
        <v>subtropical</v>
      </c>
      <c r="S104" t="s">
        <v>196</v>
      </c>
      <c r="T104" t="str">
        <f t="shared" si="3"/>
        <v>1_protected</v>
      </c>
      <c r="U104" t="s">
        <v>43</v>
      </c>
      <c r="V104" t="s">
        <v>43</v>
      </c>
    </row>
    <row r="105" spans="1:22">
      <c r="A105" s="20">
        <v>49</v>
      </c>
      <c r="B105" s="20">
        <v>91</v>
      </c>
      <c r="C105" t="s">
        <v>8</v>
      </c>
      <c r="D105" t="s">
        <v>141</v>
      </c>
      <c r="E105" t="s">
        <v>191</v>
      </c>
      <c r="F105" t="s">
        <v>198</v>
      </c>
      <c r="G105" s="8" t="s">
        <v>43</v>
      </c>
      <c r="H105" t="s">
        <v>673</v>
      </c>
      <c r="I105" t="s">
        <v>244</v>
      </c>
      <c r="J105" t="s">
        <v>199</v>
      </c>
      <c r="K105" t="s">
        <v>199</v>
      </c>
      <c r="L105" t="s">
        <v>199</v>
      </c>
      <c r="M105" s="10">
        <v>37712</v>
      </c>
      <c r="N105" s="10" t="s">
        <v>43</v>
      </c>
      <c r="O105">
        <v>34.054283329999997</v>
      </c>
      <c r="P105">
        <v>-119.56686670000001</v>
      </c>
      <c r="Q105" s="1">
        <v>1</v>
      </c>
      <c r="R105" t="str">
        <f t="shared" si="2"/>
        <v>subtropical</v>
      </c>
      <c r="S105" t="s">
        <v>196</v>
      </c>
      <c r="T105" t="str">
        <f t="shared" si="3"/>
        <v>1_protected</v>
      </c>
      <c r="U105" t="s">
        <v>43</v>
      </c>
      <c r="V105" t="s">
        <v>43</v>
      </c>
    </row>
    <row r="106" spans="1:22">
      <c r="A106" s="20">
        <v>50</v>
      </c>
      <c r="B106" s="20">
        <v>92</v>
      </c>
      <c r="C106" t="s">
        <v>8</v>
      </c>
      <c r="D106" t="s">
        <v>142</v>
      </c>
      <c r="E106" t="s">
        <v>194</v>
      </c>
      <c r="F106" t="s">
        <v>43</v>
      </c>
      <c r="G106" s="8" t="s">
        <v>43</v>
      </c>
      <c r="H106" t="s">
        <v>246</v>
      </c>
      <c r="I106" t="s">
        <v>246</v>
      </c>
      <c r="J106" t="s">
        <v>43</v>
      </c>
      <c r="K106" t="s">
        <v>193</v>
      </c>
      <c r="L106" t="s">
        <v>812</v>
      </c>
      <c r="M106" s="10" t="s">
        <v>43</v>
      </c>
      <c r="N106" s="10" t="s">
        <v>43</v>
      </c>
      <c r="O106">
        <v>34.044150000000002</v>
      </c>
      <c r="P106">
        <v>-119.54245</v>
      </c>
      <c r="Q106" s="1">
        <v>1</v>
      </c>
      <c r="R106" t="str">
        <f t="shared" si="2"/>
        <v>subtropical</v>
      </c>
      <c r="S106" t="s">
        <v>196</v>
      </c>
      <c r="T106" t="str">
        <f t="shared" si="3"/>
        <v>2_unprotected</v>
      </c>
      <c r="U106" t="s">
        <v>43</v>
      </c>
      <c r="V106" t="s">
        <v>43</v>
      </c>
    </row>
    <row r="107" spans="1:22">
      <c r="A107" s="20">
        <v>51</v>
      </c>
      <c r="B107" s="20">
        <v>93</v>
      </c>
      <c r="C107" t="s">
        <v>8</v>
      </c>
      <c r="D107" t="s">
        <v>143</v>
      </c>
      <c r="E107" t="s">
        <v>194</v>
      </c>
      <c r="F107" t="s">
        <v>43</v>
      </c>
      <c r="G107" s="8" t="s">
        <v>43</v>
      </c>
      <c r="H107" t="s">
        <v>246</v>
      </c>
      <c r="I107" t="s">
        <v>246</v>
      </c>
      <c r="J107" t="s">
        <v>43</v>
      </c>
      <c r="K107" t="s">
        <v>193</v>
      </c>
      <c r="L107" t="s">
        <v>812</v>
      </c>
      <c r="M107" s="10" t="s">
        <v>43</v>
      </c>
      <c r="N107" s="10" t="s">
        <v>43</v>
      </c>
      <c r="O107">
        <v>33.901466669999998</v>
      </c>
      <c r="P107">
        <v>-120.1029667</v>
      </c>
      <c r="Q107" s="1">
        <v>1</v>
      </c>
      <c r="R107" t="str">
        <f t="shared" si="2"/>
        <v>subtropical</v>
      </c>
      <c r="S107" t="s">
        <v>201</v>
      </c>
      <c r="T107" t="str">
        <f t="shared" si="3"/>
        <v>2_unprotected</v>
      </c>
      <c r="U107" t="s">
        <v>43</v>
      </c>
      <c r="V107" t="s">
        <v>43</v>
      </c>
    </row>
    <row r="108" spans="1:22">
      <c r="A108" s="20">
        <v>52</v>
      </c>
      <c r="B108" s="20">
        <v>94</v>
      </c>
      <c r="C108" t="s">
        <v>8</v>
      </c>
      <c r="D108" t="s">
        <v>144</v>
      </c>
      <c r="E108" t="s">
        <v>194</v>
      </c>
      <c r="F108" t="s">
        <v>43</v>
      </c>
      <c r="G108" s="8" t="s">
        <v>43</v>
      </c>
      <c r="H108" t="s">
        <v>246</v>
      </c>
      <c r="I108" t="s">
        <v>246</v>
      </c>
      <c r="J108" t="s">
        <v>43</v>
      </c>
      <c r="K108" t="s">
        <v>193</v>
      </c>
      <c r="L108" t="s">
        <v>812</v>
      </c>
      <c r="M108" s="10" t="s">
        <v>43</v>
      </c>
      <c r="N108" s="10" t="s">
        <v>43</v>
      </c>
      <c r="O108">
        <v>34.038366670000002</v>
      </c>
      <c r="P108">
        <v>-119.5253</v>
      </c>
      <c r="Q108" s="1">
        <v>1</v>
      </c>
      <c r="R108" t="str">
        <f t="shared" si="2"/>
        <v>subtropical</v>
      </c>
      <c r="S108" t="s">
        <v>196</v>
      </c>
      <c r="T108" t="str">
        <f t="shared" si="3"/>
        <v>2_unprotected</v>
      </c>
      <c r="U108" t="s">
        <v>43</v>
      </c>
      <c r="V108" t="s">
        <v>43</v>
      </c>
    </row>
    <row r="109" spans="1:22">
      <c r="A109" s="20">
        <v>53</v>
      </c>
      <c r="B109" s="20">
        <v>95</v>
      </c>
      <c r="C109" t="s">
        <v>8</v>
      </c>
      <c r="D109" t="s">
        <v>145</v>
      </c>
      <c r="E109" t="s">
        <v>191</v>
      </c>
      <c r="F109" t="s">
        <v>198</v>
      </c>
      <c r="G109" s="8" t="s">
        <v>43</v>
      </c>
      <c r="H109" t="s">
        <v>673</v>
      </c>
      <c r="I109" t="s">
        <v>244</v>
      </c>
      <c r="J109" t="s">
        <v>199</v>
      </c>
      <c r="K109" t="s">
        <v>199</v>
      </c>
      <c r="L109" t="s">
        <v>199</v>
      </c>
      <c r="M109" s="10">
        <v>37712</v>
      </c>
      <c r="N109" s="10" t="s">
        <v>43</v>
      </c>
      <c r="O109">
        <v>34.016416669999998</v>
      </c>
      <c r="P109">
        <v>-119.43201670000001</v>
      </c>
      <c r="Q109" s="1">
        <v>1</v>
      </c>
      <c r="R109" t="str">
        <f t="shared" si="2"/>
        <v>subtropical</v>
      </c>
      <c r="S109" t="s">
        <v>197</v>
      </c>
      <c r="T109" t="str">
        <f t="shared" si="3"/>
        <v>1_protected</v>
      </c>
      <c r="U109" t="s">
        <v>43</v>
      </c>
      <c r="V109" t="s">
        <v>43</v>
      </c>
    </row>
    <row r="110" spans="1:22">
      <c r="A110" s="20">
        <v>54</v>
      </c>
      <c r="B110" s="20">
        <v>96</v>
      </c>
      <c r="C110" t="s">
        <v>8</v>
      </c>
      <c r="D110" t="s">
        <v>146</v>
      </c>
      <c r="E110" t="s">
        <v>194</v>
      </c>
      <c r="F110" t="s">
        <v>43</v>
      </c>
      <c r="G110" s="8" t="s">
        <v>43</v>
      </c>
      <c r="H110" t="s">
        <v>246</v>
      </c>
      <c r="I110" t="s">
        <v>246</v>
      </c>
      <c r="J110" t="s">
        <v>43</v>
      </c>
      <c r="K110" t="s">
        <v>193</v>
      </c>
      <c r="L110" t="s">
        <v>812</v>
      </c>
      <c r="M110" s="10" t="s">
        <v>43</v>
      </c>
      <c r="N110" s="10" t="s">
        <v>43</v>
      </c>
      <c r="O110">
        <v>34.0045</v>
      </c>
      <c r="P110">
        <v>-119.3857833</v>
      </c>
      <c r="Q110" s="1">
        <v>1</v>
      </c>
      <c r="R110" t="str">
        <f t="shared" si="2"/>
        <v>subtropical</v>
      </c>
      <c r="S110" t="s">
        <v>197</v>
      </c>
      <c r="T110" t="str">
        <f t="shared" si="3"/>
        <v>2_unprotected</v>
      </c>
      <c r="U110" t="s">
        <v>43</v>
      </c>
      <c r="V110" t="s">
        <v>43</v>
      </c>
    </row>
    <row r="111" spans="1:22">
      <c r="A111" s="20">
        <v>55</v>
      </c>
      <c r="B111" s="20">
        <v>97</v>
      </c>
      <c r="C111" t="s">
        <v>8</v>
      </c>
      <c r="D111" t="s">
        <v>147</v>
      </c>
      <c r="E111" t="s">
        <v>191</v>
      </c>
      <c r="F111" t="s">
        <v>198</v>
      </c>
      <c r="G111" s="8" t="s">
        <v>43</v>
      </c>
      <c r="H111" t="s">
        <v>673</v>
      </c>
      <c r="I111" t="s">
        <v>244</v>
      </c>
      <c r="J111" t="s">
        <v>199</v>
      </c>
      <c r="K111" t="s">
        <v>199</v>
      </c>
      <c r="L111" t="s">
        <v>199</v>
      </c>
      <c r="M111" s="10">
        <v>37712</v>
      </c>
      <c r="N111" s="10" t="s">
        <v>43</v>
      </c>
      <c r="O111">
        <v>34.012599999999999</v>
      </c>
      <c r="P111">
        <v>-119.3891833</v>
      </c>
      <c r="Q111" s="1">
        <v>1</v>
      </c>
      <c r="R111" t="str">
        <f t="shared" si="2"/>
        <v>subtropical</v>
      </c>
      <c r="S111" t="s">
        <v>197</v>
      </c>
      <c r="T111" t="str">
        <f t="shared" si="3"/>
        <v>1_protected</v>
      </c>
      <c r="U111" t="s">
        <v>43</v>
      </c>
      <c r="V111" t="s">
        <v>43</v>
      </c>
    </row>
    <row r="112" spans="1:22">
      <c r="A112" s="20">
        <v>56</v>
      </c>
      <c r="B112" s="20">
        <v>98</v>
      </c>
      <c r="C112" t="s">
        <v>8</v>
      </c>
      <c r="D112" t="s">
        <v>148</v>
      </c>
      <c r="E112" t="s">
        <v>194</v>
      </c>
      <c r="F112" t="s">
        <v>43</v>
      </c>
      <c r="G112" s="8" t="s">
        <v>43</v>
      </c>
      <c r="H112" t="s">
        <v>246</v>
      </c>
      <c r="I112" t="s">
        <v>246</v>
      </c>
      <c r="J112" t="s">
        <v>43</v>
      </c>
      <c r="K112" t="s">
        <v>193</v>
      </c>
      <c r="L112" t="s">
        <v>812</v>
      </c>
      <c r="M112" s="10" t="s">
        <v>43</v>
      </c>
      <c r="N112" s="10" t="s">
        <v>43</v>
      </c>
      <c r="O112">
        <v>34.014099999999999</v>
      </c>
      <c r="P112">
        <v>-119.3590167</v>
      </c>
      <c r="Q112" s="1">
        <v>1</v>
      </c>
      <c r="R112" t="str">
        <f t="shared" si="2"/>
        <v>subtropical</v>
      </c>
      <c r="S112" t="s">
        <v>197</v>
      </c>
      <c r="T112" t="str">
        <f t="shared" si="3"/>
        <v>2_unprotected</v>
      </c>
      <c r="U112" t="s">
        <v>43</v>
      </c>
      <c r="V112" t="s">
        <v>43</v>
      </c>
    </row>
    <row r="113" spans="1:22">
      <c r="A113" s="20">
        <v>57</v>
      </c>
      <c r="B113" s="20">
        <v>99</v>
      </c>
      <c r="C113" t="s">
        <v>8</v>
      </c>
      <c r="D113" t="s">
        <v>149</v>
      </c>
      <c r="E113" t="s">
        <v>194</v>
      </c>
      <c r="F113" t="s">
        <v>43</v>
      </c>
      <c r="G113" s="8" t="s">
        <v>43</v>
      </c>
      <c r="H113" t="s">
        <v>246</v>
      </c>
      <c r="I113" t="s">
        <v>246</v>
      </c>
      <c r="J113" t="s">
        <v>43</v>
      </c>
      <c r="K113" t="s">
        <v>193</v>
      </c>
      <c r="L113" t="s">
        <v>812</v>
      </c>
      <c r="M113" s="10" t="s">
        <v>43</v>
      </c>
      <c r="N113" s="10" t="s">
        <v>43</v>
      </c>
      <c r="O113">
        <v>33.479849999999999</v>
      </c>
      <c r="P113">
        <v>-119.0622</v>
      </c>
      <c r="Q113" s="1">
        <v>1</v>
      </c>
      <c r="R113" t="str">
        <f t="shared" si="2"/>
        <v>subtropical</v>
      </c>
      <c r="S113" t="s">
        <v>200</v>
      </c>
      <c r="T113" t="str">
        <f t="shared" si="3"/>
        <v>2_unprotected</v>
      </c>
      <c r="U113" t="s">
        <v>43</v>
      </c>
      <c r="V113" t="s">
        <v>43</v>
      </c>
    </row>
    <row r="114" spans="1:22">
      <c r="A114" s="20">
        <v>58</v>
      </c>
      <c r="B114" s="20">
        <v>100</v>
      </c>
      <c r="C114" t="s">
        <v>8</v>
      </c>
      <c r="D114" t="s">
        <v>150</v>
      </c>
      <c r="E114" t="s">
        <v>191</v>
      </c>
      <c r="F114" t="s">
        <v>198</v>
      </c>
      <c r="G114" s="8" t="s">
        <v>43</v>
      </c>
      <c r="H114" t="s">
        <v>673</v>
      </c>
      <c r="I114" t="s">
        <v>244</v>
      </c>
      <c r="J114" t="s">
        <v>199</v>
      </c>
      <c r="K114" t="s">
        <v>199</v>
      </c>
      <c r="L114" t="s">
        <v>199</v>
      </c>
      <c r="M114" s="10">
        <v>37712</v>
      </c>
      <c r="N114" s="10" t="s">
        <v>43</v>
      </c>
      <c r="O114">
        <v>33.473066670000001</v>
      </c>
      <c r="P114">
        <v>-119.0268167</v>
      </c>
      <c r="Q114" s="1">
        <v>1</v>
      </c>
      <c r="R114" t="str">
        <f t="shared" si="2"/>
        <v>subtropical</v>
      </c>
      <c r="S114" t="s">
        <v>200</v>
      </c>
      <c r="T114" t="str">
        <f t="shared" si="3"/>
        <v>1_protected</v>
      </c>
      <c r="U114" t="s">
        <v>43</v>
      </c>
      <c r="V114" t="s">
        <v>43</v>
      </c>
    </row>
    <row r="115" spans="1:22">
      <c r="A115" s="20">
        <v>59</v>
      </c>
      <c r="B115" s="20">
        <v>101</v>
      </c>
      <c r="C115" t="s">
        <v>8</v>
      </c>
      <c r="D115" t="s">
        <v>151</v>
      </c>
      <c r="E115" t="s">
        <v>191</v>
      </c>
      <c r="F115" t="s">
        <v>198</v>
      </c>
      <c r="G115" s="8" t="s">
        <v>43</v>
      </c>
      <c r="H115" t="s">
        <v>673</v>
      </c>
      <c r="I115" t="s">
        <v>244</v>
      </c>
      <c r="J115" t="s">
        <v>199</v>
      </c>
      <c r="K115" t="s">
        <v>199</v>
      </c>
      <c r="L115" t="s">
        <v>199</v>
      </c>
      <c r="M115" s="10">
        <v>37712</v>
      </c>
      <c r="N115" s="10" t="s">
        <v>43</v>
      </c>
      <c r="O115">
        <v>33.462933329999998</v>
      </c>
      <c r="P115">
        <v>-119.0312667</v>
      </c>
      <c r="Q115" s="1">
        <v>1</v>
      </c>
      <c r="R115" t="str">
        <f t="shared" si="2"/>
        <v>subtropical</v>
      </c>
      <c r="S115" t="s">
        <v>200</v>
      </c>
      <c r="T115" t="str">
        <f t="shared" si="3"/>
        <v>1_protected</v>
      </c>
      <c r="U115" t="s">
        <v>43</v>
      </c>
      <c r="V115" t="s">
        <v>43</v>
      </c>
    </row>
    <row r="116" spans="1:22">
      <c r="A116" s="20">
        <v>60</v>
      </c>
      <c r="B116" s="20">
        <v>102</v>
      </c>
      <c r="C116" t="s">
        <v>8</v>
      </c>
      <c r="D116" t="s">
        <v>152</v>
      </c>
      <c r="E116" t="s">
        <v>194</v>
      </c>
      <c r="F116" t="s">
        <v>43</v>
      </c>
      <c r="G116" s="8" t="s">
        <v>43</v>
      </c>
      <c r="H116" t="s">
        <v>246</v>
      </c>
      <c r="I116" t="s">
        <v>246</v>
      </c>
      <c r="J116" t="s">
        <v>43</v>
      </c>
      <c r="K116" t="s">
        <v>193</v>
      </c>
      <c r="L116" t="s">
        <v>812</v>
      </c>
      <c r="M116" s="10" t="s">
        <v>43</v>
      </c>
      <c r="N116" s="10" t="s">
        <v>43</v>
      </c>
      <c r="O116">
        <v>33.897533330000002</v>
      </c>
      <c r="P116">
        <v>-120.10075000000001</v>
      </c>
      <c r="Q116" s="1">
        <v>1</v>
      </c>
      <c r="R116" t="str">
        <f t="shared" si="2"/>
        <v>subtropical</v>
      </c>
      <c r="S116" t="s">
        <v>201</v>
      </c>
      <c r="T116" t="str">
        <f t="shared" si="3"/>
        <v>2_unprotected</v>
      </c>
      <c r="U116" t="s">
        <v>43</v>
      </c>
      <c r="V116" t="s">
        <v>43</v>
      </c>
    </row>
    <row r="117" spans="1:22">
      <c r="A117" s="20">
        <v>61</v>
      </c>
      <c r="B117" s="20">
        <v>103</v>
      </c>
      <c r="C117" t="s">
        <v>8</v>
      </c>
      <c r="D117" t="s">
        <v>153</v>
      </c>
      <c r="E117" t="s">
        <v>194</v>
      </c>
      <c r="F117" t="s">
        <v>43</v>
      </c>
      <c r="G117" s="8" t="s">
        <v>43</v>
      </c>
      <c r="H117" t="s">
        <v>246</v>
      </c>
      <c r="I117" t="s">
        <v>246</v>
      </c>
      <c r="J117" t="s">
        <v>43</v>
      </c>
      <c r="K117" t="s">
        <v>193</v>
      </c>
      <c r="L117" t="s">
        <v>812</v>
      </c>
      <c r="M117" s="10" t="s">
        <v>43</v>
      </c>
      <c r="N117" s="10" t="s">
        <v>43</v>
      </c>
      <c r="O117">
        <v>34.032616670000003</v>
      </c>
      <c r="P117">
        <v>-120.107</v>
      </c>
      <c r="Q117" s="1">
        <v>1</v>
      </c>
      <c r="R117" t="str">
        <f t="shared" si="2"/>
        <v>subtropical</v>
      </c>
      <c r="S117" t="s">
        <v>201</v>
      </c>
      <c r="T117" t="str">
        <f t="shared" si="3"/>
        <v>2_unprotected</v>
      </c>
      <c r="U117" t="s">
        <v>43</v>
      </c>
      <c r="V117" t="s">
        <v>43</v>
      </c>
    </row>
    <row r="118" spans="1:22">
      <c r="A118" s="20">
        <v>62</v>
      </c>
      <c r="B118" s="20">
        <v>104</v>
      </c>
      <c r="C118" t="s">
        <v>8</v>
      </c>
      <c r="D118" t="s">
        <v>154</v>
      </c>
      <c r="E118" t="s">
        <v>191</v>
      </c>
      <c r="F118" t="s">
        <v>198</v>
      </c>
      <c r="G118" s="8" t="s">
        <v>43</v>
      </c>
      <c r="H118" t="s">
        <v>673</v>
      </c>
      <c r="I118" t="s">
        <v>244</v>
      </c>
      <c r="J118" t="s">
        <v>199</v>
      </c>
      <c r="K118" t="s">
        <v>199</v>
      </c>
      <c r="L118" t="s">
        <v>199</v>
      </c>
      <c r="M118" s="10">
        <v>37712</v>
      </c>
      <c r="N118" s="10" t="s">
        <v>43</v>
      </c>
      <c r="O118">
        <v>33.949666669999999</v>
      </c>
      <c r="P118">
        <v>-119.8275833</v>
      </c>
      <c r="Q118" s="1">
        <v>1</v>
      </c>
      <c r="R118" t="str">
        <f t="shared" si="2"/>
        <v>subtropical</v>
      </c>
      <c r="S118" t="s">
        <v>196</v>
      </c>
      <c r="T118" t="str">
        <f t="shared" si="3"/>
        <v>1_protected</v>
      </c>
      <c r="U118" t="s">
        <v>43</v>
      </c>
      <c r="V118" t="s">
        <v>43</v>
      </c>
    </row>
    <row r="119" spans="1:22">
      <c r="A119" s="20">
        <v>63</v>
      </c>
      <c r="B119" s="20">
        <v>105</v>
      </c>
      <c r="C119" t="s">
        <v>8</v>
      </c>
      <c r="D119" t="s">
        <v>155</v>
      </c>
      <c r="E119" t="s">
        <v>194</v>
      </c>
      <c r="F119" t="s">
        <v>43</v>
      </c>
      <c r="G119" s="8" t="s">
        <v>43</v>
      </c>
      <c r="H119" t="s">
        <v>246</v>
      </c>
      <c r="I119" t="s">
        <v>246</v>
      </c>
      <c r="J119" t="s">
        <v>43</v>
      </c>
      <c r="K119" t="s">
        <v>193</v>
      </c>
      <c r="L119" t="s">
        <v>812</v>
      </c>
      <c r="M119" s="10" t="s">
        <v>43</v>
      </c>
      <c r="N119" s="10" t="s">
        <v>43</v>
      </c>
      <c r="O119">
        <v>34.056350000000002</v>
      </c>
      <c r="P119">
        <v>-119.75515</v>
      </c>
      <c r="Q119" s="1">
        <v>1</v>
      </c>
      <c r="R119" t="str">
        <f t="shared" si="2"/>
        <v>subtropical</v>
      </c>
      <c r="S119" t="s">
        <v>196</v>
      </c>
      <c r="T119" t="str">
        <f t="shared" si="3"/>
        <v>2_unprotected</v>
      </c>
      <c r="U119" t="s">
        <v>43</v>
      </c>
      <c r="V119" t="s">
        <v>43</v>
      </c>
    </row>
    <row r="120" spans="1:22">
      <c r="A120" s="20">
        <v>64</v>
      </c>
      <c r="B120" s="20">
        <v>106</v>
      </c>
      <c r="C120" t="s">
        <v>8</v>
      </c>
      <c r="D120" t="s">
        <v>156</v>
      </c>
      <c r="E120" t="s">
        <v>194</v>
      </c>
      <c r="F120" t="s">
        <v>43</v>
      </c>
      <c r="G120" s="8" t="s">
        <v>43</v>
      </c>
      <c r="H120" t="s">
        <v>246</v>
      </c>
      <c r="I120" t="s">
        <v>246</v>
      </c>
      <c r="J120" t="s">
        <v>43</v>
      </c>
      <c r="K120" t="s">
        <v>193</v>
      </c>
      <c r="L120" t="s">
        <v>812</v>
      </c>
      <c r="M120" s="10" t="s">
        <v>43</v>
      </c>
      <c r="N120" s="10" t="s">
        <v>43</v>
      </c>
      <c r="O120">
        <v>34.03488333</v>
      </c>
      <c r="P120">
        <v>-119.7030833</v>
      </c>
      <c r="Q120" s="1">
        <v>1</v>
      </c>
      <c r="R120" t="str">
        <f t="shared" si="2"/>
        <v>subtropical</v>
      </c>
      <c r="S120" t="s">
        <v>196</v>
      </c>
      <c r="T120" t="str">
        <f t="shared" si="3"/>
        <v>2_unprotected</v>
      </c>
      <c r="U120" t="s">
        <v>43</v>
      </c>
      <c r="V120" t="s">
        <v>43</v>
      </c>
    </row>
    <row r="121" spans="1:22">
      <c r="A121" s="20">
        <v>65</v>
      </c>
      <c r="B121" s="20">
        <v>107</v>
      </c>
      <c r="C121" t="s">
        <v>8</v>
      </c>
      <c r="D121" t="s">
        <v>157</v>
      </c>
      <c r="E121" t="s">
        <v>191</v>
      </c>
      <c r="F121" t="s">
        <v>198</v>
      </c>
      <c r="G121" s="8" t="s">
        <v>43</v>
      </c>
      <c r="H121" t="s">
        <v>673</v>
      </c>
      <c r="I121" t="s">
        <v>244</v>
      </c>
      <c r="J121" t="s">
        <v>199</v>
      </c>
      <c r="K121" t="s">
        <v>199</v>
      </c>
      <c r="L121" t="s">
        <v>199</v>
      </c>
      <c r="M121" s="10">
        <v>37712</v>
      </c>
      <c r="N121" s="10" t="s">
        <v>43</v>
      </c>
      <c r="O121">
        <v>34.047983330000001</v>
      </c>
      <c r="P121">
        <v>-119.5514</v>
      </c>
      <c r="Q121" s="1">
        <v>1</v>
      </c>
      <c r="R121" t="str">
        <f t="shared" si="2"/>
        <v>subtropical</v>
      </c>
      <c r="S121" t="s">
        <v>196</v>
      </c>
      <c r="T121" t="str">
        <f t="shared" si="3"/>
        <v>1_protected</v>
      </c>
      <c r="U121" t="s">
        <v>43</v>
      </c>
      <c r="V121" t="s">
        <v>43</v>
      </c>
    </row>
    <row r="122" spans="1:22">
      <c r="A122" s="20">
        <v>121</v>
      </c>
      <c r="B122" s="20">
        <v>16</v>
      </c>
      <c r="C122" s="1" t="s">
        <v>374</v>
      </c>
      <c r="D122" t="s">
        <v>382</v>
      </c>
      <c r="E122" t="s">
        <v>191</v>
      </c>
      <c r="F122" t="s">
        <v>383</v>
      </c>
      <c r="G122" t="s">
        <v>43</v>
      </c>
      <c r="H122" t="s">
        <v>682</v>
      </c>
      <c r="I122" t="s">
        <v>244</v>
      </c>
      <c r="J122" t="s">
        <v>199</v>
      </c>
      <c r="K122" t="s">
        <v>199</v>
      </c>
      <c r="L122" t="s">
        <v>199</v>
      </c>
      <c r="M122" s="10">
        <v>37834</v>
      </c>
      <c r="N122" s="10" t="s">
        <v>43</v>
      </c>
      <c r="O122" s="1">
        <v>26.018000000000001</v>
      </c>
      <c r="P122" s="1">
        <v>-80.111999999999995</v>
      </c>
      <c r="Q122" s="1">
        <v>25</v>
      </c>
      <c r="R122" t="str">
        <f t="shared" si="2"/>
        <v>subtropical</v>
      </c>
      <c r="T122" t="s">
        <v>793</v>
      </c>
      <c r="U122" t="s">
        <v>43</v>
      </c>
      <c r="V122" t="s">
        <v>43</v>
      </c>
    </row>
    <row r="123" spans="1:22">
      <c r="A123" s="20">
        <v>120</v>
      </c>
      <c r="B123" s="20">
        <v>123</v>
      </c>
      <c r="C123" s="1" t="s">
        <v>374</v>
      </c>
      <c r="D123" t="s">
        <v>381</v>
      </c>
      <c r="E123" t="s">
        <v>194</v>
      </c>
      <c r="F123" t="s">
        <v>43</v>
      </c>
      <c r="G123" t="s">
        <v>43</v>
      </c>
      <c r="H123" t="s">
        <v>246</v>
      </c>
      <c r="I123" t="s">
        <v>246</v>
      </c>
      <c r="J123" t="s">
        <v>43</v>
      </c>
      <c r="K123" t="s">
        <v>193</v>
      </c>
      <c r="L123" t="s">
        <v>812</v>
      </c>
      <c r="M123" s="10" t="s">
        <v>43</v>
      </c>
      <c r="N123" s="10" t="s">
        <v>43</v>
      </c>
      <c r="O123" s="1">
        <v>26.018000000000001</v>
      </c>
      <c r="P123" s="1">
        <v>-80.111999999999995</v>
      </c>
      <c r="Q123">
        <v>25</v>
      </c>
      <c r="R123" t="str">
        <f t="shared" si="2"/>
        <v>subtropical</v>
      </c>
      <c r="T123" t="s">
        <v>793</v>
      </c>
      <c r="U123" t="s">
        <v>43</v>
      </c>
      <c r="V123" t="s">
        <v>43</v>
      </c>
    </row>
    <row r="124" spans="1:22">
      <c r="A124" s="20">
        <v>122</v>
      </c>
      <c r="B124" s="20">
        <v>190</v>
      </c>
      <c r="C124" s="1" t="s">
        <v>384</v>
      </c>
      <c r="D124" t="s">
        <v>389</v>
      </c>
      <c r="E124" t="s">
        <v>194</v>
      </c>
      <c r="F124" t="s">
        <v>43</v>
      </c>
      <c r="G124" t="s">
        <v>43</v>
      </c>
      <c r="H124" t="s">
        <v>246</v>
      </c>
      <c r="I124" t="s">
        <v>246</v>
      </c>
      <c r="J124" t="s">
        <v>43</v>
      </c>
      <c r="K124" t="s">
        <v>193</v>
      </c>
      <c r="L124" t="s">
        <v>812</v>
      </c>
      <c r="M124" s="10" t="s">
        <v>43</v>
      </c>
      <c r="N124" s="10" t="s">
        <v>43</v>
      </c>
      <c r="O124" s="1">
        <v>35.546999999999997</v>
      </c>
      <c r="P124" s="1">
        <v>135.34899999999999</v>
      </c>
      <c r="Q124" s="1">
        <v>1</v>
      </c>
      <c r="R124" t="str">
        <f t="shared" si="2"/>
        <v>subtropical</v>
      </c>
      <c r="T124" t="s">
        <v>793</v>
      </c>
      <c r="U124" t="s">
        <v>43</v>
      </c>
      <c r="V124" t="s">
        <v>43</v>
      </c>
    </row>
    <row r="125" spans="1:22">
      <c r="A125" s="20">
        <v>123</v>
      </c>
      <c r="B125" s="20">
        <v>42</v>
      </c>
      <c r="C125" s="1" t="s">
        <v>390</v>
      </c>
      <c r="D125" t="s">
        <v>394</v>
      </c>
      <c r="E125" t="s">
        <v>191</v>
      </c>
      <c r="F125" t="s">
        <v>397</v>
      </c>
      <c r="G125" t="s">
        <v>43</v>
      </c>
      <c r="H125" t="s">
        <v>684</v>
      </c>
      <c r="I125" t="s">
        <v>244</v>
      </c>
      <c r="J125" s="33" t="s">
        <v>43</v>
      </c>
      <c r="K125" s="33" t="s">
        <v>193</v>
      </c>
      <c r="L125" s="33" t="s">
        <v>193</v>
      </c>
      <c r="M125" s="10">
        <v>35947</v>
      </c>
      <c r="N125" s="10" t="s">
        <v>43</v>
      </c>
      <c r="O125" s="1">
        <v>-4.319</v>
      </c>
      <c r="P125" s="1">
        <v>39.576999999999998</v>
      </c>
      <c r="Q125" s="1">
        <v>1</v>
      </c>
      <c r="R125" t="str">
        <f t="shared" si="2"/>
        <v>tropical</v>
      </c>
      <c r="T125" t="s">
        <v>792</v>
      </c>
      <c r="U125" t="s">
        <v>43</v>
      </c>
      <c r="V125" t="s">
        <v>43</v>
      </c>
    </row>
    <row r="126" spans="1:22">
      <c r="A126" s="20">
        <v>124</v>
      </c>
      <c r="B126" s="20">
        <v>71</v>
      </c>
      <c r="C126" s="1" t="s">
        <v>390</v>
      </c>
      <c r="D126" t="s">
        <v>395</v>
      </c>
      <c r="E126" t="s">
        <v>191</v>
      </c>
      <c r="F126" t="s">
        <v>397</v>
      </c>
      <c r="G126" t="s">
        <v>43</v>
      </c>
      <c r="H126" t="s">
        <v>684</v>
      </c>
      <c r="I126" t="s">
        <v>244</v>
      </c>
      <c r="J126" s="33" t="s">
        <v>43</v>
      </c>
      <c r="K126" s="33" t="s">
        <v>193</v>
      </c>
      <c r="L126" s="33" t="s">
        <v>193</v>
      </c>
      <c r="M126" s="10">
        <v>35947</v>
      </c>
      <c r="N126" s="10" t="s">
        <v>43</v>
      </c>
      <c r="O126" s="1">
        <v>-3.9209999999999998</v>
      </c>
      <c r="P126" s="1">
        <v>39.789000000000001</v>
      </c>
      <c r="Q126" s="1">
        <v>1</v>
      </c>
      <c r="R126" t="str">
        <f t="shared" si="2"/>
        <v>tropical</v>
      </c>
      <c r="T126" t="s">
        <v>792</v>
      </c>
      <c r="U126" t="s">
        <v>43</v>
      </c>
      <c r="V126" t="s">
        <v>43</v>
      </c>
    </row>
    <row r="127" spans="1:22">
      <c r="A127" s="20">
        <v>125</v>
      </c>
      <c r="B127" s="20">
        <v>121</v>
      </c>
      <c r="C127" s="1" t="s">
        <v>390</v>
      </c>
      <c r="D127" t="s">
        <v>393</v>
      </c>
      <c r="E127" t="s">
        <v>191</v>
      </c>
      <c r="F127" t="s">
        <v>397</v>
      </c>
      <c r="G127" t="s">
        <v>43</v>
      </c>
      <c r="H127" t="s">
        <v>684</v>
      </c>
      <c r="I127" t="s">
        <v>244</v>
      </c>
      <c r="J127" s="33" t="s">
        <v>43</v>
      </c>
      <c r="K127" s="33" t="s">
        <v>193</v>
      </c>
      <c r="L127" s="33" t="s">
        <v>193</v>
      </c>
      <c r="M127" s="10">
        <v>35947</v>
      </c>
      <c r="N127" s="10" t="s">
        <v>43</v>
      </c>
      <c r="O127">
        <v>-3.9889999999999999</v>
      </c>
      <c r="P127">
        <v>39.750999999999998</v>
      </c>
      <c r="Q127" s="1">
        <v>1</v>
      </c>
      <c r="R127" t="str">
        <f t="shared" si="2"/>
        <v>tropical</v>
      </c>
      <c r="T127" t="s">
        <v>792</v>
      </c>
      <c r="U127" t="s">
        <v>43</v>
      </c>
      <c r="V127" t="s">
        <v>43</v>
      </c>
    </row>
    <row r="128" spans="1:22">
      <c r="A128" s="20">
        <v>126</v>
      </c>
      <c r="B128" s="20">
        <v>188</v>
      </c>
      <c r="C128" s="1" t="s">
        <v>390</v>
      </c>
      <c r="D128" t="s">
        <v>396</v>
      </c>
      <c r="E128" t="s">
        <v>191</v>
      </c>
      <c r="F128" t="s">
        <v>397</v>
      </c>
      <c r="G128" t="s">
        <v>43</v>
      </c>
      <c r="H128" t="s">
        <v>684</v>
      </c>
      <c r="I128" t="s">
        <v>244</v>
      </c>
      <c r="J128" s="33" t="s">
        <v>43</v>
      </c>
      <c r="K128" s="33" t="s">
        <v>193</v>
      </c>
      <c r="L128" s="33" t="s">
        <v>193</v>
      </c>
      <c r="M128" s="10">
        <v>35947</v>
      </c>
      <c r="N128" s="10" t="s">
        <v>43</v>
      </c>
      <c r="O128">
        <v>-3.8029999999999999</v>
      </c>
      <c r="P128">
        <v>39.844999999999999</v>
      </c>
      <c r="Q128" s="1">
        <v>1</v>
      </c>
      <c r="R128" t="str">
        <f t="shared" si="2"/>
        <v>tropical</v>
      </c>
      <c r="T128" t="s">
        <v>792</v>
      </c>
      <c r="U128" t="s">
        <v>43</v>
      </c>
      <c r="V128" t="s">
        <v>43</v>
      </c>
    </row>
    <row r="129" spans="1:22">
      <c r="A129" s="20">
        <v>127</v>
      </c>
      <c r="B129" s="20">
        <v>108</v>
      </c>
      <c r="C129" s="1" t="s">
        <v>399</v>
      </c>
      <c r="D129" t="s">
        <v>404</v>
      </c>
      <c r="E129" t="s">
        <v>191</v>
      </c>
      <c r="F129" t="s">
        <v>318</v>
      </c>
      <c r="G129" t="s">
        <v>43</v>
      </c>
      <c r="H129" s="1" t="s">
        <v>679</v>
      </c>
      <c r="I129" s="1" t="s">
        <v>244</v>
      </c>
      <c r="J129" s="1" t="s">
        <v>199</v>
      </c>
      <c r="K129" s="1" t="s">
        <v>199</v>
      </c>
      <c r="L129" s="1" t="s">
        <v>199</v>
      </c>
      <c r="M129" s="10">
        <v>31199</v>
      </c>
      <c r="N129" s="10">
        <v>33025</v>
      </c>
      <c r="O129" s="1">
        <v>56.029000000000003</v>
      </c>
      <c r="P129" s="1">
        <v>-3.657</v>
      </c>
      <c r="Q129" s="1">
        <v>1</v>
      </c>
      <c r="R129" t="str">
        <f t="shared" si="2"/>
        <v>temperate</v>
      </c>
      <c r="T129" t="s">
        <v>793</v>
      </c>
      <c r="U129" t="s">
        <v>43</v>
      </c>
      <c r="V129" t="s">
        <v>43</v>
      </c>
    </row>
    <row r="130" spans="1:22">
      <c r="A130" s="20">
        <v>128</v>
      </c>
      <c r="B130" s="20">
        <v>47</v>
      </c>
      <c r="C130" s="1" t="s">
        <v>405</v>
      </c>
      <c r="D130" t="s">
        <v>409</v>
      </c>
      <c r="E130" t="s">
        <v>194</v>
      </c>
      <c r="F130" t="s">
        <v>43</v>
      </c>
      <c r="G130" t="s">
        <v>43</v>
      </c>
      <c r="H130" t="s">
        <v>246</v>
      </c>
      <c r="I130" t="s">
        <v>246</v>
      </c>
      <c r="J130" t="s">
        <v>43</v>
      </c>
      <c r="K130" t="s">
        <v>193</v>
      </c>
      <c r="L130" t="s">
        <v>812</v>
      </c>
      <c r="M130" s="10" t="s">
        <v>43</v>
      </c>
      <c r="N130" s="10" t="s">
        <v>43</v>
      </c>
      <c r="O130" s="1">
        <v>43.347000000000001</v>
      </c>
      <c r="P130" s="1">
        <v>-124.321</v>
      </c>
      <c r="Q130" s="1">
        <v>1</v>
      </c>
      <c r="R130" t="str">
        <f t="shared" ref="R130:R193" si="4">IF(ABS(O130)&lt;23.5,"tropical",IF(ABS(O130)&lt;38,"subtropical",IF(ABS(O130)&lt;66.3,"temperate","polar")))</f>
        <v>temperate</v>
      </c>
      <c r="T130" t="s">
        <v>791</v>
      </c>
      <c r="U130" t="s">
        <v>43</v>
      </c>
      <c r="V130" t="s">
        <v>43</v>
      </c>
    </row>
    <row r="131" spans="1:22">
      <c r="A131" s="20">
        <v>186</v>
      </c>
      <c r="B131" s="20">
        <v>12</v>
      </c>
      <c r="C131" s="1" t="s">
        <v>742</v>
      </c>
      <c r="D131" t="s">
        <v>747</v>
      </c>
      <c r="E131" t="s">
        <v>194</v>
      </c>
      <c r="F131" t="s">
        <v>43</v>
      </c>
      <c r="G131" t="s">
        <v>43</v>
      </c>
      <c r="H131" t="s">
        <v>246</v>
      </c>
      <c r="I131" t="s">
        <v>43</v>
      </c>
      <c r="J131" t="s">
        <v>43</v>
      </c>
      <c r="K131" t="s">
        <v>193</v>
      </c>
      <c r="L131" t="s">
        <v>812</v>
      </c>
      <c r="M131" s="10" t="s">
        <v>43</v>
      </c>
      <c r="N131" s="10" t="s">
        <v>43</v>
      </c>
      <c r="O131">
        <v>42.12</v>
      </c>
      <c r="P131">
        <v>-8.85</v>
      </c>
      <c r="Q131" s="1">
        <v>1</v>
      </c>
      <c r="R131" t="str">
        <f t="shared" si="4"/>
        <v>temperate</v>
      </c>
      <c r="T131" t="s">
        <v>791</v>
      </c>
      <c r="U131" t="s">
        <v>43</v>
      </c>
      <c r="V131" t="s">
        <v>43</v>
      </c>
    </row>
    <row r="132" spans="1:22">
      <c r="A132" s="20">
        <v>129</v>
      </c>
      <c r="B132" s="20">
        <v>31</v>
      </c>
      <c r="C132" s="1" t="s">
        <v>410</v>
      </c>
      <c r="D132" t="s">
        <v>414</v>
      </c>
      <c r="E132" t="s">
        <v>191</v>
      </c>
      <c r="F132" t="s">
        <v>198</v>
      </c>
      <c r="G132" t="s">
        <v>43</v>
      </c>
      <c r="H132" t="s">
        <v>673</v>
      </c>
      <c r="I132" t="s">
        <v>244</v>
      </c>
      <c r="J132" t="s">
        <v>199</v>
      </c>
      <c r="K132" t="s">
        <v>199</v>
      </c>
      <c r="L132" t="s">
        <v>199</v>
      </c>
      <c r="M132" s="10">
        <v>31778</v>
      </c>
      <c r="O132" s="1">
        <v>17.620999999999999</v>
      </c>
      <c r="P132" s="1">
        <v>-63.26</v>
      </c>
      <c r="Q132" s="1">
        <v>2</v>
      </c>
      <c r="R132" t="str">
        <f t="shared" si="4"/>
        <v>tropical</v>
      </c>
      <c r="T132" t="str">
        <f>IF(F132 = "MPA", "1_protected", "2_unprotected")</f>
        <v>1_protected</v>
      </c>
      <c r="U132" t="s">
        <v>43</v>
      </c>
      <c r="V132" t="s">
        <v>43</v>
      </c>
    </row>
    <row r="133" spans="1:22">
      <c r="A133" s="20">
        <v>130</v>
      </c>
      <c r="B133" s="20">
        <v>136</v>
      </c>
      <c r="C133" s="1" t="s">
        <v>410</v>
      </c>
      <c r="D133" t="s">
        <v>415</v>
      </c>
      <c r="E133" t="s">
        <v>194</v>
      </c>
      <c r="F133" t="s">
        <v>43</v>
      </c>
      <c r="G133" t="s">
        <v>43</v>
      </c>
      <c r="H133" t="s">
        <v>246</v>
      </c>
      <c r="I133" t="s">
        <v>246</v>
      </c>
      <c r="J133" t="s">
        <v>43</v>
      </c>
      <c r="K133" t="s">
        <v>193</v>
      </c>
      <c r="L133" t="s">
        <v>812</v>
      </c>
      <c r="M133" s="10" t="s">
        <v>43</v>
      </c>
      <c r="N133" s="10" t="s">
        <v>43</v>
      </c>
      <c r="O133">
        <v>17.614999999999998</v>
      </c>
      <c r="P133">
        <v>-63.231999999999999</v>
      </c>
      <c r="Q133">
        <v>2</v>
      </c>
      <c r="R133" t="str">
        <f t="shared" si="4"/>
        <v>tropical</v>
      </c>
      <c r="T133" t="str">
        <f>IF(F133 = "MPA", "1_protected", "2_unprotected")</f>
        <v>2_unprotected</v>
      </c>
      <c r="U133" t="s">
        <v>43</v>
      </c>
      <c r="V133" t="s">
        <v>43</v>
      </c>
    </row>
    <row r="134" spans="1:22">
      <c r="A134" s="20">
        <v>192</v>
      </c>
      <c r="B134" s="20">
        <v>28</v>
      </c>
      <c r="C134" t="s">
        <v>748</v>
      </c>
      <c r="D134" t="s">
        <v>757</v>
      </c>
      <c r="E134" t="s">
        <v>194</v>
      </c>
      <c r="F134" t="s">
        <v>43</v>
      </c>
      <c r="G134" t="s">
        <v>43</v>
      </c>
      <c r="H134" t="s">
        <v>246</v>
      </c>
      <c r="I134" t="s">
        <v>43</v>
      </c>
      <c r="J134" t="s">
        <v>43</v>
      </c>
      <c r="K134" t="s">
        <v>193</v>
      </c>
      <c r="L134" t="s">
        <v>812</v>
      </c>
      <c r="M134" s="10" t="s">
        <v>43</v>
      </c>
      <c r="N134" s="10" t="s">
        <v>43</v>
      </c>
      <c r="O134">
        <v>44.2485</v>
      </c>
      <c r="P134">
        <v>12.481999999999999</v>
      </c>
      <c r="Q134" s="1">
        <v>1</v>
      </c>
      <c r="R134" t="str">
        <f t="shared" si="4"/>
        <v>temperate</v>
      </c>
      <c r="T134" t="s">
        <v>792</v>
      </c>
      <c r="U134" t="s">
        <v>43</v>
      </c>
      <c r="V134" t="s">
        <v>43</v>
      </c>
    </row>
    <row r="135" spans="1:22">
      <c r="A135" s="20">
        <v>190</v>
      </c>
      <c r="B135" s="20">
        <v>29</v>
      </c>
      <c r="C135" t="s">
        <v>748</v>
      </c>
      <c r="D135" t="s">
        <v>755</v>
      </c>
      <c r="E135" t="s">
        <v>194</v>
      </c>
      <c r="F135" t="s">
        <v>43</v>
      </c>
      <c r="G135" t="s">
        <v>43</v>
      </c>
      <c r="H135" t="s">
        <v>246</v>
      </c>
      <c r="I135" t="s">
        <v>43</v>
      </c>
      <c r="J135" t="s">
        <v>43</v>
      </c>
      <c r="K135" t="s">
        <v>193</v>
      </c>
      <c r="L135" t="s">
        <v>812</v>
      </c>
      <c r="M135" s="10" t="s">
        <v>43</v>
      </c>
      <c r="N135" s="10" t="s">
        <v>43</v>
      </c>
      <c r="O135">
        <v>44.214599999999997</v>
      </c>
      <c r="P135">
        <v>12.4152</v>
      </c>
      <c r="Q135" s="1">
        <v>1</v>
      </c>
      <c r="R135" t="str">
        <f t="shared" si="4"/>
        <v>temperate</v>
      </c>
      <c r="T135" t="s">
        <v>792</v>
      </c>
      <c r="U135" t="s">
        <v>43</v>
      </c>
      <c r="V135" t="s">
        <v>43</v>
      </c>
    </row>
    <row r="136" spans="1:22">
      <c r="A136" s="20">
        <v>191</v>
      </c>
      <c r="B136" s="20">
        <v>30</v>
      </c>
      <c r="C136" t="s">
        <v>748</v>
      </c>
      <c r="D136" t="s">
        <v>756</v>
      </c>
      <c r="E136" t="s">
        <v>194</v>
      </c>
      <c r="F136" t="s">
        <v>43</v>
      </c>
      <c r="G136" t="s">
        <v>43</v>
      </c>
      <c r="H136" t="s">
        <v>246</v>
      </c>
      <c r="I136" t="s">
        <v>43</v>
      </c>
      <c r="J136" t="s">
        <v>43</v>
      </c>
      <c r="K136" t="s">
        <v>193</v>
      </c>
      <c r="L136" t="s">
        <v>812</v>
      </c>
      <c r="M136" s="10" t="s">
        <v>43</v>
      </c>
      <c r="N136" s="10" t="s">
        <v>43</v>
      </c>
      <c r="O136">
        <v>44.229199999999999</v>
      </c>
      <c r="P136">
        <v>12.440099999999999</v>
      </c>
      <c r="Q136" s="1">
        <v>1</v>
      </c>
      <c r="R136" t="str">
        <f t="shared" si="4"/>
        <v>temperate</v>
      </c>
      <c r="T136" t="s">
        <v>792</v>
      </c>
      <c r="U136" t="s">
        <v>43</v>
      </c>
      <c r="V136" t="s">
        <v>43</v>
      </c>
    </row>
    <row r="137" spans="1:22">
      <c r="A137" s="20">
        <v>189</v>
      </c>
      <c r="B137" s="20">
        <v>142</v>
      </c>
      <c r="C137" t="s">
        <v>748</v>
      </c>
      <c r="D137" t="s">
        <v>754</v>
      </c>
      <c r="E137" t="s">
        <v>194</v>
      </c>
      <c r="F137" t="s">
        <v>43</v>
      </c>
      <c r="G137" t="s">
        <v>43</v>
      </c>
      <c r="H137" t="s">
        <v>246</v>
      </c>
      <c r="I137" t="s">
        <v>43</v>
      </c>
      <c r="J137" t="s">
        <v>43</v>
      </c>
      <c r="K137" t="s">
        <v>193</v>
      </c>
      <c r="L137" t="s">
        <v>812</v>
      </c>
      <c r="M137" s="10" t="s">
        <v>43</v>
      </c>
      <c r="N137" s="10" t="s">
        <v>43</v>
      </c>
      <c r="O137">
        <v>44.677999999999997</v>
      </c>
      <c r="P137">
        <v>12.426</v>
      </c>
      <c r="Q137" s="1">
        <v>1</v>
      </c>
      <c r="R137" t="str">
        <f t="shared" si="4"/>
        <v>temperate</v>
      </c>
      <c r="T137" t="s">
        <v>792</v>
      </c>
      <c r="U137" t="s">
        <v>43</v>
      </c>
      <c r="V137" t="s">
        <v>43</v>
      </c>
    </row>
    <row r="138" spans="1:22">
      <c r="A138" s="20">
        <v>187</v>
      </c>
      <c r="B138" s="20">
        <v>143</v>
      </c>
      <c r="C138" t="s">
        <v>748</v>
      </c>
      <c r="D138" t="s">
        <v>752</v>
      </c>
      <c r="E138" t="s">
        <v>194</v>
      </c>
      <c r="F138" t="s">
        <v>43</v>
      </c>
      <c r="G138" t="s">
        <v>43</v>
      </c>
      <c r="H138" t="s">
        <v>246</v>
      </c>
      <c r="I138" t="s">
        <v>43</v>
      </c>
      <c r="J138" t="s">
        <v>43</v>
      </c>
      <c r="K138" t="s">
        <v>193</v>
      </c>
      <c r="L138" t="s">
        <v>812</v>
      </c>
      <c r="M138" s="10" t="s">
        <v>43</v>
      </c>
      <c r="N138" s="10" t="s">
        <v>43</v>
      </c>
      <c r="O138">
        <v>44.677999999999997</v>
      </c>
      <c r="P138">
        <v>12.263999999999999</v>
      </c>
      <c r="Q138" s="1">
        <v>1</v>
      </c>
      <c r="R138" t="str">
        <f t="shared" si="4"/>
        <v>temperate</v>
      </c>
      <c r="T138" t="s">
        <v>792</v>
      </c>
      <c r="U138" t="s">
        <v>43</v>
      </c>
      <c r="V138" t="s">
        <v>43</v>
      </c>
    </row>
    <row r="139" spans="1:22">
      <c r="A139" s="20">
        <v>188</v>
      </c>
      <c r="B139" s="20">
        <v>144</v>
      </c>
      <c r="C139" t="s">
        <v>748</v>
      </c>
      <c r="D139" t="s">
        <v>753</v>
      </c>
      <c r="E139" t="s">
        <v>194</v>
      </c>
      <c r="F139" t="s">
        <v>43</v>
      </c>
      <c r="G139" t="s">
        <v>43</v>
      </c>
      <c r="H139" t="s">
        <v>246</v>
      </c>
      <c r="I139" t="s">
        <v>43</v>
      </c>
      <c r="J139" t="s">
        <v>43</v>
      </c>
      <c r="K139" t="s">
        <v>193</v>
      </c>
      <c r="L139" t="s">
        <v>812</v>
      </c>
      <c r="M139" s="10" t="s">
        <v>43</v>
      </c>
      <c r="N139" s="10" t="s">
        <v>43</v>
      </c>
      <c r="O139">
        <v>44.677999999999997</v>
      </c>
      <c r="P139">
        <v>12.314</v>
      </c>
      <c r="Q139" s="1">
        <v>1</v>
      </c>
      <c r="R139" t="str">
        <f t="shared" si="4"/>
        <v>temperate</v>
      </c>
      <c r="T139" t="s">
        <v>792</v>
      </c>
      <c r="U139" t="s">
        <v>43</v>
      </c>
      <c r="V139" t="s">
        <v>43</v>
      </c>
    </row>
    <row r="140" spans="1:22">
      <c r="A140" s="20">
        <v>131</v>
      </c>
      <c r="B140" s="20">
        <v>15</v>
      </c>
      <c r="C140" s="1" t="s">
        <v>416</v>
      </c>
      <c r="D140" t="s">
        <v>421</v>
      </c>
      <c r="E140" t="s">
        <v>194</v>
      </c>
      <c r="F140" t="s">
        <v>43</v>
      </c>
      <c r="G140" t="s">
        <v>43</v>
      </c>
      <c r="H140" t="s">
        <v>246</v>
      </c>
      <c r="I140" t="s">
        <v>246</v>
      </c>
      <c r="J140" t="s">
        <v>43</v>
      </c>
      <c r="K140" t="s">
        <v>193</v>
      </c>
      <c r="L140" t="s">
        <v>812</v>
      </c>
      <c r="M140" s="10" t="s">
        <v>43</v>
      </c>
      <c r="N140" s="10" t="s">
        <v>43</v>
      </c>
      <c r="O140" s="7">
        <v>48.722999999999999</v>
      </c>
      <c r="P140" s="7">
        <v>-123.249</v>
      </c>
      <c r="Q140" s="7">
        <v>1</v>
      </c>
      <c r="R140" t="str">
        <f t="shared" si="4"/>
        <v>temperate</v>
      </c>
      <c r="T140" t="s">
        <v>792</v>
      </c>
      <c r="U140" t="s">
        <v>43</v>
      </c>
      <c r="V140" t="s">
        <v>43</v>
      </c>
    </row>
    <row r="141" spans="1:22">
      <c r="A141" s="20">
        <v>132</v>
      </c>
      <c r="B141" s="20">
        <v>23</v>
      </c>
      <c r="C141" s="1" t="s">
        <v>416</v>
      </c>
      <c r="D141" t="s">
        <v>422</v>
      </c>
      <c r="E141" t="s">
        <v>194</v>
      </c>
      <c r="F141" t="s">
        <v>43</v>
      </c>
      <c r="G141" t="s">
        <v>43</v>
      </c>
      <c r="H141" t="s">
        <v>246</v>
      </c>
      <c r="I141" t="s">
        <v>246</v>
      </c>
      <c r="J141" t="s">
        <v>43</v>
      </c>
      <c r="K141" t="s">
        <v>193</v>
      </c>
      <c r="L141" t="s">
        <v>812</v>
      </c>
      <c r="M141" s="10" t="s">
        <v>43</v>
      </c>
      <c r="N141" s="10" t="s">
        <v>43</v>
      </c>
      <c r="O141" s="7">
        <v>48.722999999999999</v>
      </c>
      <c r="P141" s="7">
        <v>-123.249</v>
      </c>
      <c r="Q141" s="7">
        <v>1</v>
      </c>
      <c r="R141" t="str">
        <f t="shared" si="4"/>
        <v>temperate</v>
      </c>
      <c r="T141" t="s">
        <v>792</v>
      </c>
      <c r="U141" t="s">
        <v>43</v>
      </c>
      <c r="V141" t="s">
        <v>43</v>
      </c>
    </row>
    <row r="142" spans="1:22">
      <c r="A142" s="20">
        <v>133</v>
      </c>
      <c r="B142" s="20">
        <v>63</v>
      </c>
      <c r="C142" s="1" t="s">
        <v>416</v>
      </c>
      <c r="D142" t="s">
        <v>423</v>
      </c>
      <c r="E142" t="s">
        <v>194</v>
      </c>
      <c r="F142" t="s">
        <v>43</v>
      </c>
      <c r="G142" t="s">
        <v>43</v>
      </c>
      <c r="H142" t="s">
        <v>246</v>
      </c>
      <c r="I142" t="s">
        <v>246</v>
      </c>
      <c r="J142" t="s">
        <v>43</v>
      </c>
      <c r="K142" t="s">
        <v>193</v>
      </c>
      <c r="L142" t="s">
        <v>812</v>
      </c>
      <c r="M142" s="10" t="s">
        <v>43</v>
      </c>
      <c r="N142" s="10" t="s">
        <v>43</v>
      </c>
      <c r="O142" s="7">
        <v>48.899000000000001</v>
      </c>
      <c r="P142" s="7">
        <v>-125.27800000000001</v>
      </c>
      <c r="Q142" s="7">
        <v>1</v>
      </c>
      <c r="R142" t="str">
        <f t="shared" si="4"/>
        <v>temperate</v>
      </c>
      <c r="T142" t="s">
        <v>792</v>
      </c>
      <c r="U142" t="s">
        <v>43</v>
      </c>
      <c r="V142" t="s">
        <v>43</v>
      </c>
    </row>
    <row r="143" spans="1:22">
      <c r="A143" s="20">
        <v>134</v>
      </c>
      <c r="B143" s="20">
        <v>150</v>
      </c>
      <c r="C143" s="1" t="s">
        <v>416</v>
      </c>
      <c r="D143" t="s">
        <v>424</v>
      </c>
      <c r="E143" t="s">
        <v>194</v>
      </c>
      <c r="F143" t="s">
        <v>43</v>
      </c>
      <c r="G143" t="s">
        <v>43</v>
      </c>
      <c r="H143" t="s">
        <v>246</v>
      </c>
      <c r="I143" t="s">
        <v>246</v>
      </c>
      <c r="J143" t="s">
        <v>43</v>
      </c>
      <c r="K143" t="s">
        <v>193</v>
      </c>
      <c r="L143" t="s">
        <v>812</v>
      </c>
      <c r="M143" s="10" t="s">
        <v>43</v>
      </c>
      <c r="N143" s="10" t="s">
        <v>43</v>
      </c>
      <c r="O143" s="7">
        <v>52.393000000000001</v>
      </c>
      <c r="P143" s="7">
        <v>-131.23099999999999</v>
      </c>
      <c r="Q143" s="7">
        <v>1</v>
      </c>
      <c r="R143" t="str">
        <f t="shared" si="4"/>
        <v>temperate</v>
      </c>
      <c r="T143" t="s">
        <v>792</v>
      </c>
      <c r="U143" t="s">
        <v>43</v>
      </c>
      <c r="V143" t="s">
        <v>43</v>
      </c>
    </row>
    <row r="144" spans="1:22">
      <c r="A144" s="20">
        <v>135</v>
      </c>
      <c r="B144" s="20">
        <v>178</v>
      </c>
      <c r="C144" s="1" t="s">
        <v>416</v>
      </c>
      <c r="D144" t="s">
        <v>425</v>
      </c>
      <c r="E144" t="s">
        <v>194</v>
      </c>
      <c r="F144" t="s">
        <v>43</v>
      </c>
      <c r="G144" t="s">
        <v>43</v>
      </c>
      <c r="H144" t="s">
        <v>246</v>
      </c>
      <c r="I144" t="s">
        <v>246</v>
      </c>
      <c r="J144" t="s">
        <v>43</v>
      </c>
      <c r="K144" t="s">
        <v>193</v>
      </c>
      <c r="L144" t="s">
        <v>812</v>
      </c>
      <c r="M144" s="10" t="s">
        <v>43</v>
      </c>
      <c r="N144" s="10" t="s">
        <v>43</v>
      </c>
      <c r="O144" s="7">
        <v>48.899000000000001</v>
      </c>
      <c r="P144" s="7">
        <v>-125.27800000000001</v>
      </c>
      <c r="Q144" s="7">
        <v>1</v>
      </c>
      <c r="R144" t="str">
        <f t="shared" si="4"/>
        <v>temperate</v>
      </c>
      <c r="T144" t="s">
        <v>792</v>
      </c>
      <c r="U144" t="s">
        <v>43</v>
      </c>
      <c r="V144" t="s">
        <v>43</v>
      </c>
    </row>
    <row r="145" spans="1:23">
      <c r="A145" s="20">
        <v>66</v>
      </c>
      <c r="B145" s="20">
        <v>1</v>
      </c>
      <c r="C145" t="s">
        <v>9</v>
      </c>
      <c r="D145" t="s">
        <v>104</v>
      </c>
      <c r="E145" t="s">
        <v>194</v>
      </c>
      <c r="F145" t="s">
        <v>43</v>
      </c>
      <c r="G145" s="8" t="s">
        <v>43</v>
      </c>
      <c r="H145" t="s">
        <v>246</v>
      </c>
      <c r="I145" t="s">
        <v>246</v>
      </c>
      <c r="J145" t="s">
        <v>43</v>
      </c>
      <c r="K145" t="s">
        <v>193</v>
      </c>
      <c r="L145" t="s">
        <v>812</v>
      </c>
      <c r="M145" s="10" t="s">
        <v>43</v>
      </c>
      <c r="N145" s="10" t="s">
        <v>43</v>
      </c>
      <c r="O145">
        <v>34.400275000000001</v>
      </c>
      <c r="P145">
        <v>-119.7445915</v>
      </c>
      <c r="Q145" s="1">
        <v>1</v>
      </c>
      <c r="R145" t="str">
        <f t="shared" si="4"/>
        <v>subtropical</v>
      </c>
      <c r="T145" t="str">
        <f t="shared" ref="T145:T159" si="5">IF(F145 = "MPA", "1_protected", "2_unprotected")</f>
        <v>2_unprotected</v>
      </c>
      <c r="U145" t="s">
        <v>43</v>
      </c>
      <c r="V145" t="s">
        <v>43</v>
      </c>
      <c r="W145">
        <f>AVERAGE(5.4, 7.4)</f>
        <v>6.4</v>
      </c>
    </row>
    <row r="146" spans="1:23">
      <c r="A146" s="20">
        <v>67</v>
      </c>
      <c r="B146" s="20">
        <v>2</v>
      </c>
      <c r="C146" t="s">
        <v>9</v>
      </c>
      <c r="D146" t="s">
        <v>105</v>
      </c>
      <c r="E146" t="s">
        <v>194</v>
      </c>
      <c r="F146" t="s">
        <v>43</v>
      </c>
      <c r="G146" s="8" t="s">
        <v>43</v>
      </c>
      <c r="H146" t="s">
        <v>246</v>
      </c>
      <c r="I146" t="s">
        <v>246</v>
      </c>
      <c r="J146" t="s">
        <v>43</v>
      </c>
      <c r="K146" t="s">
        <v>193</v>
      </c>
      <c r="L146" t="s">
        <v>812</v>
      </c>
      <c r="M146" s="10" t="s">
        <v>43</v>
      </c>
      <c r="N146" s="10" t="s">
        <v>43</v>
      </c>
      <c r="O146">
        <v>34.471817000000001</v>
      </c>
      <c r="P146">
        <v>-120.1426165</v>
      </c>
      <c r="Q146" s="1">
        <v>1</v>
      </c>
      <c r="R146" t="str">
        <f t="shared" si="4"/>
        <v>subtropical</v>
      </c>
      <c r="T146" t="str">
        <f t="shared" si="5"/>
        <v>2_unprotected</v>
      </c>
      <c r="U146" t="s">
        <v>43</v>
      </c>
      <c r="V146" t="s">
        <v>43</v>
      </c>
      <c r="W146">
        <f>AVERAGE(4.3, 6.6)</f>
        <v>5.4499999999999993</v>
      </c>
    </row>
    <row r="147" spans="1:23">
      <c r="A147" s="20">
        <v>68</v>
      </c>
      <c r="B147" s="20">
        <v>3</v>
      </c>
      <c r="C147" t="s">
        <v>9</v>
      </c>
      <c r="D147" t="s">
        <v>106</v>
      </c>
      <c r="E147" t="s">
        <v>194</v>
      </c>
      <c r="F147" t="s">
        <v>43</v>
      </c>
      <c r="G147" s="8" t="s">
        <v>43</v>
      </c>
      <c r="H147" t="s">
        <v>246</v>
      </c>
      <c r="I147" t="s">
        <v>246</v>
      </c>
      <c r="J147" t="s">
        <v>43</v>
      </c>
      <c r="K147" t="s">
        <v>193</v>
      </c>
      <c r="L147" t="s">
        <v>812</v>
      </c>
      <c r="M147" s="10" t="s">
        <v>43</v>
      </c>
      <c r="N147" s="10" t="s">
        <v>43</v>
      </c>
      <c r="O147">
        <v>34.46774988</v>
      </c>
      <c r="P147">
        <v>-120.11905</v>
      </c>
      <c r="Q147" s="1">
        <v>1</v>
      </c>
      <c r="R147" t="str">
        <f t="shared" si="4"/>
        <v>subtropical</v>
      </c>
      <c r="T147" t="str">
        <f t="shared" si="5"/>
        <v>2_unprotected</v>
      </c>
      <c r="U147" t="s">
        <v>43</v>
      </c>
      <c r="V147" t="s">
        <v>43</v>
      </c>
      <c r="W147">
        <f>AVERAGE(5.4, 10.7)</f>
        <v>8.0500000000000007</v>
      </c>
    </row>
    <row r="148" spans="1:23">
      <c r="A148" s="20">
        <v>69</v>
      </c>
      <c r="B148" s="20">
        <v>17</v>
      </c>
      <c r="C148" t="s">
        <v>9</v>
      </c>
      <c r="D148" t="s">
        <v>111</v>
      </c>
      <c r="E148" t="s">
        <v>194</v>
      </c>
      <c r="F148" t="s">
        <v>43</v>
      </c>
      <c r="G148" s="8" t="s">
        <v>43</v>
      </c>
      <c r="H148" t="s">
        <v>246</v>
      </c>
      <c r="I148" t="s">
        <v>246</v>
      </c>
      <c r="J148" t="s">
        <v>43</v>
      </c>
      <c r="K148" t="s">
        <v>193</v>
      </c>
      <c r="L148" t="s">
        <v>812</v>
      </c>
      <c r="M148" s="10" t="s">
        <v>43</v>
      </c>
      <c r="N148" s="10" t="s">
        <v>43</v>
      </c>
      <c r="O148">
        <v>34.458505330000001</v>
      </c>
      <c r="P148">
        <v>-120.33349</v>
      </c>
      <c r="Q148" s="1">
        <v>1</v>
      </c>
      <c r="R148" t="str">
        <f t="shared" si="4"/>
        <v>subtropical</v>
      </c>
      <c r="T148" t="str">
        <f t="shared" si="5"/>
        <v>2_unprotected</v>
      </c>
      <c r="U148" t="s">
        <v>43</v>
      </c>
      <c r="V148" t="s">
        <v>43</v>
      </c>
      <c r="W148">
        <f>AVERAGE(5.5, 7.3)</f>
        <v>6.4</v>
      </c>
    </row>
    <row r="149" spans="1:23">
      <c r="A149" s="20">
        <v>70</v>
      </c>
      <c r="B149" s="20">
        <v>25</v>
      </c>
      <c r="C149" t="s">
        <v>9</v>
      </c>
      <c r="D149" t="s">
        <v>113</v>
      </c>
      <c r="E149" t="s">
        <v>194</v>
      </c>
      <c r="F149" t="s">
        <v>43</v>
      </c>
      <c r="G149" s="8" t="s">
        <v>43</v>
      </c>
      <c r="H149" t="s">
        <v>246</v>
      </c>
      <c r="I149" t="s">
        <v>246</v>
      </c>
      <c r="J149" t="s">
        <v>43</v>
      </c>
      <c r="K149" t="s">
        <v>193</v>
      </c>
      <c r="L149" t="s">
        <v>812</v>
      </c>
      <c r="M149" s="10" t="s">
        <v>43</v>
      </c>
      <c r="N149" s="10" t="s">
        <v>43</v>
      </c>
      <c r="O149">
        <v>34.3916319</v>
      </c>
      <c r="P149">
        <v>-119.54169330000001</v>
      </c>
      <c r="Q149" s="1">
        <v>1</v>
      </c>
      <c r="R149" t="str">
        <f t="shared" si="4"/>
        <v>subtropical</v>
      </c>
      <c r="T149" t="str">
        <f t="shared" si="5"/>
        <v>2_unprotected</v>
      </c>
      <c r="U149" t="s">
        <v>43</v>
      </c>
      <c r="V149" t="s">
        <v>43</v>
      </c>
      <c r="W149">
        <f>AVERAGE(2.2, 8.8)</f>
        <v>5.5</v>
      </c>
    </row>
    <row r="150" spans="1:23">
      <c r="A150" s="20">
        <v>71</v>
      </c>
      <c r="B150" s="20">
        <v>57</v>
      </c>
      <c r="C150" t="s">
        <v>9</v>
      </c>
      <c r="D150" t="s">
        <v>121</v>
      </c>
      <c r="E150" t="s">
        <v>194</v>
      </c>
      <c r="F150" t="s">
        <v>43</v>
      </c>
      <c r="G150" s="8" t="s">
        <v>43</v>
      </c>
      <c r="H150" t="s">
        <v>246</v>
      </c>
      <c r="I150" t="s">
        <v>246</v>
      </c>
      <c r="J150" t="s">
        <v>43</v>
      </c>
      <c r="K150" t="s">
        <v>193</v>
      </c>
      <c r="L150" t="s">
        <v>812</v>
      </c>
      <c r="M150" s="10" t="s">
        <v>43</v>
      </c>
      <c r="N150" s="10" t="s">
        <v>43</v>
      </c>
      <c r="O150">
        <v>34.4137165</v>
      </c>
      <c r="P150">
        <v>-119.9221</v>
      </c>
      <c r="Q150" s="1">
        <v>1</v>
      </c>
      <c r="R150" t="str">
        <f t="shared" si="4"/>
        <v>subtropical</v>
      </c>
      <c r="T150" t="str">
        <f t="shared" si="5"/>
        <v>2_unprotected</v>
      </c>
      <c r="U150" t="s">
        <v>43</v>
      </c>
      <c r="V150" t="s">
        <v>43</v>
      </c>
      <c r="W150" t="s">
        <v>43</v>
      </c>
    </row>
    <row r="151" spans="1:23">
      <c r="A151" s="20">
        <v>72</v>
      </c>
      <c r="B151" s="20">
        <v>70</v>
      </c>
      <c r="C151" t="s">
        <v>9</v>
      </c>
      <c r="D151" t="s">
        <v>123</v>
      </c>
      <c r="E151" t="s">
        <v>194</v>
      </c>
      <c r="F151" t="s">
        <v>43</v>
      </c>
      <c r="G151" s="8" t="s">
        <v>43</v>
      </c>
      <c r="H151" t="s">
        <v>246</v>
      </c>
      <c r="I151" t="s">
        <v>246</v>
      </c>
      <c r="J151" t="s">
        <v>43</v>
      </c>
      <c r="K151" t="s">
        <v>193</v>
      </c>
      <c r="L151" t="s">
        <v>812</v>
      </c>
      <c r="M151" s="10" t="s">
        <v>43</v>
      </c>
      <c r="N151" s="10" t="s">
        <v>43</v>
      </c>
      <c r="O151">
        <v>34.402782999999999</v>
      </c>
      <c r="P151">
        <v>-119.85755</v>
      </c>
      <c r="Q151" s="1">
        <v>1</v>
      </c>
      <c r="R151" t="str">
        <f t="shared" si="4"/>
        <v>subtropical</v>
      </c>
      <c r="T151" t="str">
        <f t="shared" si="5"/>
        <v>2_unprotected</v>
      </c>
      <c r="U151" t="s">
        <v>43</v>
      </c>
      <c r="V151" t="s">
        <v>43</v>
      </c>
      <c r="W151">
        <f>AVERAGE(8.2, 8.8)</f>
        <v>8.5</v>
      </c>
    </row>
    <row r="152" spans="1:23">
      <c r="A152" s="20">
        <v>73</v>
      </c>
      <c r="B152" s="20">
        <v>120</v>
      </c>
      <c r="C152" t="s">
        <v>9</v>
      </c>
      <c r="D152" t="s">
        <v>164</v>
      </c>
      <c r="E152" t="s">
        <v>194</v>
      </c>
      <c r="F152" t="s">
        <v>43</v>
      </c>
      <c r="G152" s="8" t="s">
        <v>43</v>
      </c>
      <c r="H152" t="s">
        <v>246</v>
      </c>
      <c r="I152" t="s">
        <v>246</v>
      </c>
      <c r="J152" t="s">
        <v>43</v>
      </c>
      <c r="K152" t="s">
        <v>193</v>
      </c>
      <c r="L152" t="s">
        <v>812</v>
      </c>
      <c r="M152" s="10" t="s">
        <v>43</v>
      </c>
      <c r="N152" s="10" t="s">
        <v>43</v>
      </c>
      <c r="O152">
        <v>34.394070800000001</v>
      </c>
      <c r="P152">
        <v>-119.72957</v>
      </c>
      <c r="Q152" s="1">
        <v>1</v>
      </c>
      <c r="R152" t="str">
        <f t="shared" si="4"/>
        <v>subtropical</v>
      </c>
      <c r="T152" t="str">
        <f t="shared" si="5"/>
        <v>2_unprotected</v>
      </c>
      <c r="U152" t="s">
        <v>43</v>
      </c>
      <c r="V152" t="s">
        <v>43</v>
      </c>
      <c r="W152">
        <f>AVERAGE(4.5, 6)</f>
        <v>5.25</v>
      </c>
    </row>
    <row r="153" spans="1:23">
      <c r="A153" s="20">
        <v>74</v>
      </c>
      <c r="B153" s="20">
        <v>122</v>
      </c>
      <c r="C153" t="s">
        <v>9</v>
      </c>
      <c r="D153" t="s">
        <v>165</v>
      </c>
      <c r="E153" t="s">
        <v>194</v>
      </c>
      <c r="F153" t="s">
        <v>43</v>
      </c>
      <c r="G153" s="8" t="s">
        <v>43</v>
      </c>
      <c r="H153" t="s">
        <v>246</v>
      </c>
      <c r="I153" t="s">
        <v>246</v>
      </c>
      <c r="J153" t="s">
        <v>43</v>
      </c>
      <c r="K153" t="s">
        <v>193</v>
      </c>
      <c r="L153" t="s">
        <v>812</v>
      </c>
      <c r="M153" s="10" t="s">
        <v>43</v>
      </c>
      <c r="N153" s="10" t="s">
        <v>43</v>
      </c>
      <c r="O153">
        <v>34.422121599999997</v>
      </c>
      <c r="P153">
        <v>-119.95153999999999</v>
      </c>
      <c r="Q153" s="1">
        <v>1</v>
      </c>
      <c r="R153" t="str">
        <f t="shared" si="4"/>
        <v>subtropical</v>
      </c>
      <c r="T153" t="str">
        <f t="shared" si="5"/>
        <v>2_unprotected</v>
      </c>
      <c r="U153" t="s">
        <v>43</v>
      </c>
      <c r="V153" t="s">
        <v>43</v>
      </c>
      <c r="W153">
        <f>AVERAGE(5.9, 13.4)</f>
        <v>9.65</v>
      </c>
    </row>
    <row r="154" spans="1:23">
      <c r="A154" s="20">
        <v>75</v>
      </c>
      <c r="B154" s="20">
        <v>158</v>
      </c>
      <c r="C154" t="s">
        <v>9</v>
      </c>
      <c r="D154" t="s">
        <v>178</v>
      </c>
      <c r="E154" t="s">
        <v>194</v>
      </c>
      <c r="F154" t="s">
        <v>43</v>
      </c>
      <c r="G154" s="8" t="s">
        <v>43</v>
      </c>
      <c r="H154" t="s">
        <v>246</v>
      </c>
      <c r="I154" t="s">
        <v>246</v>
      </c>
      <c r="J154" t="s">
        <v>43</v>
      </c>
      <c r="K154" t="s">
        <v>193</v>
      </c>
      <c r="L154" t="s">
        <v>812</v>
      </c>
      <c r="M154" s="10" t="s">
        <v>43</v>
      </c>
      <c r="N154" s="10" t="s">
        <v>43</v>
      </c>
      <c r="O154">
        <v>34.05865</v>
      </c>
      <c r="P154">
        <v>-119.75763000000001</v>
      </c>
      <c r="Q154" s="1">
        <v>1</v>
      </c>
      <c r="R154" t="str">
        <f t="shared" si="4"/>
        <v>subtropical</v>
      </c>
      <c r="T154" t="str">
        <f t="shared" si="5"/>
        <v>2_unprotected</v>
      </c>
      <c r="U154" t="s">
        <v>43</v>
      </c>
      <c r="V154" t="s">
        <v>43</v>
      </c>
      <c r="W154" t="s">
        <v>43</v>
      </c>
    </row>
    <row r="155" spans="1:23">
      <c r="A155" s="20">
        <v>76</v>
      </c>
      <c r="B155" s="20">
        <v>160</v>
      </c>
      <c r="C155" t="s">
        <v>9</v>
      </c>
      <c r="D155" t="s">
        <v>179</v>
      </c>
      <c r="E155" t="s">
        <v>194</v>
      </c>
      <c r="F155" t="s">
        <v>43</v>
      </c>
      <c r="G155" s="8" t="s">
        <v>43</v>
      </c>
      <c r="H155" t="s">
        <v>246</v>
      </c>
      <c r="I155" t="s">
        <v>246</v>
      </c>
      <c r="J155" t="s">
        <v>43</v>
      </c>
      <c r="K155" t="s">
        <v>193</v>
      </c>
      <c r="L155" t="s">
        <v>812</v>
      </c>
      <c r="M155" s="10" t="s">
        <v>43</v>
      </c>
      <c r="N155" s="10" t="s">
        <v>43</v>
      </c>
      <c r="O155">
        <v>34.044433499999997</v>
      </c>
      <c r="P155">
        <v>-119.71513</v>
      </c>
      <c r="Q155" s="1">
        <v>1</v>
      </c>
      <c r="R155" t="str">
        <f t="shared" si="4"/>
        <v>subtropical</v>
      </c>
      <c r="T155" t="str">
        <f t="shared" si="5"/>
        <v>2_unprotected</v>
      </c>
      <c r="U155" t="s">
        <v>43</v>
      </c>
      <c r="V155" t="s">
        <v>43</v>
      </c>
      <c r="W155" t="s">
        <v>43</v>
      </c>
    </row>
    <row r="156" spans="1:23">
      <c r="A156" s="20">
        <v>77</v>
      </c>
      <c r="B156" s="20">
        <v>5</v>
      </c>
      <c r="C156" t="s">
        <v>10</v>
      </c>
      <c r="D156" t="s">
        <v>107</v>
      </c>
      <c r="E156" t="s">
        <v>191</v>
      </c>
      <c r="F156" t="s">
        <v>206</v>
      </c>
      <c r="G156" t="s">
        <v>43</v>
      </c>
      <c r="H156" t="s">
        <v>676</v>
      </c>
      <c r="I156" t="s">
        <v>244</v>
      </c>
      <c r="J156" t="s">
        <v>193</v>
      </c>
      <c r="K156" t="s">
        <v>193</v>
      </c>
      <c r="L156" t="s">
        <v>193</v>
      </c>
      <c r="M156" s="10">
        <v>33239</v>
      </c>
      <c r="N156" s="10" t="s">
        <v>43</v>
      </c>
      <c r="O156">
        <v>42.9</v>
      </c>
      <c r="P156">
        <v>-70.793000000000006</v>
      </c>
      <c r="Q156" s="1">
        <v>1</v>
      </c>
      <c r="R156" t="str">
        <f t="shared" si="4"/>
        <v>temperate</v>
      </c>
      <c r="T156" t="str">
        <f t="shared" si="5"/>
        <v>2_unprotected</v>
      </c>
      <c r="U156" t="s">
        <v>43</v>
      </c>
      <c r="V156" t="s">
        <v>43</v>
      </c>
    </row>
    <row r="157" spans="1:23">
      <c r="A157" s="20">
        <v>78</v>
      </c>
      <c r="B157" s="20">
        <v>6</v>
      </c>
      <c r="C157" t="s">
        <v>10</v>
      </c>
      <c r="D157" t="s">
        <v>108</v>
      </c>
      <c r="E157" t="s">
        <v>191</v>
      </c>
      <c r="F157" t="s">
        <v>206</v>
      </c>
      <c r="G157" t="s">
        <v>43</v>
      </c>
      <c r="H157" t="s">
        <v>677</v>
      </c>
      <c r="I157" t="s">
        <v>244</v>
      </c>
      <c r="J157" t="s">
        <v>192</v>
      </c>
      <c r="K157" t="s">
        <v>192</v>
      </c>
      <c r="L157" t="s">
        <v>192</v>
      </c>
      <c r="M157" s="10">
        <v>33239</v>
      </c>
      <c r="N157" s="10" t="s">
        <v>43</v>
      </c>
      <c r="O157">
        <v>42.892000000000003</v>
      </c>
      <c r="P157">
        <v>-70.787999999999997</v>
      </c>
      <c r="Q157" s="1">
        <v>1</v>
      </c>
      <c r="R157" t="str">
        <f t="shared" si="4"/>
        <v>temperate</v>
      </c>
      <c r="T157" t="str">
        <f t="shared" si="5"/>
        <v>2_unprotected</v>
      </c>
      <c r="U157" t="s">
        <v>43</v>
      </c>
      <c r="V157" t="s">
        <v>43</v>
      </c>
    </row>
    <row r="158" spans="1:23">
      <c r="A158" s="20">
        <v>79</v>
      </c>
      <c r="B158" s="20">
        <v>7</v>
      </c>
      <c r="C158" t="s">
        <v>10</v>
      </c>
      <c r="D158" t="s">
        <v>109</v>
      </c>
      <c r="E158" t="s">
        <v>194</v>
      </c>
      <c r="F158" t="s">
        <v>43</v>
      </c>
      <c r="G158" t="s">
        <v>43</v>
      </c>
      <c r="H158" t="s">
        <v>246</v>
      </c>
      <c r="I158" t="s">
        <v>246</v>
      </c>
      <c r="J158" t="s">
        <v>43</v>
      </c>
      <c r="K158" t="s">
        <v>193</v>
      </c>
      <c r="L158" t="s">
        <v>812</v>
      </c>
      <c r="M158" s="10" t="s">
        <v>43</v>
      </c>
      <c r="N158" s="10" t="s">
        <v>43</v>
      </c>
      <c r="O158">
        <v>42.970999999999997</v>
      </c>
      <c r="P158">
        <v>-70.753</v>
      </c>
      <c r="Q158" s="1">
        <v>1</v>
      </c>
      <c r="R158" t="str">
        <f t="shared" si="4"/>
        <v>temperate</v>
      </c>
      <c r="T158" t="str">
        <f t="shared" si="5"/>
        <v>2_unprotected</v>
      </c>
      <c r="U158" t="s">
        <v>43</v>
      </c>
      <c r="V158" t="s">
        <v>43</v>
      </c>
    </row>
    <row r="159" spans="1:23">
      <c r="A159" s="20">
        <v>80</v>
      </c>
      <c r="B159" s="20">
        <v>8</v>
      </c>
      <c r="C159" t="s">
        <v>10</v>
      </c>
      <c r="D159" t="s">
        <v>110</v>
      </c>
      <c r="E159" t="s">
        <v>194</v>
      </c>
      <c r="F159" t="s">
        <v>43</v>
      </c>
      <c r="G159" t="s">
        <v>43</v>
      </c>
      <c r="H159" t="s">
        <v>246</v>
      </c>
      <c r="I159" t="s">
        <v>246</v>
      </c>
      <c r="J159" t="s">
        <v>43</v>
      </c>
      <c r="K159" t="s">
        <v>193</v>
      </c>
      <c r="L159" t="s">
        <v>812</v>
      </c>
      <c r="M159" s="10" t="s">
        <v>43</v>
      </c>
      <c r="N159" s="10" t="s">
        <v>43</v>
      </c>
      <c r="O159">
        <v>42.96</v>
      </c>
      <c r="P159">
        <v>-70.769000000000005</v>
      </c>
      <c r="Q159" s="1">
        <v>1</v>
      </c>
      <c r="R159" t="str">
        <f t="shared" si="4"/>
        <v>temperate</v>
      </c>
      <c r="T159" t="str">
        <f t="shared" si="5"/>
        <v>2_unprotected</v>
      </c>
      <c r="U159" t="s">
        <v>43</v>
      </c>
      <c r="V159" t="s">
        <v>43</v>
      </c>
    </row>
    <row r="160" spans="1:23">
      <c r="A160" s="20">
        <v>171</v>
      </c>
      <c r="B160" s="20">
        <v>40</v>
      </c>
      <c r="C160" s="1" t="s">
        <v>656</v>
      </c>
      <c r="D160" t="s">
        <v>660</v>
      </c>
      <c r="E160" t="s">
        <v>194</v>
      </c>
      <c r="F160" t="s">
        <v>43</v>
      </c>
      <c r="G160" t="s">
        <v>43</v>
      </c>
      <c r="H160" t="s">
        <v>246</v>
      </c>
      <c r="I160" t="s">
        <v>43</v>
      </c>
      <c r="J160" t="s">
        <v>43</v>
      </c>
      <c r="K160" t="s">
        <v>193</v>
      </c>
      <c r="L160" t="s">
        <v>812</v>
      </c>
      <c r="M160" s="10" t="s">
        <v>43</v>
      </c>
      <c r="N160" s="10" t="s">
        <v>43</v>
      </c>
      <c r="O160">
        <v>42.420954000000002</v>
      </c>
      <c r="P160">
        <v>-70.904486000000006</v>
      </c>
      <c r="Q160" s="1">
        <v>1</v>
      </c>
      <c r="R160" t="str">
        <f t="shared" si="4"/>
        <v>temperate</v>
      </c>
      <c r="T160" t="s">
        <v>792</v>
      </c>
      <c r="U160" t="s">
        <v>43</v>
      </c>
      <c r="V160" t="s">
        <v>43</v>
      </c>
    </row>
    <row r="161" spans="1:22">
      <c r="A161" s="20">
        <v>172</v>
      </c>
      <c r="B161" s="20">
        <v>65</v>
      </c>
      <c r="C161" s="1" t="s">
        <v>656</v>
      </c>
      <c r="D161" t="s">
        <v>661</v>
      </c>
      <c r="E161" t="s">
        <v>194</v>
      </c>
      <c r="F161" t="s">
        <v>43</v>
      </c>
      <c r="G161" t="s">
        <v>43</v>
      </c>
      <c r="H161" t="s">
        <v>246</v>
      </c>
      <c r="I161" t="s">
        <v>43</v>
      </c>
      <c r="J161" t="s">
        <v>43</v>
      </c>
      <c r="K161" t="s">
        <v>193</v>
      </c>
      <c r="L161" t="s">
        <v>812</v>
      </c>
      <c r="M161" s="10" t="s">
        <v>43</v>
      </c>
      <c r="N161" s="10" t="s">
        <v>43</v>
      </c>
      <c r="O161">
        <v>42.502203000000002</v>
      </c>
      <c r="P161">
        <v>-70.774596000000003</v>
      </c>
      <c r="Q161" s="1">
        <v>1</v>
      </c>
      <c r="R161" t="str">
        <f t="shared" si="4"/>
        <v>temperate</v>
      </c>
      <c r="T161" t="s">
        <v>792</v>
      </c>
      <c r="U161" t="s">
        <v>43</v>
      </c>
      <c r="V161" t="s">
        <v>43</v>
      </c>
    </row>
    <row r="162" spans="1:22">
      <c r="A162" s="20">
        <v>173</v>
      </c>
      <c r="B162" s="20">
        <v>66</v>
      </c>
      <c r="C162" s="1" t="s">
        <v>656</v>
      </c>
      <c r="D162" t="s">
        <v>662</v>
      </c>
      <c r="E162" t="s">
        <v>194</v>
      </c>
      <c r="F162" t="s">
        <v>43</v>
      </c>
      <c r="G162" t="s">
        <v>43</v>
      </c>
      <c r="H162" t="s">
        <v>246</v>
      </c>
      <c r="I162" t="s">
        <v>43</v>
      </c>
      <c r="J162" t="s">
        <v>43</v>
      </c>
      <c r="K162" t="s">
        <v>193</v>
      </c>
      <c r="L162" t="s">
        <v>812</v>
      </c>
      <c r="M162" s="10" t="s">
        <v>43</v>
      </c>
      <c r="N162" s="10" t="s">
        <v>43</v>
      </c>
      <c r="O162">
        <v>42.502201999999997</v>
      </c>
      <c r="P162">
        <v>-70.775087999999997</v>
      </c>
      <c r="Q162" s="1">
        <v>1</v>
      </c>
      <c r="R162" t="str">
        <f t="shared" si="4"/>
        <v>temperate</v>
      </c>
      <c r="T162" t="s">
        <v>792</v>
      </c>
      <c r="U162" t="s">
        <v>43</v>
      </c>
      <c r="V162" t="s">
        <v>43</v>
      </c>
    </row>
    <row r="163" spans="1:22">
      <c r="A163" s="20">
        <v>174</v>
      </c>
      <c r="B163" s="20">
        <v>163</v>
      </c>
      <c r="C163" s="1" t="s">
        <v>656</v>
      </c>
      <c r="D163" t="s">
        <v>663</v>
      </c>
      <c r="E163" t="s">
        <v>194</v>
      </c>
      <c r="F163" t="s">
        <v>43</v>
      </c>
      <c r="G163" t="s">
        <v>43</v>
      </c>
      <c r="H163" t="s">
        <v>246</v>
      </c>
      <c r="I163" t="s">
        <v>43</v>
      </c>
      <c r="J163" t="s">
        <v>43</v>
      </c>
      <c r="K163" t="s">
        <v>193</v>
      </c>
      <c r="L163" t="s">
        <v>812</v>
      </c>
      <c r="M163" s="10" t="s">
        <v>43</v>
      </c>
      <c r="N163" s="10" t="s">
        <v>43</v>
      </c>
      <c r="O163">
        <v>42.414741999999997</v>
      </c>
      <c r="P163">
        <v>-70.905682999999996</v>
      </c>
      <c r="Q163" s="1">
        <v>1</v>
      </c>
      <c r="R163" t="str">
        <f t="shared" si="4"/>
        <v>temperate</v>
      </c>
      <c r="T163" t="s">
        <v>792</v>
      </c>
      <c r="U163" t="s">
        <v>43</v>
      </c>
      <c r="V163" t="s">
        <v>43</v>
      </c>
    </row>
    <row r="164" spans="1:22">
      <c r="A164" s="20">
        <v>175</v>
      </c>
      <c r="B164" s="20">
        <v>164</v>
      </c>
      <c r="C164" s="1" t="s">
        <v>656</v>
      </c>
      <c r="D164" t="s">
        <v>664</v>
      </c>
      <c r="E164" t="s">
        <v>194</v>
      </c>
      <c r="F164" t="s">
        <v>43</v>
      </c>
      <c r="G164" t="s">
        <v>43</v>
      </c>
      <c r="H164" t="s">
        <v>246</v>
      </c>
      <c r="I164" t="s">
        <v>43</v>
      </c>
      <c r="J164" t="s">
        <v>43</v>
      </c>
      <c r="K164" t="s">
        <v>193</v>
      </c>
      <c r="L164" t="s">
        <v>812</v>
      </c>
      <c r="M164" s="10" t="s">
        <v>43</v>
      </c>
      <c r="N164" s="10" t="s">
        <v>43</v>
      </c>
      <c r="O164">
        <v>42.414884999999998</v>
      </c>
      <c r="P164">
        <v>-70.905210999999994</v>
      </c>
      <c r="Q164" s="1">
        <v>1</v>
      </c>
      <c r="R164" t="str">
        <f t="shared" si="4"/>
        <v>temperate</v>
      </c>
      <c r="T164" t="s">
        <v>792</v>
      </c>
      <c r="U164" t="s">
        <v>43</v>
      </c>
      <c r="V164" t="s">
        <v>43</v>
      </c>
    </row>
    <row r="165" spans="1:22">
      <c r="A165" s="20">
        <v>136</v>
      </c>
      <c r="B165" s="20">
        <v>37</v>
      </c>
      <c r="C165" s="1" t="s">
        <v>426</v>
      </c>
      <c r="D165" t="s">
        <v>432</v>
      </c>
      <c r="E165" t="s">
        <v>194</v>
      </c>
      <c r="F165" t="s">
        <v>43</v>
      </c>
      <c r="G165" t="s">
        <v>43</v>
      </c>
      <c r="H165" t="s">
        <v>246</v>
      </c>
      <c r="I165" t="s">
        <v>246</v>
      </c>
      <c r="J165" t="s">
        <v>43</v>
      </c>
      <c r="K165" t="s">
        <v>193</v>
      </c>
      <c r="L165" t="s">
        <v>812</v>
      </c>
      <c r="M165" s="10" t="s">
        <v>43</v>
      </c>
      <c r="N165" s="10" t="s">
        <v>43</v>
      </c>
      <c r="O165">
        <v>-19.273</v>
      </c>
      <c r="P165">
        <v>146.78700000000001</v>
      </c>
      <c r="Q165">
        <v>1</v>
      </c>
      <c r="R165" t="str">
        <f t="shared" si="4"/>
        <v>tropical</v>
      </c>
      <c r="T165" t="s">
        <v>793</v>
      </c>
      <c r="U165" t="s">
        <v>43</v>
      </c>
      <c r="V165" t="s">
        <v>43</v>
      </c>
    </row>
    <row r="166" spans="1:22">
      <c r="A166" s="20">
        <v>137</v>
      </c>
      <c r="B166" s="20">
        <v>73</v>
      </c>
      <c r="C166" s="1" t="s">
        <v>426</v>
      </c>
      <c r="D166" t="s">
        <v>433</v>
      </c>
      <c r="E166" t="s">
        <v>194</v>
      </c>
      <c r="F166" t="s">
        <v>43</v>
      </c>
      <c r="G166" t="s">
        <v>43</v>
      </c>
      <c r="H166" t="s">
        <v>246</v>
      </c>
      <c r="I166" t="s">
        <v>246</v>
      </c>
      <c r="J166" t="s">
        <v>43</v>
      </c>
      <c r="K166" t="s">
        <v>193</v>
      </c>
      <c r="L166" t="s">
        <v>812</v>
      </c>
      <c r="M166" s="10" t="s">
        <v>43</v>
      </c>
      <c r="N166" s="10" t="s">
        <v>43</v>
      </c>
      <c r="O166">
        <v>-19.268999999999998</v>
      </c>
      <c r="P166">
        <v>146.78800000000001</v>
      </c>
      <c r="Q166">
        <v>1</v>
      </c>
      <c r="R166" t="str">
        <f t="shared" si="4"/>
        <v>tropical</v>
      </c>
      <c r="T166" t="s">
        <v>793</v>
      </c>
      <c r="U166" t="s">
        <v>43</v>
      </c>
      <c r="V166" t="s">
        <v>43</v>
      </c>
    </row>
    <row r="167" spans="1:22">
      <c r="A167" s="20">
        <v>138</v>
      </c>
      <c r="B167" s="20">
        <v>154</v>
      </c>
      <c r="C167" s="1" t="s">
        <v>434</v>
      </c>
      <c r="D167" t="s">
        <v>440</v>
      </c>
      <c r="E167" t="s">
        <v>194</v>
      </c>
      <c r="F167" t="s">
        <v>43</v>
      </c>
      <c r="G167" t="s">
        <v>43</v>
      </c>
      <c r="H167" t="s">
        <v>246</v>
      </c>
      <c r="I167" t="s">
        <v>246</v>
      </c>
      <c r="J167" t="s">
        <v>43</v>
      </c>
      <c r="K167" t="s">
        <v>193</v>
      </c>
      <c r="L167" t="s">
        <v>812</v>
      </c>
      <c r="M167" s="10" t="s">
        <v>43</v>
      </c>
      <c r="N167" s="10" t="s">
        <v>43</v>
      </c>
      <c r="O167" s="1">
        <v>35</v>
      </c>
      <c r="P167" s="1">
        <v>139.35</v>
      </c>
      <c r="Q167">
        <v>1</v>
      </c>
      <c r="R167" t="str">
        <f t="shared" si="4"/>
        <v>subtropical</v>
      </c>
      <c r="T167" t="s">
        <v>792</v>
      </c>
      <c r="U167" t="s">
        <v>43</v>
      </c>
      <c r="V167" t="s">
        <v>43</v>
      </c>
    </row>
    <row r="168" spans="1:22">
      <c r="A168" s="20">
        <v>199</v>
      </c>
      <c r="B168" s="20">
        <v>26</v>
      </c>
      <c r="C168" t="s">
        <v>779</v>
      </c>
      <c r="D168" t="s">
        <v>786</v>
      </c>
      <c r="E168" t="s">
        <v>194</v>
      </c>
      <c r="F168" t="s">
        <v>43</v>
      </c>
      <c r="G168" t="s">
        <v>43</v>
      </c>
      <c r="H168" t="s">
        <v>246</v>
      </c>
      <c r="I168" t="s">
        <v>43</v>
      </c>
      <c r="J168" t="s">
        <v>43</v>
      </c>
      <c r="K168" t="s">
        <v>193</v>
      </c>
      <c r="L168" t="s">
        <v>812</v>
      </c>
      <c r="M168" s="10" t="s">
        <v>43</v>
      </c>
      <c r="N168" s="10" t="s">
        <v>43</v>
      </c>
      <c r="O168" s="1">
        <v>22.289000000000001</v>
      </c>
      <c r="P168" s="1">
        <v>114.173</v>
      </c>
      <c r="Q168" s="1">
        <v>2</v>
      </c>
      <c r="R168" t="str">
        <f t="shared" si="4"/>
        <v>tropical</v>
      </c>
      <c r="T168" t="s">
        <v>793</v>
      </c>
      <c r="U168" t="s">
        <v>43</v>
      </c>
      <c r="V168" t="s">
        <v>43</v>
      </c>
    </row>
    <row r="169" spans="1:22">
      <c r="A169" s="20">
        <v>201</v>
      </c>
      <c r="B169" s="20">
        <v>140</v>
      </c>
      <c r="C169" t="s">
        <v>779</v>
      </c>
      <c r="D169" t="s">
        <v>788</v>
      </c>
      <c r="E169" t="s">
        <v>194</v>
      </c>
      <c r="F169" t="s">
        <v>43</v>
      </c>
      <c r="G169" t="s">
        <v>43</v>
      </c>
      <c r="H169" t="s">
        <v>246</v>
      </c>
      <c r="I169" t="s">
        <v>43</v>
      </c>
      <c r="J169" t="s">
        <v>43</v>
      </c>
      <c r="K169" t="s">
        <v>193</v>
      </c>
      <c r="L169" t="s">
        <v>812</v>
      </c>
      <c r="M169" s="10" t="s">
        <v>43</v>
      </c>
      <c r="N169" s="10" t="s">
        <v>43</v>
      </c>
      <c r="O169" s="1">
        <v>22.292999999999999</v>
      </c>
      <c r="P169" s="1">
        <v>114.051</v>
      </c>
      <c r="Q169" s="1">
        <v>2</v>
      </c>
      <c r="R169" t="str">
        <f t="shared" si="4"/>
        <v>tropical</v>
      </c>
      <c r="T169" t="s">
        <v>792</v>
      </c>
      <c r="U169" t="s">
        <v>43</v>
      </c>
      <c r="V169" t="s">
        <v>43</v>
      </c>
    </row>
    <row r="170" spans="1:22">
      <c r="A170" s="20">
        <v>198</v>
      </c>
      <c r="B170" s="20">
        <v>177</v>
      </c>
      <c r="C170" t="s">
        <v>779</v>
      </c>
      <c r="D170" t="s">
        <v>785</v>
      </c>
      <c r="E170" t="s">
        <v>194</v>
      </c>
      <c r="F170" t="s">
        <v>43</v>
      </c>
      <c r="G170" t="s">
        <v>43</v>
      </c>
      <c r="H170" t="s">
        <v>246</v>
      </c>
      <c r="I170" t="s">
        <v>43</v>
      </c>
      <c r="J170" t="s">
        <v>43</v>
      </c>
      <c r="K170" t="s">
        <v>193</v>
      </c>
      <c r="L170" t="s">
        <v>812</v>
      </c>
      <c r="M170" s="10" t="s">
        <v>43</v>
      </c>
      <c r="N170" s="10" t="s">
        <v>43</v>
      </c>
      <c r="O170" s="1">
        <v>22.294</v>
      </c>
      <c r="P170" s="1">
        <v>114.223</v>
      </c>
      <c r="Q170" s="1">
        <v>2</v>
      </c>
      <c r="R170" t="str">
        <f t="shared" si="4"/>
        <v>tropical</v>
      </c>
      <c r="T170" t="s">
        <v>793</v>
      </c>
      <c r="U170" t="s">
        <v>43</v>
      </c>
      <c r="V170" t="s">
        <v>43</v>
      </c>
    </row>
    <row r="171" spans="1:22">
      <c r="A171" s="20">
        <v>197</v>
      </c>
      <c r="B171" s="20">
        <v>182</v>
      </c>
      <c r="C171" t="s">
        <v>779</v>
      </c>
      <c r="D171" t="s">
        <v>784</v>
      </c>
      <c r="E171" t="s">
        <v>194</v>
      </c>
      <c r="F171" t="s">
        <v>43</v>
      </c>
      <c r="G171" t="s">
        <v>43</v>
      </c>
      <c r="H171" t="s">
        <v>246</v>
      </c>
      <c r="I171" t="s">
        <v>43</v>
      </c>
      <c r="J171" t="s">
        <v>43</v>
      </c>
      <c r="K171" t="s">
        <v>193</v>
      </c>
      <c r="L171" t="s">
        <v>812</v>
      </c>
      <c r="M171" s="10" t="s">
        <v>43</v>
      </c>
      <c r="N171" s="10" t="s">
        <v>43</v>
      </c>
      <c r="O171" s="1">
        <v>22.248999999999999</v>
      </c>
      <c r="P171" s="1">
        <v>114.265</v>
      </c>
      <c r="Q171" s="1">
        <v>2</v>
      </c>
      <c r="R171" t="str">
        <f t="shared" si="4"/>
        <v>tropical</v>
      </c>
      <c r="T171" t="s">
        <v>792</v>
      </c>
      <c r="U171" t="s">
        <v>43</v>
      </c>
      <c r="V171" t="s">
        <v>43</v>
      </c>
    </row>
    <row r="172" spans="1:22">
      <c r="A172" s="20">
        <v>200</v>
      </c>
      <c r="B172" s="20">
        <v>184</v>
      </c>
      <c r="C172" t="s">
        <v>779</v>
      </c>
      <c r="D172" t="s">
        <v>787</v>
      </c>
      <c r="E172" t="s">
        <v>194</v>
      </c>
      <c r="F172" t="s">
        <v>43</v>
      </c>
      <c r="G172" t="s">
        <v>43</v>
      </c>
      <c r="H172" t="s">
        <v>246</v>
      </c>
      <c r="I172" t="s">
        <v>43</v>
      </c>
      <c r="J172" t="s">
        <v>43</v>
      </c>
      <c r="K172" t="s">
        <v>193</v>
      </c>
      <c r="L172" t="s">
        <v>812</v>
      </c>
      <c r="M172" s="10" t="s">
        <v>43</v>
      </c>
      <c r="N172" s="10" t="s">
        <v>43</v>
      </c>
      <c r="O172" s="1">
        <v>22.306000000000001</v>
      </c>
      <c r="P172" s="1">
        <v>114.102</v>
      </c>
      <c r="Q172" s="1">
        <v>2</v>
      </c>
      <c r="R172" t="str">
        <f t="shared" si="4"/>
        <v>tropical</v>
      </c>
      <c r="T172" t="s">
        <v>792</v>
      </c>
      <c r="U172" t="s">
        <v>43</v>
      </c>
      <c r="V172" t="s">
        <v>43</v>
      </c>
    </row>
    <row r="173" spans="1:22">
      <c r="A173" s="20">
        <v>139</v>
      </c>
      <c r="B173" s="20">
        <v>74</v>
      </c>
      <c r="C173" s="1" t="s">
        <v>441</v>
      </c>
      <c r="D173" t="s">
        <v>451</v>
      </c>
      <c r="E173" t="s">
        <v>194</v>
      </c>
      <c r="F173" t="s">
        <v>43</v>
      </c>
      <c r="G173" t="s">
        <v>43</v>
      </c>
      <c r="H173" t="s">
        <v>246</v>
      </c>
      <c r="I173" t="s">
        <v>246</v>
      </c>
      <c r="J173" t="s">
        <v>43</v>
      </c>
      <c r="K173" t="s">
        <v>193</v>
      </c>
      <c r="L173" t="s">
        <v>812</v>
      </c>
      <c r="M173" s="10" t="s">
        <v>43</v>
      </c>
      <c r="N173" s="10" t="s">
        <v>43</v>
      </c>
      <c r="O173" s="1">
        <v>24.814</v>
      </c>
      <c r="P173" s="1">
        <v>-80.736999999999995</v>
      </c>
      <c r="Q173">
        <v>40</v>
      </c>
      <c r="R173" t="str">
        <f t="shared" si="4"/>
        <v>subtropical</v>
      </c>
      <c r="T173" t="s">
        <v>792</v>
      </c>
      <c r="U173" t="s">
        <v>43</v>
      </c>
      <c r="V173" t="s">
        <v>43</v>
      </c>
    </row>
    <row r="174" spans="1:22">
      <c r="A174" s="20">
        <v>140</v>
      </c>
      <c r="B174" s="20">
        <v>43</v>
      </c>
      <c r="C174" s="1" t="s">
        <v>452</v>
      </c>
      <c r="D174" t="s">
        <v>456</v>
      </c>
      <c r="E174" t="s">
        <v>194</v>
      </c>
      <c r="F174" t="s">
        <v>43</v>
      </c>
      <c r="G174" t="s">
        <v>43</v>
      </c>
      <c r="H174" t="s">
        <v>246</v>
      </c>
      <c r="I174" t="s">
        <v>246</v>
      </c>
      <c r="J174" t="s">
        <v>43</v>
      </c>
      <c r="K174" t="s">
        <v>193</v>
      </c>
      <c r="L174" t="s">
        <v>812</v>
      </c>
      <c r="M174" s="10" t="s">
        <v>43</v>
      </c>
      <c r="N174" s="10" t="s">
        <v>43</v>
      </c>
      <c r="O174" s="1">
        <v>55</v>
      </c>
      <c r="P174" s="1">
        <v>2.5</v>
      </c>
      <c r="Q174">
        <v>37</v>
      </c>
      <c r="R174" t="str">
        <f t="shared" si="4"/>
        <v>temperate</v>
      </c>
      <c r="T174" t="s">
        <v>792</v>
      </c>
      <c r="U174" t="s">
        <v>43</v>
      </c>
      <c r="V174" t="s">
        <v>43</v>
      </c>
    </row>
    <row r="175" spans="1:22">
      <c r="A175" s="20">
        <v>142</v>
      </c>
      <c r="B175" s="20">
        <v>19</v>
      </c>
      <c r="C175" s="1" t="s">
        <v>458</v>
      </c>
      <c r="D175" t="s">
        <v>463</v>
      </c>
      <c r="E175" t="s">
        <v>194</v>
      </c>
      <c r="F175" t="s">
        <v>43</v>
      </c>
      <c r="G175" t="s">
        <v>43</v>
      </c>
      <c r="H175" t="s">
        <v>246</v>
      </c>
      <c r="I175" t="s">
        <v>246</v>
      </c>
      <c r="J175" t="s">
        <v>43</v>
      </c>
      <c r="K175" t="s">
        <v>193</v>
      </c>
      <c r="L175" t="s">
        <v>812</v>
      </c>
      <c r="M175" s="10" t="s">
        <v>43</v>
      </c>
      <c r="N175" s="10" t="s">
        <v>43</v>
      </c>
      <c r="O175">
        <v>12.644</v>
      </c>
      <c r="P175">
        <v>109.4</v>
      </c>
      <c r="Q175">
        <v>1</v>
      </c>
      <c r="R175" t="str">
        <f t="shared" si="4"/>
        <v>tropical</v>
      </c>
      <c r="T175" t="str">
        <f t="shared" ref="T175:T190" si="6">IF(F175 = "MPA", "1_protected", "2_unprotected")</f>
        <v>2_unprotected</v>
      </c>
      <c r="U175" t="s">
        <v>43</v>
      </c>
      <c r="V175" t="s">
        <v>43</v>
      </c>
    </row>
    <row r="176" spans="1:22">
      <c r="A176" s="20">
        <v>141</v>
      </c>
      <c r="B176" s="20">
        <v>20</v>
      </c>
      <c r="C176" s="1" t="s">
        <v>458</v>
      </c>
      <c r="D176" t="s">
        <v>462</v>
      </c>
      <c r="E176" t="s">
        <v>194</v>
      </c>
      <c r="F176" t="s">
        <v>43</v>
      </c>
      <c r="G176" t="s">
        <v>43</v>
      </c>
      <c r="H176" t="s">
        <v>246</v>
      </c>
      <c r="I176" t="s">
        <v>246</v>
      </c>
      <c r="J176" t="s">
        <v>43</v>
      </c>
      <c r="K176" t="s">
        <v>193</v>
      </c>
      <c r="L176" t="s">
        <v>812</v>
      </c>
      <c r="M176" s="10" t="s">
        <v>43</v>
      </c>
      <c r="N176" s="10" t="s">
        <v>43</v>
      </c>
      <c r="O176" s="1">
        <v>12.643000000000001</v>
      </c>
      <c r="P176" s="1">
        <v>109.4</v>
      </c>
      <c r="Q176">
        <v>1</v>
      </c>
      <c r="R176" t="str">
        <f t="shared" si="4"/>
        <v>tropical</v>
      </c>
      <c r="T176" t="str">
        <f t="shared" si="6"/>
        <v>2_unprotected</v>
      </c>
      <c r="U176" t="s">
        <v>43</v>
      </c>
      <c r="V176" t="s">
        <v>43</v>
      </c>
    </row>
    <row r="177" spans="1:23">
      <c r="A177" s="20">
        <v>144</v>
      </c>
      <c r="B177" s="20">
        <v>21</v>
      </c>
      <c r="C177" s="1" t="s">
        <v>458</v>
      </c>
      <c r="D177" t="s">
        <v>465</v>
      </c>
      <c r="E177" t="s">
        <v>194</v>
      </c>
      <c r="F177" t="s">
        <v>43</v>
      </c>
      <c r="G177" t="s">
        <v>43</v>
      </c>
      <c r="H177" t="s">
        <v>246</v>
      </c>
      <c r="I177" t="s">
        <v>246</v>
      </c>
      <c r="J177" t="s">
        <v>43</v>
      </c>
      <c r="K177" t="s">
        <v>193</v>
      </c>
      <c r="L177" t="s">
        <v>812</v>
      </c>
      <c r="M177" s="10" t="s">
        <v>43</v>
      </c>
      <c r="N177" s="10" t="s">
        <v>43</v>
      </c>
      <c r="O177">
        <v>12.646000000000001</v>
      </c>
      <c r="P177">
        <v>109.398</v>
      </c>
      <c r="Q177">
        <v>1</v>
      </c>
      <c r="R177" t="str">
        <f t="shared" si="4"/>
        <v>tropical</v>
      </c>
      <c r="T177" t="str">
        <f t="shared" si="6"/>
        <v>2_unprotected</v>
      </c>
      <c r="U177" t="s">
        <v>43</v>
      </c>
      <c r="V177" t="s">
        <v>43</v>
      </c>
    </row>
    <row r="178" spans="1:23">
      <c r="A178" s="20">
        <v>143</v>
      </c>
      <c r="B178" s="20">
        <v>22</v>
      </c>
      <c r="C178" s="1" t="s">
        <v>458</v>
      </c>
      <c r="D178" t="s">
        <v>464</v>
      </c>
      <c r="E178" t="s">
        <v>194</v>
      </c>
      <c r="F178" t="s">
        <v>43</v>
      </c>
      <c r="G178" t="s">
        <v>43</v>
      </c>
      <c r="H178" t="s">
        <v>246</v>
      </c>
      <c r="I178" t="s">
        <v>246</v>
      </c>
      <c r="J178" t="s">
        <v>43</v>
      </c>
      <c r="K178" t="s">
        <v>193</v>
      </c>
      <c r="L178" t="s">
        <v>812</v>
      </c>
      <c r="M178" s="10" t="s">
        <v>43</v>
      </c>
      <c r="N178" s="10" t="s">
        <v>43</v>
      </c>
      <c r="O178">
        <v>12.645</v>
      </c>
      <c r="P178">
        <v>109.398</v>
      </c>
      <c r="Q178">
        <v>1</v>
      </c>
      <c r="R178" t="str">
        <f t="shared" si="4"/>
        <v>tropical</v>
      </c>
      <c r="T178" t="str">
        <f t="shared" si="6"/>
        <v>2_unprotected</v>
      </c>
      <c r="U178" t="s">
        <v>43</v>
      </c>
      <c r="V178" t="s">
        <v>43</v>
      </c>
    </row>
    <row r="179" spans="1:23">
      <c r="A179" s="20">
        <v>148</v>
      </c>
      <c r="B179" s="20">
        <v>194</v>
      </c>
      <c r="C179" s="1" t="s">
        <v>458</v>
      </c>
      <c r="D179" s="7" t="s">
        <v>469</v>
      </c>
      <c r="E179" t="s">
        <v>191</v>
      </c>
      <c r="F179" t="s">
        <v>198</v>
      </c>
      <c r="G179" t="s">
        <v>43</v>
      </c>
      <c r="H179" t="s">
        <v>673</v>
      </c>
      <c r="I179" t="s">
        <v>244</v>
      </c>
      <c r="J179" t="s">
        <v>199</v>
      </c>
      <c r="K179" t="s">
        <v>199</v>
      </c>
      <c r="L179" t="s">
        <v>199</v>
      </c>
      <c r="M179" s="10">
        <v>36892</v>
      </c>
      <c r="N179" s="10" t="s">
        <v>43</v>
      </c>
      <c r="O179">
        <v>12.653</v>
      </c>
      <c r="P179">
        <v>109.395</v>
      </c>
      <c r="Q179">
        <v>1</v>
      </c>
      <c r="R179" t="str">
        <f t="shared" si="4"/>
        <v>tropical</v>
      </c>
      <c r="T179" t="str">
        <f t="shared" si="6"/>
        <v>1_protected</v>
      </c>
      <c r="U179" t="s">
        <v>43</v>
      </c>
      <c r="V179" t="s">
        <v>43</v>
      </c>
    </row>
    <row r="180" spans="1:23">
      <c r="A180" s="20">
        <v>147</v>
      </c>
      <c r="B180" s="20">
        <v>195</v>
      </c>
      <c r="C180" s="1" t="s">
        <v>458</v>
      </c>
      <c r="D180" s="7" t="s">
        <v>468</v>
      </c>
      <c r="E180" t="s">
        <v>191</v>
      </c>
      <c r="F180" t="s">
        <v>198</v>
      </c>
      <c r="G180" t="s">
        <v>43</v>
      </c>
      <c r="H180" t="s">
        <v>673</v>
      </c>
      <c r="I180" t="s">
        <v>244</v>
      </c>
      <c r="J180" t="s">
        <v>199</v>
      </c>
      <c r="K180" t="s">
        <v>199</v>
      </c>
      <c r="L180" t="s">
        <v>199</v>
      </c>
      <c r="M180" s="10">
        <v>36892</v>
      </c>
      <c r="N180" s="10" t="s">
        <v>43</v>
      </c>
      <c r="O180">
        <v>12.654</v>
      </c>
      <c r="P180">
        <v>109.393</v>
      </c>
      <c r="Q180">
        <v>1</v>
      </c>
      <c r="R180" t="str">
        <f t="shared" si="4"/>
        <v>tropical</v>
      </c>
      <c r="T180" t="str">
        <f t="shared" si="6"/>
        <v>1_protected</v>
      </c>
      <c r="U180" t="s">
        <v>43</v>
      </c>
      <c r="V180" t="s">
        <v>43</v>
      </c>
    </row>
    <row r="181" spans="1:23">
      <c r="A181" s="20">
        <v>146</v>
      </c>
      <c r="B181" s="20">
        <v>196</v>
      </c>
      <c r="C181" s="1" t="s">
        <v>458</v>
      </c>
      <c r="D181" t="s">
        <v>467</v>
      </c>
      <c r="E181" t="s">
        <v>191</v>
      </c>
      <c r="F181" t="s">
        <v>198</v>
      </c>
      <c r="G181" t="s">
        <v>43</v>
      </c>
      <c r="H181" t="s">
        <v>673</v>
      </c>
      <c r="I181" t="s">
        <v>244</v>
      </c>
      <c r="J181" t="s">
        <v>199</v>
      </c>
      <c r="K181" t="s">
        <v>199</v>
      </c>
      <c r="L181" t="s">
        <v>199</v>
      </c>
      <c r="M181" s="10">
        <v>38565</v>
      </c>
      <c r="N181" s="10" t="s">
        <v>43</v>
      </c>
      <c r="O181">
        <v>12.656000000000001</v>
      </c>
      <c r="P181">
        <v>109.396</v>
      </c>
      <c r="Q181">
        <v>1</v>
      </c>
      <c r="R181" t="str">
        <f t="shared" si="4"/>
        <v>tropical</v>
      </c>
      <c r="T181" t="str">
        <f t="shared" si="6"/>
        <v>1_protected</v>
      </c>
      <c r="U181" t="s">
        <v>43</v>
      </c>
      <c r="V181" t="s">
        <v>43</v>
      </c>
    </row>
    <row r="182" spans="1:23">
      <c r="A182" s="20">
        <v>145</v>
      </c>
      <c r="B182" s="20">
        <v>197</v>
      </c>
      <c r="C182" s="1" t="s">
        <v>458</v>
      </c>
      <c r="D182" t="s">
        <v>466</v>
      </c>
      <c r="E182" t="s">
        <v>191</v>
      </c>
      <c r="F182" t="s">
        <v>198</v>
      </c>
      <c r="G182" t="s">
        <v>43</v>
      </c>
      <c r="H182" t="s">
        <v>673</v>
      </c>
      <c r="I182" t="s">
        <v>244</v>
      </c>
      <c r="J182" t="s">
        <v>199</v>
      </c>
      <c r="K182" t="s">
        <v>199</v>
      </c>
      <c r="L182" t="s">
        <v>199</v>
      </c>
      <c r="M182" s="10">
        <v>38565</v>
      </c>
      <c r="N182" s="10" t="s">
        <v>43</v>
      </c>
      <c r="O182">
        <v>12.654999999999999</v>
      </c>
      <c r="P182">
        <v>109.395</v>
      </c>
      <c r="Q182">
        <v>1</v>
      </c>
      <c r="R182" t="str">
        <f t="shared" si="4"/>
        <v>tropical</v>
      </c>
      <c r="T182" t="str">
        <f t="shared" si="6"/>
        <v>1_protected</v>
      </c>
      <c r="U182" t="s">
        <v>43</v>
      </c>
      <c r="V182" t="s">
        <v>43</v>
      </c>
    </row>
    <row r="183" spans="1:23">
      <c r="A183" s="20">
        <v>81</v>
      </c>
      <c r="B183" s="20">
        <v>147</v>
      </c>
      <c r="C183" t="s">
        <v>89</v>
      </c>
      <c r="D183" t="s">
        <v>174</v>
      </c>
      <c r="E183" t="s">
        <v>191</v>
      </c>
      <c r="F183" t="s">
        <v>206</v>
      </c>
      <c r="G183" t="s">
        <v>206</v>
      </c>
      <c r="H183" t="s">
        <v>676</v>
      </c>
      <c r="I183" t="s">
        <v>244</v>
      </c>
      <c r="J183" s="7" t="s">
        <v>193</v>
      </c>
      <c r="K183" s="7" t="s">
        <v>193</v>
      </c>
      <c r="L183" s="7" t="s">
        <v>193</v>
      </c>
      <c r="M183" s="11">
        <v>27395</v>
      </c>
      <c r="N183" s="11">
        <v>29587</v>
      </c>
      <c r="O183">
        <v>57.252000000000002</v>
      </c>
      <c r="P183">
        <v>12.077</v>
      </c>
      <c r="Q183" s="1">
        <v>1</v>
      </c>
      <c r="R183" t="str">
        <f t="shared" si="4"/>
        <v>temperate</v>
      </c>
      <c r="T183" t="str">
        <f t="shared" si="6"/>
        <v>2_unprotected</v>
      </c>
      <c r="U183" t="s">
        <v>43</v>
      </c>
      <c r="V183" t="s">
        <v>43</v>
      </c>
    </row>
    <row r="184" spans="1:23">
      <c r="A184" s="20">
        <v>82</v>
      </c>
      <c r="B184" s="20">
        <v>148</v>
      </c>
      <c r="C184" t="s">
        <v>89</v>
      </c>
      <c r="D184" t="s">
        <v>175</v>
      </c>
      <c r="E184" t="s">
        <v>194</v>
      </c>
      <c r="F184" t="s">
        <v>43</v>
      </c>
      <c r="G184" t="s">
        <v>43</v>
      </c>
      <c r="H184" t="s">
        <v>246</v>
      </c>
      <c r="I184" t="s">
        <v>246</v>
      </c>
      <c r="J184" s="7" t="s">
        <v>43</v>
      </c>
      <c r="K184" s="7" t="s">
        <v>193</v>
      </c>
      <c r="L184" t="s">
        <v>812</v>
      </c>
      <c r="M184" s="11" t="s">
        <v>43</v>
      </c>
      <c r="N184" s="11" t="s">
        <v>43</v>
      </c>
      <c r="O184">
        <v>57.225999999999999</v>
      </c>
      <c r="P184">
        <v>12.09</v>
      </c>
      <c r="Q184" s="1">
        <v>1</v>
      </c>
      <c r="R184" t="str">
        <f t="shared" si="4"/>
        <v>temperate</v>
      </c>
      <c r="T184" t="str">
        <f t="shared" si="6"/>
        <v>2_unprotected</v>
      </c>
      <c r="U184" t="s">
        <v>43</v>
      </c>
      <c r="V184" t="s">
        <v>43</v>
      </c>
    </row>
    <row r="185" spans="1:23">
      <c r="A185" s="20">
        <v>83</v>
      </c>
      <c r="B185" s="20">
        <v>185</v>
      </c>
      <c r="C185" t="s">
        <v>90</v>
      </c>
      <c r="D185" t="s">
        <v>182</v>
      </c>
      <c r="E185" t="s">
        <v>194</v>
      </c>
      <c r="F185" t="s">
        <v>43</v>
      </c>
      <c r="G185" t="s">
        <v>43</v>
      </c>
      <c r="H185" t="s">
        <v>246</v>
      </c>
      <c r="I185" t="s">
        <v>246</v>
      </c>
      <c r="J185" s="7" t="s">
        <v>43</v>
      </c>
      <c r="K185" s="7" t="s">
        <v>193</v>
      </c>
      <c r="L185" t="s">
        <v>812</v>
      </c>
      <c r="M185" s="11" t="s">
        <v>43</v>
      </c>
      <c r="N185" s="11" t="s">
        <v>43</v>
      </c>
      <c r="O185">
        <v>57.289000000000001</v>
      </c>
      <c r="P185">
        <v>12.05</v>
      </c>
      <c r="Q185" s="1">
        <v>1</v>
      </c>
      <c r="R185" t="str">
        <f t="shared" si="4"/>
        <v>temperate</v>
      </c>
      <c r="T185" t="str">
        <f t="shared" si="6"/>
        <v>2_unprotected</v>
      </c>
      <c r="U185" t="s">
        <v>43</v>
      </c>
      <c r="V185" t="s">
        <v>43</v>
      </c>
    </row>
    <row r="186" spans="1:23">
      <c r="A186" s="20">
        <v>84</v>
      </c>
      <c r="B186" s="20">
        <v>186</v>
      </c>
      <c r="C186" t="s">
        <v>90</v>
      </c>
      <c r="D186" t="s">
        <v>183</v>
      </c>
      <c r="E186" t="s">
        <v>191</v>
      </c>
      <c r="F186" t="s">
        <v>248</v>
      </c>
      <c r="G186" t="s">
        <v>43</v>
      </c>
      <c r="H186" t="s">
        <v>678</v>
      </c>
      <c r="I186" t="s">
        <v>244</v>
      </c>
      <c r="J186" s="7" t="s">
        <v>193</v>
      </c>
      <c r="K186" s="7" t="s">
        <v>193</v>
      </c>
      <c r="L186" s="7" t="s">
        <v>193</v>
      </c>
      <c r="M186" s="11">
        <v>26665</v>
      </c>
      <c r="N186" s="11" t="s">
        <v>43</v>
      </c>
      <c r="O186">
        <v>57.198999999999998</v>
      </c>
      <c r="P186">
        <v>12.074</v>
      </c>
      <c r="Q186">
        <v>1</v>
      </c>
      <c r="R186" t="str">
        <f t="shared" si="4"/>
        <v>temperate</v>
      </c>
      <c r="T186" t="str">
        <f t="shared" si="6"/>
        <v>2_unprotected</v>
      </c>
      <c r="U186" t="s">
        <v>43</v>
      </c>
      <c r="V186" t="s">
        <v>43</v>
      </c>
    </row>
    <row r="187" spans="1:23">
      <c r="A187" s="20">
        <v>85</v>
      </c>
      <c r="B187" s="20">
        <v>109</v>
      </c>
      <c r="C187" t="s">
        <v>88</v>
      </c>
      <c r="D187" t="s">
        <v>158</v>
      </c>
      <c r="E187" t="s">
        <v>194</v>
      </c>
      <c r="F187" t="s">
        <v>43</v>
      </c>
      <c r="G187" t="s">
        <v>43</v>
      </c>
      <c r="H187" t="s">
        <v>246</v>
      </c>
      <c r="I187" t="s">
        <v>246</v>
      </c>
      <c r="J187" s="7" t="s">
        <v>43</v>
      </c>
      <c r="K187" s="7" t="s">
        <v>193</v>
      </c>
      <c r="L187" t="s">
        <v>812</v>
      </c>
      <c r="M187" s="11" t="s">
        <v>43</v>
      </c>
      <c r="N187" s="11" t="s">
        <v>43</v>
      </c>
      <c r="O187">
        <v>57.814999999999998</v>
      </c>
      <c r="P187">
        <v>16.890999999999998</v>
      </c>
      <c r="Q187">
        <v>1</v>
      </c>
      <c r="R187" t="str">
        <f t="shared" si="4"/>
        <v>temperate</v>
      </c>
      <c r="T187" t="str">
        <f t="shared" si="6"/>
        <v>2_unprotected</v>
      </c>
      <c r="U187" t="s">
        <v>43</v>
      </c>
      <c r="V187" t="s">
        <v>43</v>
      </c>
    </row>
    <row r="188" spans="1:23">
      <c r="A188" s="20">
        <v>86</v>
      </c>
      <c r="B188" s="20">
        <v>110</v>
      </c>
      <c r="C188" t="s">
        <v>88</v>
      </c>
      <c r="D188" t="s">
        <v>159</v>
      </c>
      <c r="E188" t="s">
        <v>194</v>
      </c>
      <c r="F188" t="s">
        <v>43</v>
      </c>
      <c r="G188" t="s">
        <v>43</v>
      </c>
      <c r="H188" t="s">
        <v>246</v>
      </c>
      <c r="I188" t="s">
        <v>246</v>
      </c>
      <c r="J188" s="7" t="s">
        <v>43</v>
      </c>
      <c r="K188" s="7" t="s">
        <v>193</v>
      </c>
      <c r="L188" t="s">
        <v>812</v>
      </c>
      <c r="M188" s="11" t="s">
        <v>43</v>
      </c>
      <c r="N188" s="11" t="s">
        <v>43</v>
      </c>
      <c r="O188">
        <v>57.814999999999998</v>
      </c>
      <c r="P188">
        <v>16.890999999999998</v>
      </c>
      <c r="Q188">
        <v>1</v>
      </c>
      <c r="R188" t="str">
        <f t="shared" si="4"/>
        <v>temperate</v>
      </c>
      <c r="T188" t="str">
        <f t="shared" si="6"/>
        <v>2_unprotected</v>
      </c>
      <c r="U188" t="s">
        <v>43</v>
      </c>
      <c r="V188" t="s">
        <v>43</v>
      </c>
    </row>
    <row r="189" spans="1:23">
      <c r="A189" s="20">
        <v>87</v>
      </c>
      <c r="B189" s="20">
        <v>165</v>
      </c>
      <c r="C189" t="s">
        <v>88</v>
      </c>
      <c r="D189" t="s">
        <v>180</v>
      </c>
      <c r="E189" t="s">
        <v>191</v>
      </c>
      <c r="F189" t="s">
        <v>206</v>
      </c>
      <c r="G189" t="s">
        <v>43</v>
      </c>
      <c r="H189" t="s">
        <v>676</v>
      </c>
      <c r="I189" t="s">
        <v>244</v>
      </c>
      <c r="J189" s="7" t="s">
        <v>193</v>
      </c>
      <c r="K189" s="7" t="s">
        <v>193</v>
      </c>
      <c r="L189" s="7" t="s">
        <v>193</v>
      </c>
      <c r="M189" s="11">
        <v>27395</v>
      </c>
      <c r="N189" s="11">
        <v>29587</v>
      </c>
      <c r="O189">
        <v>57.408000000000001</v>
      </c>
      <c r="P189">
        <v>16.779</v>
      </c>
      <c r="Q189">
        <v>1</v>
      </c>
      <c r="R189" t="str">
        <f t="shared" si="4"/>
        <v>temperate</v>
      </c>
      <c r="T189" t="str">
        <f t="shared" si="6"/>
        <v>2_unprotected</v>
      </c>
      <c r="U189" t="s">
        <v>43</v>
      </c>
      <c r="V189" t="s">
        <v>43</v>
      </c>
    </row>
    <row r="190" spans="1:23">
      <c r="A190" s="20">
        <v>88</v>
      </c>
      <c r="B190" s="20">
        <v>166</v>
      </c>
      <c r="C190" s="25" t="s">
        <v>88</v>
      </c>
      <c r="D190" s="25" t="s">
        <v>181</v>
      </c>
      <c r="E190" s="25" t="s">
        <v>191</v>
      </c>
      <c r="F190" s="25" t="s">
        <v>206</v>
      </c>
      <c r="G190" s="25" t="s">
        <v>206</v>
      </c>
      <c r="H190" t="s">
        <v>676</v>
      </c>
      <c r="I190" s="25" t="s">
        <v>244</v>
      </c>
      <c r="J190" s="26" t="s">
        <v>193</v>
      </c>
      <c r="K190" s="26" t="s">
        <v>193</v>
      </c>
      <c r="L190" s="26" t="s">
        <v>193</v>
      </c>
      <c r="M190" s="27">
        <v>27395</v>
      </c>
      <c r="N190" s="27">
        <v>29587</v>
      </c>
      <c r="O190" s="25">
        <v>57.408000000000001</v>
      </c>
      <c r="P190" s="25">
        <v>16.779</v>
      </c>
      <c r="Q190" s="25">
        <v>1</v>
      </c>
      <c r="R190" t="str">
        <f t="shared" si="4"/>
        <v>temperate</v>
      </c>
      <c r="S190" s="25"/>
      <c r="T190" t="str">
        <f t="shared" si="6"/>
        <v>2_unprotected</v>
      </c>
      <c r="U190" s="25" t="s">
        <v>43</v>
      </c>
      <c r="V190" s="25" t="s">
        <v>43</v>
      </c>
      <c r="W190" s="25"/>
    </row>
    <row r="191" spans="1:23">
      <c r="A191" s="20">
        <v>149</v>
      </c>
      <c r="B191" s="20">
        <v>13</v>
      </c>
      <c r="C191" s="1" t="s">
        <v>470</v>
      </c>
      <c r="D191" s="7" t="s">
        <v>475</v>
      </c>
      <c r="E191" t="s">
        <v>194</v>
      </c>
      <c r="F191" t="s">
        <v>43</v>
      </c>
      <c r="G191" t="s">
        <v>43</v>
      </c>
      <c r="H191" t="s">
        <v>246</v>
      </c>
      <c r="I191" t="s">
        <v>246</v>
      </c>
      <c r="J191" t="s">
        <v>43</v>
      </c>
      <c r="K191" t="s">
        <v>193</v>
      </c>
      <c r="L191" t="s">
        <v>812</v>
      </c>
      <c r="M191" s="10" t="s">
        <v>43</v>
      </c>
      <c r="N191" s="10" t="s">
        <v>43</v>
      </c>
      <c r="O191">
        <v>37.286000000000001</v>
      </c>
      <c r="P191">
        <v>9.92</v>
      </c>
      <c r="Q191">
        <v>7</v>
      </c>
      <c r="R191" t="str">
        <f t="shared" si="4"/>
        <v>subtropical</v>
      </c>
      <c r="T191" t="s">
        <v>792</v>
      </c>
      <c r="U191" t="s">
        <v>43</v>
      </c>
      <c r="V191" t="s">
        <v>43</v>
      </c>
    </row>
    <row r="192" spans="1:23">
      <c r="A192" s="20">
        <v>150</v>
      </c>
      <c r="B192" s="20">
        <v>111</v>
      </c>
      <c r="C192" s="1" t="s">
        <v>470</v>
      </c>
      <c r="D192" s="7" t="s">
        <v>476</v>
      </c>
      <c r="E192" t="s">
        <v>194</v>
      </c>
      <c r="F192" t="s">
        <v>43</v>
      </c>
      <c r="G192" t="s">
        <v>43</v>
      </c>
      <c r="H192" t="s">
        <v>246</v>
      </c>
      <c r="I192" t="s">
        <v>246</v>
      </c>
      <c r="J192" t="s">
        <v>43</v>
      </c>
      <c r="K192" t="s">
        <v>193</v>
      </c>
      <c r="L192" t="s">
        <v>812</v>
      </c>
      <c r="M192" s="10" t="s">
        <v>43</v>
      </c>
      <c r="N192" s="10" t="s">
        <v>43</v>
      </c>
      <c r="O192">
        <v>37.188000000000002</v>
      </c>
      <c r="P192">
        <v>9.8550000000000004</v>
      </c>
      <c r="Q192">
        <v>7</v>
      </c>
      <c r="R192" t="str">
        <f t="shared" si="4"/>
        <v>subtropical</v>
      </c>
      <c r="T192" t="s">
        <v>791</v>
      </c>
      <c r="U192" t="s">
        <v>43</v>
      </c>
      <c r="V192" t="s">
        <v>43</v>
      </c>
    </row>
    <row r="193" spans="1:22">
      <c r="A193" s="20">
        <v>151</v>
      </c>
      <c r="B193" s="20">
        <v>126</v>
      </c>
      <c r="C193" s="1" t="s">
        <v>477</v>
      </c>
      <c r="D193" s="7" t="s">
        <v>482</v>
      </c>
      <c r="E193" t="s">
        <v>194</v>
      </c>
      <c r="F193" t="s">
        <v>43</v>
      </c>
      <c r="G193" t="s">
        <v>43</v>
      </c>
      <c r="H193" t="s">
        <v>246</v>
      </c>
      <c r="I193" t="s">
        <v>246</v>
      </c>
      <c r="J193" t="s">
        <v>43</v>
      </c>
      <c r="K193" t="s">
        <v>193</v>
      </c>
      <c r="L193" t="s">
        <v>812</v>
      </c>
      <c r="M193" s="10" t="s">
        <v>43</v>
      </c>
      <c r="N193" s="10" t="s">
        <v>43</v>
      </c>
      <c r="O193" s="1">
        <v>43.567</v>
      </c>
      <c r="P193" s="1">
        <v>-3.7829999999999999</v>
      </c>
      <c r="Q193">
        <v>1</v>
      </c>
      <c r="R193" t="str">
        <f t="shared" si="4"/>
        <v>temperate</v>
      </c>
      <c r="T193" t="s">
        <v>792</v>
      </c>
      <c r="U193" t="s">
        <v>43</v>
      </c>
      <c r="V193" t="s">
        <v>43</v>
      </c>
    </row>
    <row r="194" spans="1:22">
      <c r="A194" s="20">
        <v>152</v>
      </c>
      <c r="B194" s="20">
        <v>133</v>
      </c>
      <c r="C194" s="1" t="s">
        <v>477</v>
      </c>
      <c r="D194" s="7" t="s">
        <v>483</v>
      </c>
      <c r="E194" t="s">
        <v>194</v>
      </c>
      <c r="F194" t="s">
        <v>43</v>
      </c>
      <c r="G194" t="s">
        <v>43</v>
      </c>
      <c r="H194" t="s">
        <v>246</v>
      </c>
      <c r="I194" t="s">
        <v>246</v>
      </c>
      <c r="J194" t="s">
        <v>43</v>
      </c>
      <c r="K194" t="s">
        <v>193</v>
      </c>
      <c r="L194" t="s">
        <v>812</v>
      </c>
      <c r="M194" s="10" t="s">
        <v>43</v>
      </c>
      <c r="N194" s="10" t="s">
        <v>43</v>
      </c>
      <c r="O194" s="1">
        <v>43.7</v>
      </c>
      <c r="P194" s="1">
        <v>-3.7829999999999999</v>
      </c>
      <c r="Q194">
        <v>1</v>
      </c>
      <c r="R194" t="str">
        <f t="shared" ref="R194:R202" si="7">IF(ABS(O194)&lt;23.5,"tropical",IF(ABS(O194)&lt;38,"subtropical",IF(ABS(O194)&lt;66.3,"temperate","polar")))</f>
        <v>temperate</v>
      </c>
      <c r="T194" t="s">
        <v>792</v>
      </c>
      <c r="U194" t="s">
        <v>43</v>
      </c>
      <c r="V194" t="s">
        <v>43</v>
      </c>
    </row>
    <row r="195" spans="1:22">
      <c r="A195" s="20">
        <v>153</v>
      </c>
      <c r="B195" s="20">
        <v>51</v>
      </c>
      <c r="C195" s="1" t="s">
        <v>484</v>
      </c>
      <c r="D195" t="s">
        <v>494</v>
      </c>
      <c r="E195" t="s">
        <v>194</v>
      </c>
      <c r="F195" t="s">
        <v>43</v>
      </c>
      <c r="G195" t="s">
        <v>43</v>
      </c>
      <c r="H195" t="s">
        <v>246</v>
      </c>
      <c r="I195" t="s">
        <v>246</v>
      </c>
      <c r="J195" t="s">
        <v>43</v>
      </c>
      <c r="K195" t="s">
        <v>193</v>
      </c>
      <c r="L195" t="s">
        <v>812</v>
      </c>
      <c r="M195" s="10" t="s">
        <v>43</v>
      </c>
      <c r="N195" s="10" t="s">
        <v>43</v>
      </c>
      <c r="O195" s="1">
        <v>54.673000000000002</v>
      </c>
      <c r="P195" s="1">
        <v>-1.1180000000000001</v>
      </c>
      <c r="Q195">
        <v>12</v>
      </c>
      <c r="R195" t="str">
        <f t="shared" si="7"/>
        <v>temperate</v>
      </c>
      <c r="T195" t="s">
        <v>791</v>
      </c>
      <c r="U195" t="s">
        <v>43</v>
      </c>
      <c r="V195" t="s">
        <v>43</v>
      </c>
    </row>
    <row r="196" spans="1:22">
      <c r="A196" s="20">
        <v>156</v>
      </c>
      <c r="B196" s="20">
        <v>68</v>
      </c>
      <c r="C196" s="1" t="s">
        <v>484</v>
      </c>
      <c r="D196" t="s">
        <v>497</v>
      </c>
      <c r="E196" t="s">
        <v>191</v>
      </c>
      <c r="F196" t="s">
        <v>318</v>
      </c>
      <c r="G196" t="s">
        <v>43</v>
      </c>
      <c r="H196" t="s">
        <v>679</v>
      </c>
      <c r="I196" t="s">
        <v>244</v>
      </c>
      <c r="J196" t="s">
        <v>199</v>
      </c>
      <c r="K196" t="s">
        <v>199</v>
      </c>
      <c r="L196" t="s">
        <v>199</v>
      </c>
      <c r="M196" s="10">
        <v>31048</v>
      </c>
      <c r="N196" s="10">
        <v>35431</v>
      </c>
      <c r="O196" s="1">
        <v>54.6</v>
      </c>
      <c r="P196" s="1">
        <v>-1.171</v>
      </c>
      <c r="Q196">
        <v>8</v>
      </c>
      <c r="R196" t="str">
        <f t="shared" si="7"/>
        <v>temperate</v>
      </c>
      <c r="T196" t="s">
        <v>793</v>
      </c>
      <c r="U196" t="s">
        <v>43</v>
      </c>
      <c r="V196" t="s">
        <v>43</v>
      </c>
    </row>
    <row r="197" spans="1:22">
      <c r="A197" s="20">
        <v>154</v>
      </c>
      <c r="B197" s="20">
        <v>124</v>
      </c>
      <c r="C197" s="1" t="s">
        <v>484</v>
      </c>
      <c r="D197" t="s">
        <v>495</v>
      </c>
      <c r="E197" t="s">
        <v>191</v>
      </c>
      <c r="F197" t="s">
        <v>318</v>
      </c>
      <c r="G197" t="s">
        <v>43</v>
      </c>
      <c r="H197" t="s">
        <v>679</v>
      </c>
      <c r="I197" t="s">
        <v>244</v>
      </c>
      <c r="J197" t="s">
        <v>199</v>
      </c>
      <c r="K197" t="s">
        <v>199</v>
      </c>
      <c r="L197" t="s">
        <v>199</v>
      </c>
      <c r="M197" s="10">
        <v>31048</v>
      </c>
      <c r="N197" s="10">
        <v>35431</v>
      </c>
      <c r="O197" s="1">
        <v>54.656999999999996</v>
      </c>
      <c r="P197" s="1">
        <v>-1.1479999999999999</v>
      </c>
      <c r="Q197">
        <v>6</v>
      </c>
      <c r="R197" t="str">
        <f t="shared" si="7"/>
        <v>temperate</v>
      </c>
      <c r="T197" t="s">
        <v>791</v>
      </c>
      <c r="U197" t="s">
        <v>43</v>
      </c>
      <c r="V197" t="s">
        <v>43</v>
      </c>
    </row>
    <row r="198" spans="1:22">
      <c r="A198" s="20">
        <v>155</v>
      </c>
      <c r="B198" s="20">
        <v>137</v>
      </c>
      <c r="C198" s="1" t="s">
        <v>484</v>
      </c>
      <c r="D198" t="s">
        <v>496</v>
      </c>
      <c r="E198" t="s">
        <v>191</v>
      </c>
      <c r="F198" t="s">
        <v>318</v>
      </c>
      <c r="G198" t="s">
        <v>43</v>
      </c>
      <c r="H198" t="s">
        <v>679</v>
      </c>
      <c r="I198" t="s">
        <v>244</v>
      </c>
      <c r="J198" t="s">
        <v>199</v>
      </c>
      <c r="K198" t="s">
        <v>199</v>
      </c>
      <c r="L198" t="s">
        <v>199</v>
      </c>
      <c r="M198" s="10">
        <v>31048</v>
      </c>
      <c r="N198" s="10">
        <v>35431</v>
      </c>
      <c r="O198" s="1">
        <v>54.631</v>
      </c>
      <c r="P198" s="1">
        <v>-1.1599999999999999</v>
      </c>
      <c r="Q198">
        <v>4</v>
      </c>
      <c r="R198" t="str">
        <f t="shared" si="7"/>
        <v>temperate</v>
      </c>
      <c r="T198" t="s">
        <v>793</v>
      </c>
      <c r="U198" t="s">
        <v>43</v>
      </c>
      <c r="V198" t="s">
        <v>43</v>
      </c>
    </row>
    <row r="199" spans="1:22">
      <c r="A199" s="20">
        <v>165</v>
      </c>
      <c r="B199" s="20">
        <v>38</v>
      </c>
      <c r="C199" s="1" t="s">
        <v>525</v>
      </c>
      <c r="D199" t="s">
        <v>530</v>
      </c>
      <c r="E199" t="s">
        <v>191</v>
      </c>
      <c r="F199" t="s">
        <v>529</v>
      </c>
      <c r="G199" t="s">
        <v>43</v>
      </c>
      <c r="H199" t="s">
        <v>529</v>
      </c>
      <c r="I199" t="s">
        <v>244</v>
      </c>
      <c r="J199" t="s">
        <v>192</v>
      </c>
      <c r="K199" t="s">
        <v>192</v>
      </c>
      <c r="L199" t="s">
        <v>192</v>
      </c>
      <c r="M199" s="10">
        <v>29952</v>
      </c>
      <c r="N199" s="10" t="s">
        <v>43</v>
      </c>
      <c r="O199" s="1">
        <v>53.57</v>
      </c>
      <c r="P199" s="1">
        <v>-3.3319999999999999</v>
      </c>
      <c r="Q199" s="1">
        <v>1</v>
      </c>
      <c r="R199" t="str">
        <f t="shared" si="7"/>
        <v>temperate</v>
      </c>
      <c r="T199" t="s">
        <v>792</v>
      </c>
      <c r="U199" t="s">
        <v>43</v>
      </c>
      <c r="V199" t="s">
        <v>43</v>
      </c>
    </row>
    <row r="200" spans="1:22">
      <c r="A200" s="20">
        <v>166</v>
      </c>
      <c r="B200" s="20">
        <v>151</v>
      </c>
      <c r="C200" s="1" t="s">
        <v>525</v>
      </c>
      <c r="D200" t="s">
        <v>531</v>
      </c>
      <c r="E200" t="s">
        <v>194</v>
      </c>
      <c r="F200" t="s">
        <v>43</v>
      </c>
      <c r="G200" t="s">
        <v>43</v>
      </c>
      <c r="H200" t="s">
        <v>246</v>
      </c>
      <c r="I200" t="s">
        <v>246</v>
      </c>
      <c r="J200" t="s">
        <v>43</v>
      </c>
      <c r="K200" t="s">
        <v>193</v>
      </c>
      <c r="L200" t="s">
        <v>812</v>
      </c>
      <c r="M200" s="10" t="s">
        <v>43</v>
      </c>
      <c r="N200" s="10" t="s">
        <v>43</v>
      </c>
      <c r="O200" s="1">
        <v>53.57</v>
      </c>
      <c r="P200" s="1">
        <v>-3.3319999999999999</v>
      </c>
      <c r="Q200" s="1">
        <v>1</v>
      </c>
      <c r="R200" t="str">
        <f t="shared" si="7"/>
        <v>temperate</v>
      </c>
      <c r="T200" t="s">
        <v>792</v>
      </c>
      <c r="U200" t="s">
        <v>43</v>
      </c>
      <c r="V200" t="s">
        <v>43</v>
      </c>
    </row>
    <row r="201" spans="1:22">
      <c r="A201" s="20">
        <v>167</v>
      </c>
      <c r="B201" s="20">
        <v>153</v>
      </c>
      <c r="C201" s="1" t="s">
        <v>525</v>
      </c>
      <c r="D201" t="s">
        <v>532</v>
      </c>
      <c r="E201" t="s">
        <v>194</v>
      </c>
      <c r="F201" t="s">
        <v>43</v>
      </c>
      <c r="G201" t="s">
        <v>43</v>
      </c>
      <c r="H201" t="s">
        <v>246</v>
      </c>
      <c r="I201" t="s">
        <v>246</v>
      </c>
      <c r="J201" t="s">
        <v>43</v>
      </c>
      <c r="K201" t="s">
        <v>193</v>
      </c>
      <c r="L201" t="s">
        <v>812</v>
      </c>
      <c r="M201" s="10" t="s">
        <v>43</v>
      </c>
      <c r="N201" s="10" t="s">
        <v>43</v>
      </c>
      <c r="O201" s="1">
        <v>53.57</v>
      </c>
      <c r="P201" s="1">
        <v>-3.3319999999999999</v>
      </c>
      <c r="Q201" s="1">
        <v>1</v>
      </c>
      <c r="R201" t="str">
        <f t="shared" si="7"/>
        <v>temperate</v>
      </c>
      <c r="T201" t="s">
        <v>792</v>
      </c>
      <c r="U201" t="s">
        <v>43</v>
      </c>
      <c r="V201" t="s">
        <v>43</v>
      </c>
    </row>
    <row r="202" spans="1:22">
      <c r="A202" s="20">
        <v>157</v>
      </c>
      <c r="B202" s="20">
        <v>183</v>
      </c>
      <c r="C202" s="1" t="s">
        <v>498</v>
      </c>
      <c r="D202" t="s">
        <v>504</v>
      </c>
      <c r="E202" t="s">
        <v>194</v>
      </c>
      <c r="F202" t="s">
        <v>43</v>
      </c>
      <c r="G202" t="s">
        <v>43</v>
      </c>
      <c r="H202" t="s">
        <v>246</v>
      </c>
      <c r="I202" t="s">
        <v>246</v>
      </c>
      <c r="J202" t="s">
        <v>43</v>
      </c>
      <c r="K202" t="s">
        <v>193</v>
      </c>
      <c r="L202" t="s">
        <v>812</v>
      </c>
      <c r="M202" s="10" t="s">
        <v>43</v>
      </c>
      <c r="N202" s="10" t="s">
        <v>43</v>
      </c>
      <c r="O202">
        <v>41.188000000000002</v>
      </c>
      <c r="P202">
        <v>40.238</v>
      </c>
      <c r="Q202">
        <v>1</v>
      </c>
      <c r="R202" t="str">
        <f t="shared" si="7"/>
        <v>temperate</v>
      </c>
      <c r="T202" t="s">
        <v>791</v>
      </c>
      <c r="U202" t="s">
        <v>43</v>
      </c>
      <c r="V202" t="s">
        <v>43</v>
      </c>
    </row>
  </sheetData>
  <sortState ref="A2:W202">
    <sortCondition ref="C173"/>
  </sortState>
  <conditionalFormatting sqref="H1:H65 H75:H1048576 H67:H73">
    <cfRule type="containsText" dxfId="2" priority="3" operator="containsText" text="None">
      <formula>NOT(ISERROR(SEARCH("None",H1)))</formula>
    </cfRule>
  </conditionalFormatting>
  <conditionalFormatting sqref="H74">
    <cfRule type="containsText" dxfId="1" priority="2" operator="containsText" text="None">
      <formula>NOT(ISERROR(SEARCH("None",H74)))</formula>
    </cfRule>
  </conditionalFormatting>
  <conditionalFormatting sqref="H66">
    <cfRule type="containsText" dxfId="0" priority="1" operator="containsText" text="None">
      <formula>NOT(ISERROR(SEARCH("None",H66)))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6"/>
  <sheetViews>
    <sheetView topLeftCell="H7" workbookViewId="0">
      <selection activeCell="O5" sqref="O5"/>
    </sheetView>
  </sheetViews>
  <sheetFormatPr baseColWidth="10" defaultRowHeight="15" x14ac:dyDescent="0"/>
  <cols>
    <col min="1" max="1" width="13.33203125" bestFit="1" customWidth="1"/>
    <col min="2" max="2" width="15.83203125" bestFit="1" customWidth="1"/>
    <col min="3" max="3" width="6.83203125" bestFit="1" customWidth="1"/>
    <col min="4" max="4" width="7.83203125" bestFit="1" customWidth="1"/>
    <col min="5" max="5" width="12" bestFit="1" customWidth="1"/>
    <col min="6" max="6" width="8.83203125" bestFit="1" customWidth="1"/>
    <col min="7" max="7" width="8.5" bestFit="1" customWidth="1"/>
    <col min="8" max="8" width="13.33203125" bestFit="1" customWidth="1"/>
    <col min="9" max="9" width="8" bestFit="1" customWidth="1"/>
    <col min="10" max="10" width="7.83203125" bestFit="1" customWidth="1"/>
    <col min="11" max="11" width="9" bestFit="1" customWidth="1"/>
    <col min="12" max="12" width="8.83203125" bestFit="1" customWidth="1"/>
    <col min="13" max="13" width="5.1640625" bestFit="1" customWidth="1"/>
    <col min="14" max="14" width="8.33203125" bestFit="1" customWidth="1"/>
    <col min="15" max="15" width="32.1640625" customWidth="1"/>
    <col min="16" max="16" width="15.83203125" customWidth="1"/>
    <col min="17" max="17" width="7.1640625" customWidth="1"/>
    <col min="18" max="18" width="7.6640625" customWidth="1"/>
    <col min="19" max="19" width="13.33203125" customWidth="1"/>
    <col min="20" max="20" width="7" customWidth="1"/>
    <col min="21" max="21" width="14.83203125" customWidth="1"/>
    <col min="22" max="22" width="13.5" customWidth="1"/>
    <col min="23" max="23" width="5.1640625" customWidth="1"/>
    <col min="24" max="24" width="4.1640625" customWidth="1"/>
    <col min="25" max="25" width="11.6640625" customWidth="1"/>
    <col min="26" max="26" width="32.1640625" customWidth="1"/>
    <col min="27" max="27" width="8.5" customWidth="1"/>
    <col min="28" max="28" width="16.33203125" customWidth="1"/>
    <col min="29" max="29" width="8" customWidth="1"/>
    <col min="30" max="30" width="20.83203125" customWidth="1"/>
    <col min="31" max="31" width="8.83203125" customWidth="1"/>
    <col min="32" max="32" width="9.6640625" customWidth="1"/>
    <col min="33" max="33" width="5.83203125" customWidth="1"/>
    <col min="34" max="34" width="8.1640625" customWidth="1"/>
    <col min="35" max="35" width="13.83203125" customWidth="1"/>
    <col min="36" max="36" width="11.6640625" customWidth="1"/>
    <col min="37" max="37" width="16.1640625" customWidth="1"/>
    <col min="38" max="38" width="34.33203125" customWidth="1"/>
    <col min="39" max="39" width="36.83203125" customWidth="1"/>
    <col min="40" max="40" width="10.6640625" customWidth="1"/>
    <col min="41" max="41" width="13.1640625" customWidth="1"/>
    <col min="42" max="42" width="18.5" customWidth="1"/>
    <col min="43" max="43" width="20.83203125" customWidth="1"/>
    <col min="44" max="44" width="10.1640625" customWidth="1"/>
    <col min="45" max="45" width="12.5" customWidth="1"/>
    <col min="46" max="46" width="23" customWidth="1"/>
    <col min="47" max="47" width="25.33203125" customWidth="1"/>
    <col min="48" max="48" width="11" customWidth="1"/>
    <col min="49" max="49" width="13.33203125" customWidth="1"/>
    <col min="50" max="50" width="16.1640625" bestFit="1" customWidth="1"/>
    <col min="51" max="51" width="34.33203125" bestFit="1" customWidth="1"/>
    <col min="52" max="52" width="8.1640625" customWidth="1"/>
    <col min="53" max="53" width="36.83203125" bestFit="1" customWidth="1"/>
    <col min="54" max="54" width="10.6640625" customWidth="1"/>
    <col min="55" max="55" width="8.1640625" customWidth="1"/>
    <col min="56" max="56" width="13.1640625" bestFit="1" customWidth="1"/>
    <col min="57" max="57" width="18.5" bestFit="1" customWidth="1"/>
    <col min="58" max="58" width="10.6640625" customWidth="1"/>
    <col min="59" max="59" width="8.1640625" customWidth="1"/>
    <col min="60" max="60" width="20.83203125" bestFit="1" customWidth="1"/>
    <col min="61" max="61" width="12.83203125" customWidth="1"/>
    <col min="62" max="62" width="8.1640625" customWidth="1"/>
    <col min="63" max="63" width="12.5" customWidth="1"/>
    <col min="64" max="64" width="23" bestFit="1" customWidth="1"/>
    <col min="65" max="65" width="8.1640625" customWidth="1"/>
    <col min="66" max="66" width="25.33203125" bestFit="1" customWidth="1"/>
    <col min="67" max="67" width="11" customWidth="1"/>
    <col min="68" max="68" width="12.5" bestFit="1" customWidth="1"/>
    <col min="69" max="69" width="13.33203125" bestFit="1" customWidth="1"/>
    <col min="70" max="70" width="10.83203125" customWidth="1"/>
  </cols>
  <sheetData>
    <row r="3" spans="1:18">
      <c r="O3" s="31" t="s">
        <v>670</v>
      </c>
      <c r="P3" s="31" t="s">
        <v>669</v>
      </c>
    </row>
    <row r="4" spans="1:18">
      <c r="A4" s="31" t="s">
        <v>655</v>
      </c>
      <c r="H4" s="31" t="s">
        <v>655</v>
      </c>
      <c r="O4" s="31" t="s">
        <v>655</v>
      </c>
      <c r="P4" t="s">
        <v>192</v>
      </c>
      <c r="Q4" t="s">
        <v>193</v>
      </c>
      <c r="R4" t="s">
        <v>199</v>
      </c>
    </row>
    <row r="5" spans="1:18">
      <c r="A5" s="32" t="s">
        <v>260</v>
      </c>
      <c r="H5" s="32" t="s">
        <v>260</v>
      </c>
      <c r="O5" s="32" t="s">
        <v>397</v>
      </c>
      <c r="P5" s="10">
        <v>4</v>
      </c>
      <c r="Q5" s="10">
        <v>3</v>
      </c>
      <c r="R5" s="10"/>
    </row>
    <row r="6" spans="1:18">
      <c r="A6" s="32" t="s">
        <v>1</v>
      </c>
      <c r="H6" s="32" t="s">
        <v>1</v>
      </c>
      <c r="O6" s="32" t="s">
        <v>383</v>
      </c>
      <c r="P6" s="10"/>
      <c r="Q6" s="10"/>
      <c r="R6" s="10">
        <v>5</v>
      </c>
    </row>
    <row r="7" spans="1:18">
      <c r="A7" s="32" t="s">
        <v>518</v>
      </c>
      <c r="H7" s="32" t="s">
        <v>518</v>
      </c>
      <c r="O7" s="32" t="s">
        <v>340</v>
      </c>
      <c r="P7" s="10">
        <v>1</v>
      </c>
      <c r="Q7" s="10"/>
      <c r="R7" s="10"/>
    </row>
    <row r="8" spans="1:18">
      <c r="A8" s="32" t="s">
        <v>86</v>
      </c>
      <c r="H8" s="32" t="s">
        <v>86</v>
      </c>
      <c r="O8" s="32" t="s">
        <v>541</v>
      </c>
      <c r="P8" s="10">
        <v>3</v>
      </c>
      <c r="Q8" s="10"/>
      <c r="R8" s="10"/>
    </row>
    <row r="9" spans="1:18">
      <c r="A9" s="32" t="s">
        <v>2</v>
      </c>
      <c r="H9" s="32" t="s">
        <v>2</v>
      </c>
      <c r="O9" s="32" t="s">
        <v>558</v>
      </c>
      <c r="P9" s="10">
        <v>3</v>
      </c>
      <c r="Q9" s="10"/>
      <c r="R9" s="10"/>
    </row>
    <row r="10" spans="1:18">
      <c r="A10" s="32" t="s">
        <v>624</v>
      </c>
      <c r="H10" s="32" t="s">
        <v>624</v>
      </c>
      <c r="O10" s="32" t="s">
        <v>576</v>
      </c>
      <c r="P10" s="10"/>
      <c r="Q10" s="10">
        <v>1</v>
      </c>
      <c r="R10" s="10"/>
    </row>
    <row r="11" spans="1:18">
      <c r="A11" s="32" t="s">
        <v>3</v>
      </c>
      <c r="H11" s="32" t="s">
        <v>3</v>
      </c>
      <c r="O11" s="32" t="s">
        <v>566</v>
      </c>
      <c r="P11" s="10">
        <v>1</v>
      </c>
      <c r="Q11" s="10">
        <v>1</v>
      </c>
      <c r="R11" s="10"/>
    </row>
    <row r="12" spans="1:18">
      <c r="A12" s="32" t="s">
        <v>273</v>
      </c>
      <c r="H12" s="32" t="s">
        <v>273</v>
      </c>
      <c r="O12" s="32" t="s">
        <v>198</v>
      </c>
      <c r="P12" s="10"/>
      <c r="Q12" s="10"/>
      <c r="R12" s="10">
        <v>24</v>
      </c>
    </row>
    <row r="13" spans="1:18">
      <c r="A13" s="32" t="s">
        <v>533</v>
      </c>
      <c r="H13" s="32" t="s">
        <v>533</v>
      </c>
      <c r="O13" s="32" t="s">
        <v>43</v>
      </c>
      <c r="P13" s="10"/>
      <c r="Q13" s="10">
        <v>110</v>
      </c>
      <c r="R13" s="10"/>
    </row>
    <row r="14" spans="1:18">
      <c r="A14" s="32" t="s">
        <v>279</v>
      </c>
      <c r="H14" s="32" t="s">
        <v>279</v>
      </c>
      <c r="O14" s="32" t="s">
        <v>206</v>
      </c>
      <c r="P14" s="10">
        <v>1</v>
      </c>
      <c r="Q14" s="10">
        <v>4</v>
      </c>
      <c r="R14" s="10"/>
    </row>
    <row r="15" spans="1:18">
      <c r="A15" s="32" t="s">
        <v>66</v>
      </c>
      <c r="H15" s="32" t="s">
        <v>66</v>
      </c>
      <c r="O15" s="32" t="s">
        <v>348</v>
      </c>
      <c r="P15" s="10">
        <v>1</v>
      </c>
      <c r="Q15" s="10"/>
      <c r="R15" s="10"/>
    </row>
    <row r="16" spans="1:18">
      <c r="A16" s="32" t="s">
        <v>4</v>
      </c>
      <c r="H16" s="32" t="s">
        <v>4</v>
      </c>
      <c r="O16" s="32" t="s">
        <v>529</v>
      </c>
      <c r="P16" s="10">
        <v>1</v>
      </c>
      <c r="Q16" s="10"/>
      <c r="R16" s="10"/>
    </row>
    <row r="17" spans="1:18">
      <c r="A17" s="32" t="s">
        <v>5</v>
      </c>
      <c r="H17" s="32" t="s">
        <v>5</v>
      </c>
      <c r="O17" s="32" t="s">
        <v>318</v>
      </c>
      <c r="P17" s="10"/>
      <c r="Q17" s="10"/>
      <c r="R17" s="10">
        <v>9</v>
      </c>
    </row>
    <row r="18" spans="1:18">
      <c r="A18" s="32" t="s">
        <v>96</v>
      </c>
      <c r="H18" s="32" t="s">
        <v>96</v>
      </c>
      <c r="O18" s="32" t="s">
        <v>248</v>
      </c>
      <c r="P18" s="10">
        <v>1</v>
      </c>
      <c r="Q18" s="10"/>
      <c r="R18" s="10"/>
    </row>
    <row r="19" spans="1:18">
      <c r="A19" s="32" t="s">
        <v>87</v>
      </c>
      <c r="H19" s="32" t="s">
        <v>87</v>
      </c>
      <c r="O19" s="32" t="s">
        <v>349</v>
      </c>
      <c r="P19" s="10"/>
      <c r="Q19" s="10"/>
      <c r="R19" s="10">
        <v>1</v>
      </c>
    </row>
    <row r="20" spans="1:18">
      <c r="A20" s="32" t="s">
        <v>292</v>
      </c>
      <c r="H20" s="32" t="s">
        <v>292</v>
      </c>
      <c r="O20" s="32" t="s">
        <v>568</v>
      </c>
      <c r="P20" s="10"/>
      <c r="Q20" s="10">
        <v>1</v>
      </c>
      <c r="R20" s="10"/>
    </row>
    <row r="21" spans="1:18">
      <c r="A21" s="32" t="s">
        <v>6</v>
      </c>
      <c r="H21" s="32" t="s">
        <v>6</v>
      </c>
    </row>
    <row r="22" spans="1:18">
      <c r="A22" s="32" t="s">
        <v>306</v>
      </c>
      <c r="H22" s="32" t="s">
        <v>306</v>
      </c>
    </row>
    <row r="23" spans="1:18">
      <c r="A23" s="32" t="s">
        <v>313</v>
      </c>
      <c r="H23" s="32" t="s">
        <v>313</v>
      </c>
    </row>
    <row r="24" spans="1:18">
      <c r="A24" s="32" t="s">
        <v>324</v>
      </c>
      <c r="H24" s="32" t="s">
        <v>324</v>
      </c>
    </row>
    <row r="25" spans="1:18">
      <c r="A25" s="32" t="s">
        <v>331</v>
      </c>
      <c r="H25" s="32" t="s">
        <v>331</v>
      </c>
    </row>
    <row r="26" spans="1:18">
      <c r="A26" s="32" t="s">
        <v>7</v>
      </c>
      <c r="H26" s="32" t="s">
        <v>7</v>
      </c>
    </row>
    <row r="27" spans="1:18">
      <c r="A27" s="32" t="s">
        <v>342</v>
      </c>
      <c r="H27" s="32" t="s">
        <v>342</v>
      </c>
    </row>
    <row r="28" spans="1:18">
      <c r="A28" s="32" t="s">
        <v>350</v>
      </c>
      <c r="H28" s="32" t="s">
        <v>350</v>
      </c>
    </row>
    <row r="29" spans="1:18">
      <c r="A29" s="32" t="s">
        <v>364</v>
      </c>
      <c r="H29" s="32" t="s">
        <v>364</v>
      </c>
    </row>
    <row r="30" spans="1:18">
      <c r="A30" s="32" t="s">
        <v>509</v>
      </c>
      <c r="H30" s="32" t="s">
        <v>509</v>
      </c>
    </row>
    <row r="31" spans="1:18">
      <c r="A31" s="32" t="s">
        <v>8</v>
      </c>
      <c r="H31" s="32" t="s">
        <v>511</v>
      </c>
    </row>
    <row r="32" spans="1:18">
      <c r="A32" s="32" t="s">
        <v>374</v>
      </c>
      <c r="H32" s="32" t="s">
        <v>510</v>
      </c>
    </row>
    <row r="33" spans="1:8">
      <c r="A33" s="32" t="s">
        <v>384</v>
      </c>
      <c r="H33" s="32" t="s">
        <v>8</v>
      </c>
    </row>
    <row r="34" spans="1:8">
      <c r="A34" s="32" t="s">
        <v>390</v>
      </c>
      <c r="H34" s="32" t="s">
        <v>374</v>
      </c>
    </row>
    <row r="35" spans="1:8">
      <c r="A35" s="32" t="s">
        <v>399</v>
      </c>
      <c r="H35" s="32" t="s">
        <v>384</v>
      </c>
    </row>
    <row r="36" spans="1:8">
      <c r="A36" s="32" t="s">
        <v>405</v>
      </c>
      <c r="H36" s="32" t="s">
        <v>390</v>
      </c>
    </row>
    <row r="37" spans="1:8">
      <c r="A37" s="32" t="s">
        <v>410</v>
      </c>
      <c r="H37" s="32" t="s">
        <v>399</v>
      </c>
    </row>
    <row r="38" spans="1:8">
      <c r="A38" s="32" t="s">
        <v>416</v>
      </c>
      <c r="H38" s="32" t="s">
        <v>405</v>
      </c>
    </row>
    <row r="39" spans="1:8">
      <c r="A39" s="32" t="s">
        <v>9</v>
      </c>
      <c r="H39" s="32" t="s">
        <v>410</v>
      </c>
    </row>
    <row r="40" spans="1:8">
      <c r="A40" s="32" t="s">
        <v>10</v>
      </c>
      <c r="H40" s="32" t="s">
        <v>416</v>
      </c>
    </row>
    <row r="41" spans="1:8">
      <c r="A41" s="32" t="s">
        <v>426</v>
      </c>
      <c r="H41" s="32" t="s">
        <v>9</v>
      </c>
    </row>
    <row r="42" spans="1:8">
      <c r="A42" s="32" t="s">
        <v>434</v>
      </c>
      <c r="H42" s="32" t="s">
        <v>10</v>
      </c>
    </row>
    <row r="43" spans="1:8">
      <c r="A43" s="32" t="s">
        <v>441</v>
      </c>
      <c r="H43" s="32" t="s">
        <v>426</v>
      </c>
    </row>
    <row r="44" spans="1:8">
      <c r="A44" s="32" t="s">
        <v>452</v>
      </c>
      <c r="H44" s="32" t="s">
        <v>434</v>
      </c>
    </row>
    <row r="45" spans="1:8">
      <c r="A45" s="32" t="s">
        <v>458</v>
      </c>
      <c r="H45" s="32" t="s">
        <v>441</v>
      </c>
    </row>
    <row r="46" spans="1:8">
      <c r="A46" s="32" t="s">
        <v>89</v>
      </c>
      <c r="H46" s="32" t="s">
        <v>452</v>
      </c>
    </row>
    <row r="47" spans="1:8">
      <c r="A47" s="32" t="s">
        <v>90</v>
      </c>
      <c r="H47" s="32" t="s">
        <v>458</v>
      </c>
    </row>
    <row r="48" spans="1:8">
      <c r="A48" s="32" t="s">
        <v>88</v>
      </c>
      <c r="H48" s="32" t="s">
        <v>89</v>
      </c>
    </row>
    <row r="49" spans="1:8">
      <c r="A49" s="32" t="s">
        <v>470</v>
      </c>
      <c r="H49" s="32" t="s">
        <v>90</v>
      </c>
    </row>
    <row r="50" spans="1:8">
      <c r="A50" s="32" t="s">
        <v>477</v>
      </c>
      <c r="H50" s="32" t="s">
        <v>88</v>
      </c>
    </row>
    <row r="51" spans="1:8">
      <c r="A51" s="32" t="s">
        <v>484</v>
      </c>
      <c r="H51" s="32" t="s">
        <v>470</v>
      </c>
    </row>
    <row r="52" spans="1:8">
      <c r="A52" s="32" t="s">
        <v>525</v>
      </c>
      <c r="H52" s="32" t="s">
        <v>477</v>
      </c>
    </row>
    <row r="53" spans="1:8">
      <c r="A53" s="32" t="s">
        <v>498</v>
      </c>
      <c r="H53" s="32" t="s">
        <v>484</v>
      </c>
    </row>
    <row r="54" spans="1:8">
      <c r="A54" s="32" t="s">
        <v>510</v>
      </c>
      <c r="H54" s="32" t="s">
        <v>525</v>
      </c>
    </row>
    <row r="55" spans="1:8">
      <c r="A55" s="32" t="s">
        <v>511</v>
      </c>
      <c r="H55" s="32" t="s">
        <v>498</v>
      </c>
    </row>
    <row r="56" spans="1:8">
      <c r="A56" s="32" t="s">
        <v>654</v>
      </c>
      <c r="H56" s="32" t="s">
        <v>654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2" sqref="C22"/>
    </sheetView>
  </sheetViews>
  <sheetFormatPr baseColWidth="10" defaultRowHeight="15" x14ac:dyDescent="0"/>
  <cols>
    <col min="1" max="1" width="13.83203125" bestFit="1" customWidth="1"/>
  </cols>
  <sheetData>
    <row r="1" spans="1:5">
      <c r="B1" t="s">
        <v>641</v>
      </c>
      <c r="C1" t="s">
        <v>639</v>
      </c>
      <c r="D1" t="s">
        <v>640</v>
      </c>
      <c r="E1" t="s">
        <v>642</v>
      </c>
    </row>
    <row r="2" spans="1:5">
      <c r="A2" t="s">
        <v>638</v>
      </c>
      <c r="B2">
        <v>8500</v>
      </c>
      <c r="C2" t="s">
        <v>357</v>
      </c>
      <c r="D2" s="30">
        <v>1000000</v>
      </c>
      <c r="E2" s="30">
        <f>B2*D2</f>
        <v>8500000000</v>
      </c>
    </row>
    <row r="3" spans="1:5">
      <c r="A3" t="s">
        <v>643</v>
      </c>
      <c r="B3">
        <v>15100</v>
      </c>
      <c r="C3" t="s">
        <v>645</v>
      </c>
      <c r="D3" s="30">
        <v>10000</v>
      </c>
      <c r="E3" s="30">
        <f t="shared" ref="E3:E4" si="0">B3*D3</f>
        <v>151000000</v>
      </c>
    </row>
    <row r="4" spans="1:5">
      <c r="A4" t="s">
        <v>644</v>
      </c>
      <c r="B4">
        <v>136000</v>
      </c>
      <c r="C4" t="s">
        <v>645</v>
      </c>
      <c r="D4" s="30">
        <v>10000</v>
      </c>
      <c r="E4" s="30">
        <f t="shared" si="0"/>
        <v>1360000000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64"/>
  <sheetViews>
    <sheetView workbookViewId="0">
      <pane ySplit="1" topLeftCell="A2" activePane="bottomLeft" state="frozen"/>
      <selection pane="bottomLeft" activeCell="D29" sqref="D29"/>
    </sheetView>
  </sheetViews>
  <sheetFormatPr baseColWidth="10" defaultRowHeight="12" x14ac:dyDescent="0"/>
  <cols>
    <col min="1" max="1" width="14.1640625" style="36" bestFit="1" customWidth="1"/>
    <col min="2" max="2" width="25" style="37" customWidth="1"/>
    <col min="3" max="3" width="34" style="37" customWidth="1"/>
    <col min="4" max="4" width="30.5" style="37" customWidth="1"/>
    <col min="5" max="6" width="8.83203125" style="38" bestFit="1" customWidth="1"/>
    <col min="7" max="7" width="11.83203125" style="38" bestFit="1" customWidth="1"/>
    <col min="8" max="8" width="11.1640625" style="38" bestFit="1" customWidth="1"/>
    <col min="9" max="9" width="15.1640625" style="38" bestFit="1" customWidth="1"/>
    <col min="10" max="10" width="18.33203125" style="39" customWidth="1"/>
    <col min="11" max="11" width="6" style="38" bestFit="1" customWidth="1"/>
    <col min="12" max="12" width="15.1640625" style="38" bestFit="1" customWidth="1"/>
    <col min="13" max="13" width="15.6640625" style="38" bestFit="1" customWidth="1"/>
    <col min="14" max="14" width="9.33203125" style="40" bestFit="1" customWidth="1"/>
    <col min="15" max="16384" width="10.83203125" style="35"/>
  </cols>
  <sheetData>
    <row r="1" spans="1:14" s="34" customFormat="1" ht="13" thickBot="1">
      <c r="A1" s="42" t="s">
        <v>0</v>
      </c>
      <c r="B1" s="43" t="s">
        <v>549</v>
      </c>
      <c r="C1" s="43" t="s">
        <v>26</v>
      </c>
      <c r="D1" s="43" t="s">
        <v>692</v>
      </c>
      <c r="E1" s="44" t="s">
        <v>17</v>
      </c>
      <c r="F1" s="44" t="s">
        <v>18</v>
      </c>
      <c r="G1" s="45" t="s">
        <v>550</v>
      </c>
      <c r="H1" s="45" t="s">
        <v>544</v>
      </c>
      <c r="I1" s="45" t="s">
        <v>691</v>
      </c>
      <c r="J1" s="46" t="s">
        <v>694</v>
      </c>
      <c r="K1" s="45" t="s">
        <v>205</v>
      </c>
      <c r="L1" s="45" t="s">
        <v>695</v>
      </c>
      <c r="M1" s="45" t="s">
        <v>696</v>
      </c>
      <c r="N1" s="41" t="s">
        <v>207</v>
      </c>
    </row>
    <row r="2" spans="1:14">
      <c r="A2" s="61" t="s">
        <v>260</v>
      </c>
      <c r="B2" s="62" t="s">
        <v>261</v>
      </c>
      <c r="C2" s="62" t="s">
        <v>262</v>
      </c>
      <c r="D2" s="62" t="s">
        <v>265</v>
      </c>
      <c r="E2" s="63">
        <v>-42.81</v>
      </c>
      <c r="F2" s="63">
        <v>148.22999999999999</v>
      </c>
      <c r="G2" s="63" t="s">
        <v>263</v>
      </c>
      <c r="H2" s="63" t="s">
        <v>545</v>
      </c>
      <c r="I2" s="63" t="s">
        <v>85</v>
      </c>
      <c r="J2" s="64" t="s">
        <v>15</v>
      </c>
      <c r="K2" s="63" t="s">
        <v>35</v>
      </c>
      <c r="L2" s="63" t="s">
        <v>198</v>
      </c>
      <c r="M2" s="65" t="s">
        <v>43</v>
      </c>
      <c r="N2" s="40">
        <v>19</v>
      </c>
    </row>
    <row r="3" spans="1:14">
      <c r="A3" s="53" t="s">
        <v>1</v>
      </c>
      <c r="B3" s="55" t="s">
        <v>28</v>
      </c>
      <c r="C3" s="55" t="s">
        <v>29</v>
      </c>
      <c r="D3" s="55" t="s">
        <v>44</v>
      </c>
      <c r="E3" s="57">
        <v>31.481000000000002</v>
      </c>
      <c r="F3" s="57">
        <v>30.838000000000001</v>
      </c>
      <c r="G3" s="57" t="s">
        <v>30</v>
      </c>
      <c r="H3" s="57" t="s">
        <v>545</v>
      </c>
      <c r="I3" s="57" t="s">
        <v>84</v>
      </c>
      <c r="J3" s="52" t="s">
        <v>15</v>
      </c>
      <c r="K3" s="57" t="s">
        <v>35</v>
      </c>
      <c r="L3" s="57" t="s">
        <v>558</v>
      </c>
      <c r="M3" s="66" t="s">
        <v>559</v>
      </c>
      <c r="N3" s="40">
        <v>1</v>
      </c>
    </row>
    <row r="4" spans="1:14">
      <c r="A4" s="53" t="s">
        <v>518</v>
      </c>
      <c r="B4" s="55" t="s">
        <v>519</v>
      </c>
      <c r="C4" s="55" t="s">
        <v>520</v>
      </c>
      <c r="D4" s="55" t="s">
        <v>524</v>
      </c>
      <c r="E4" s="57">
        <v>34.005000000000003</v>
      </c>
      <c r="F4" s="57">
        <v>-118.53700000000001</v>
      </c>
      <c r="G4" s="57" t="s">
        <v>30</v>
      </c>
      <c r="H4" s="57" t="s">
        <v>546</v>
      </c>
      <c r="I4" s="57" t="s">
        <v>85</v>
      </c>
      <c r="J4" s="52" t="s">
        <v>15</v>
      </c>
      <c r="K4" s="57" t="s">
        <v>35</v>
      </c>
      <c r="L4" s="57" t="s">
        <v>563</v>
      </c>
      <c r="M4" s="66" t="s">
        <v>43</v>
      </c>
      <c r="N4" s="40">
        <v>49</v>
      </c>
    </row>
    <row r="5" spans="1:14" ht="24">
      <c r="A5" s="53" t="s">
        <v>86</v>
      </c>
      <c r="B5" s="55" t="s">
        <v>36</v>
      </c>
      <c r="C5" s="55" t="s">
        <v>37</v>
      </c>
      <c r="D5" s="55" t="s">
        <v>46</v>
      </c>
      <c r="E5" s="57">
        <v>18.321999999999999</v>
      </c>
      <c r="F5" s="57">
        <v>-64.688000000000002</v>
      </c>
      <c r="G5" s="57" t="s">
        <v>34</v>
      </c>
      <c r="H5" s="57" t="s">
        <v>546</v>
      </c>
      <c r="I5" s="57" t="s">
        <v>80</v>
      </c>
      <c r="J5" s="52" t="s">
        <v>15</v>
      </c>
      <c r="K5" s="57" t="s">
        <v>35</v>
      </c>
      <c r="L5" s="57" t="s">
        <v>566</v>
      </c>
      <c r="M5" s="66" t="s">
        <v>567</v>
      </c>
      <c r="N5" s="40">
        <v>2</v>
      </c>
    </row>
    <row r="6" spans="1:14">
      <c r="A6" s="49" t="s">
        <v>698</v>
      </c>
      <c r="B6" s="50" t="s">
        <v>699</v>
      </c>
      <c r="C6" s="50" t="s">
        <v>700</v>
      </c>
      <c r="D6" s="50" t="s">
        <v>701</v>
      </c>
      <c r="E6" s="51">
        <v>38.457000000000001</v>
      </c>
      <c r="F6" s="51">
        <v>-9.0020000000000007</v>
      </c>
      <c r="G6" s="51" t="s">
        <v>30</v>
      </c>
      <c r="H6" s="51" t="s">
        <v>545</v>
      </c>
      <c r="I6" s="51" t="s">
        <v>85</v>
      </c>
      <c r="J6" s="51" t="s">
        <v>789</v>
      </c>
      <c r="K6" s="51" t="s">
        <v>33</v>
      </c>
      <c r="L6" s="51" t="s">
        <v>43</v>
      </c>
      <c r="M6" s="67" t="s">
        <v>43</v>
      </c>
      <c r="N6" s="60">
        <v>53</v>
      </c>
    </row>
    <row r="7" spans="1:14">
      <c r="A7" s="53" t="s">
        <v>2</v>
      </c>
      <c r="B7" s="55" t="s">
        <v>40</v>
      </c>
      <c r="C7" s="55" t="s">
        <v>41</v>
      </c>
      <c r="D7" s="55" t="s">
        <v>48</v>
      </c>
      <c r="E7" s="57">
        <v>52.930999999999997</v>
      </c>
      <c r="F7" s="57">
        <v>4.8630000000000004</v>
      </c>
      <c r="G7" s="57" t="s">
        <v>42</v>
      </c>
      <c r="H7" s="57" t="s">
        <v>545</v>
      </c>
      <c r="I7" s="57" t="s">
        <v>81</v>
      </c>
      <c r="J7" s="52" t="s">
        <v>686</v>
      </c>
      <c r="K7" s="57" t="s">
        <v>35</v>
      </c>
      <c r="L7" s="57" t="s">
        <v>568</v>
      </c>
      <c r="M7" s="66" t="s">
        <v>45</v>
      </c>
      <c r="N7" s="40">
        <v>3</v>
      </c>
    </row>
    <row r="8" spans="1:14">
      <c r="A8" s="53" t="s">
        <v>624</v>
      </c>
      <c r="B8" s="55" t="s">
        <v>91</v>
      </c>
      <c r="C8" s="55" t="s">
        <v>64</v>
      </c>
      <c r="D8" s="55" t="s">
        <v>65</v>
      </c>
      <c r="E8" s="68">
        <v>52.651000000000003</v>
      </c>
      <c r="F8" s="68">
        <v>3.96</v>
      </c>
      <c r="G8" s="57" t="s">
        <v>43</v>
      </c>
      <c r="H8" s="57" t="s">
        <v>546</v>
      </c>
      <c r="I8" s="57" t="s">
        <v>84</v>
      </c>
      <c r="J8" s="52" t="s">
        <v>686</v>
      </c>
      <c r="K8" s="57" t="s">
        <v>33</v>
      </c>
      <c r="L8" s="57" t="s">
        <v>43</v>
      </c>
      <c r="M8" s="66" t="s">
        <v>43</v>
      </c>
      <c r="N8" s="40">
        <v>4</v>
      </c>
    </row>
    <row r="9" spans="1:14">
      <c r="A9" s="49" t="s">
        <v>706</v>
      </c>
      <c r="B9" s="50" t="s">
        <v>707</v>
      </c>
      <c r="C9" s="50" t="s">
        <v>708</v>
      </c>
      <c r="D9" s="50" t="s">
        <v>709</v>
      </c>
      <c r="E9" s="51">
        <v>55.033000000000001</v>
      </c>
      <c r="F9" s="51">
        <v>-1.35</v>
      </c>
      <c r="G9" s="51" t="s">
        <v>72</v>
      </c>
      <c r="H9" s="51" t="s">
        <v>545</v>
      </c>
      <c r="I9" s="51" t="s">
        <v>84</v>
      </c>
      <c r="J9" s="51" t="s">
        <v>686</v>
      </c>
      <c r="K9" s="51" t="s">
        <v>35</v>
      </c>
      <c r="L9" s="51" t="s">
        <v>318</v>
      </c>
      <c r="M9" s="67" t="s">
        <v>43</v>
      </c>
      <c r="N9" s="60">
        <v>54</v>
      </c>
    </row>
    <row r="10" spans="1:14" ht="24">
      <c r="A10" s="53" t="s">
        <v>3</v>
      </c>
      <c r="B10" s="55" t="s">
        <v>229</v>
      </c>
      <c r="C10" s="55" t="s">
        <v>38</v>
      </c>
      <c r="D10" s="55" t="s">
        <v>47</v>
      </c>
      <c r="E10" s="57">
        <v>48.551000000000002</v>
      </c>
      <c r="F10" s="57">
        <v>-123.005</v>
      </c>
      <c r="G10" s="57" t="s">
        <v>43</v>
      </c>
      <c r="H10" s="57" t="s">
        <v>547</v>
      </c>
      <c r="I10" s="57" t="s">
        <v>85</v>
      </c>
      <c r="J10" s="52" t="s">
        <v>687</v>
      </c>
      <c r="K10" s="57" t="s">
        <v>33</v>
      </c>
      <c r="L10" s="57" t="s">
        <v>43</v>
      </c>
      <c r="M10" s="66" t="s">
        <v>43</v>
      </c>
      <c r="N10" s="40">
        <v>5</v>
      </c>
    </row>
    <row r="11" spans="1:14">
      <c r="A11" s="49" t="s">
        <v>716</v>
      </c>
      <c r="B11" s="50" t="s">
        <v>717</v>
      </c>
      <c r="C11" s="50" t="s">
        <v>718</v>
      </c>
      <c r="D11" s="50" t="s">
        <v>719</v>
      </c>
      <c r="E11" s="51">
        <v>37.832999999999998</v>
      </c>
      <c r="F11" s="51">
        <v>-122.333</v>
      </c>
      <c r="G11" s="51" t="s">
        <v>72</v>
      </c>
      <c r="H11" s="51" t="s">
        <v>545</v>
      </c>
      <c r="I11" s="51" t="s">
        <v>83</v>
      </c>
      <c r="J11" s="51" t="s">
        <v>78</v>
      </c>
      <c r="K11" s="51" t="s">
        <v>33</v>
      </c>
      <c r="L11" s="51" t="s">
        <v>43</v>
      </c>
      <c r="M11" s="67" t="s">
        <v>43</v>
      </c>
      <c r="N11" s="60">
        <v>55</v>
      </c>
    </row>
    <row r="12" spans="1:14">
      <c r="A12" s="53" t="s">
        <v>273</v>
      </c>
      <c r="B12" s="55" t="s">
        <v>274</v>
      </c>
      <c r="C12" s="55" t="s">
        <v>275</v>
      </c>
      <c r="D12" s="55" t="s">
        <v>276</v>
      </c>
      <c r="E12" s="57">
        <v>23.238</v>
      </c>
      <c r="F12" s="57">
        <v>-106.471</v>
      </c>
      <c r="G12" s="57" t="s">
        <v>586</v>
      </c>
      <c r="H12" s="57" t="s">
        <v>545</v>
      </c>
      <c r="I12" s="57" t="s">
        <v>85</v>
      </c>
      <c r="J12" s="52" t="s">
        <v>277</v>
      </c>
      <c r="K12" s="57" t="s">
        <v>33</v>
      </c>
      <c r="L12" s="57" t="s">
        <v>43</v>
      </c>
      <c r="M12" s="66" t="s">
        <v>43</v>
      </c>
      <c r="N12" s="40">
        <v>20</v>
      </c>
    </row>
    <row r="13" spans="1:14" ht="24">
      <c r="A13" s="53" t="s">
        <v>533</v>
      </c>
      <c r="B13" s="55" t="s">
        <v>534</v>
      </c>
      <c r="C13" s="55" t="s">
        <v>535</v>
      </c>
      <c r="D13" s="55" t="s">
        <v>540</v>
      </c>
      <c r="E13" s="57">
        <v>40.128999999999998</v>
      </c>
      <c r="F13" s="57">
        <v>-8.8450000000000006</v>
      </c>
      <c r="G13" s="57" t="s">
        <v>536</v>
      </c>
      <c r="H13" s="57" t="s">
        <v>545</v>
      </c>
      <c r="I13" s="57" t="s">
        <v>82</v>
      </c>
      <c r="J13" s="52" t="s">
        <v>686</v>
      </c>
      <c r="K13" s="57" t="s">
        <v>35</v>
      </c>
      <c r="L13" s="57" t="s">
        <v>541</v>
      </c>
      <c r="M13" s="66" t="s">
        <v>43</v>
      </c>
      <c r="N13" s="40">
        <v>51</v>
      </c>
    </row>
    <row r="14" spans="1:14">
      <c r="A14" s="49" t="s">
        <v>763</v>
      </c>
      <c r="B14" s="50" t="s">
        <v>766</v>
      </c>
      <c r="C14" s="50" t="s">
        <v>767</v>
      </c>
      <c r="D14" s="50" t="s">
        <v>764</v>
      </c>
      <c r="E14" s="51">
        <v>35.999000000000002</v>
      </c>
      <c r="F14" s="51">
        <v>14.343999999999999</v>
      </c>
      <c r="G14" s="51" t="s">
        <v>316</v>
      </c>
      <c r="H14" s="51" t="s">
        <v>545</v>
      </c>
      <c r="I14" s="51" t="s">
        <v>765</v>
      </c>
      <c r="J14" s="51" t="s">
        <v>686</v>
      </c>
      <c r="K14" s="51" t="s">
        <v>33</v>
      </c>
      <c r="L14" s="51" t="s">
        <v>43</v>
      </c>
      <c r="M14" s="67" t="s">
        <v>43</v>
      </c>
      <c r="N14" s="60">
        <v>60</v>
      </c>
    </row>
    <row r="15" spans="1:14" ht="24">
      <c r="A15" s="53" t="s">
        <v>279</v>
      </c>
      <c r="B15" s="55" t="s">
        <v>280</v>
      </c>
      <c r="C15" s="55" t="s">
        <v>281</v>
      </c>
      <c r="D15" s="55" t="s">
        <v>283</v>
      </c>
      <c r="E15" s="57">
        <v>-18.308</v>
      </c>
      <c r="F15" s="57">
        <v>146.1</v>
      </c>
      <c r="G15" s="57" t="s">
        <v>282</v>
      </c>
      <c r="H15" s="57" t="s">
        <v>545</v>
      </c>
      <c r="I15" s="57" t="s">
        <v>84</v>
      </c>
      <c r="J15" s="52" t="s">
        <v>284</v>
      </c>
      <c r="K15" s="57" t="s">
        <v>33</v>
      </c>
      <c r="L15" s="57" t="s">
        <v>43</v>
      </c>
      <c r="M15" s="66" t="s">
        <v>43</v>
      </c>
      <c r="N15" s="40">
        <v>21</v>
      </c>
    </row>
    <row r="16" spans="1:14">
      <c r="A16" s="49" t="s">
        <v>768</v>
      </c>
      <c r="B16" s="50" t="s">
        <v>769</v>
      </c>
      <c r="C16" s="50" t="s">
        <v>770</v>
      </c>
      <c r="D16" s="50" t="s">
        <v>771</v>
      </c>
      <c r="E16" s="51">
        <v>27.561</v>
      </c>
      <c r="F16" s="51">
        <v>-83.006</v>
      </c>
      <c r="G16" s="51" t="s">
        <v>61</v>
      </c>
      <c r="H16" s="51" t="s">
        <v>545</v>
      </c>
      <c r="I16" s="51" t="s">
        <v>80</v>
      </c>
      <c r="J16" s="51" t="s">
        <v>15</v>
      </c>
      <c r="K16" s="51" t="s">
        <v>35</v>
      </c>
      <c r="L16" s="51" t="s">
        <v>772</v>
      </c>
      <c r="M16" s="67" t="s">
        <v>43</v>
      </c>
      <c r="N16" s="60">
        <v>61</v>
      </c>
    </row>
    <row r="17" spans="1:14">
      <c r="A17" s="53" t="s">
        <v>66</v>
      </c>
      <c r="B17" s="55" t="s">
        <v>228</v>
      </c>
      <c r="C17" s="55" t="s">
        <v>38</v>
      </c>
      <c r="D17" s="55" t="s">
        <v>49</v>
      </c>
      <c r="E17" s="57">
        <v>18.309999999999999</v>
      </c>
      <c r="F17" s="57">
        <v>-64.73</v>
      </c>
      <c r="G17" s="57" t="s">
        <v>43</v>
      </c>
      <c r="H17" s="57" t="s">
        <v>547</v>
      </c>
      <c r="I17" s="57" t="s">
        <v>80</v>
      </c>
      <c r="J17" s="52" t="s">
        <v>12</v>
      </c>
      <c r="K17" s="57" t="s">
        <v>33</v>
      </c>
      <c r="L17" s="57" t="s">
        <v>43</v>
      </c>
      <c r="M17" s="66" t="s">
        <v>43</v>
      </c>
      <c r="N17" s="40">
        <v>6</v>
      </c>
    </row>
    <row r="18" spans="1:14" ht="24">
      <c r="A18" s="53" t="s">
        <v>4</v>
      </c>
      <c r="B18" s="55" t="s">
        <v>229</v>
      </c>
      <c r="C18" s="55" t="s">
        <v>38</v>
      </c>
      <c r="D18" s="55" t="s">
        <v>50</v>
      </c>
      <c r="E18" s="57">
        <v>48.58</v>
      </c>
      <c r="F18" s="57">
        <v>-123.03</v>
      </c>
      <c r="G18" s="57" t="s">
        <v>43</v>
      </c>
      <c r="H18" s="57" t="s">
        <v>547</v>
      </c>
      <c r="I18" s="57" t="s">
        <v>85</v>
      </c>
      <c r="J18" s="69" t="s">
        <v>693</v>
      </c>
      <c r="K18" s="57" t="s">
        <v>33</v>
      </c>
      <c r="L18" s="57" t="s">
        <v>43</v>
      </c>
      <c r="M18" s="66" t="s">
        <v>43</v>
      </c>
      <c r="N18" s="40">
        <v>7</v>
      </c>
    </row>
    <row r="19" spans="1:14">
      <c r="A19" s="53" t="s">
        <v>5</v>
      </c>
      <c r="B19" s="55" t="s">
        <v>51</v>
      </c>
      <c r="C19" s="55" t="s">
        <v>52</v>
      </c>
      <c r="D19" s="55" t="s">
        <v>53</v>
      </c>
      <c r="E19" s="57">
        <v>55.116999999999997</v>
      </c>
      <c r="F19" s="57">
        <v>-1.333</v>
      </c>
      <c r="G19" s="57" t="s">
        <v>72</v>
      </c>
      <c r="H19" s="57" t="s">
        <v>545</v>
      </c>
      <c r="I19" s="57" t="s">
        <v>84</v>
      </c>
      <c r="J19" s="52" t="s">
        <v>686</v>
      </c>
      <c r="K19" s="57" t="s">
        <v>33</v>
      </c>
      <c r="L19" s="57" t="s">
        <v>43</v>
      </c>
      <c r="M19" s="66" t="s">
        <v>43</v>
      </c>
      <c r="N19" s="40">
        <v>8</v>
      </c>
    </row>
    <row r="20" spans="1:14" ht="24">
      <c r="A20" s="53" t="s">
        <v>96</v>
      </c>
      <c r="B20" s="55" t="s">
        <v>56</v>
      </c>
      <c r="C20" s="55" t="s">
        <v>57</v>
      </c>
      <c r="D20" s="55" t="s">
        <v>578</v>
      </c>
      <c r="E20" s="57">
        <v>18.309999999999999</v>
      </c>
      <c r="F20" s="57">
        <v>-64.739999999999995</v>
      </c>
      <c r="G20" s="57" t="s">
        <v>577</v>
      </c>
      <c r="H20" s="57" t="s">
        <v>546</v>
      </c>
      <c r="I20" s="57" t="s">
        <v>80</v>
      </c>
      <c r="J20" s="52" t="s">
        <v>15</v>
      </c>
      <c r="K20" s="57" t="s">
        <v>35</v>
      </c>
      <c r="L20" s="57" t="s">
        <v>576</v>
      </c>
      <c r="M20" s="66" t="s">
        <v>566</v>
      </c>
      <c r="N20" s="40">
        <v>9</v>
      </c>
    </row>
    <row r="21" spans="1:14" ht="24">
      <c r="A21" s="53" t="s">
        <v>87</v>
      </c>
      <c r="B21" s="55" t="s">
        <v>36</v>
      </c>
      <c r="C21" s="55" t="s">
        <v>37</v>
      </c>
      <c r="D21" s="55" t="s">
        <v>55</v>
      </c>
      <c r="E21" s="57">
        <v>22.21</v>
      </c>
      <c r="F21" s="57">
        <v>-159.51</v>
      </c>
      <c r="G21" s="57" t="s">
        <v>54</v>
      </c>
      <c r="H21" s="57" t="s">
        <v>546</v>
      </c>
      <c r="I21" s="57" t="s">
        <v>80</v>
      </c>
      <c r="J21" s="52" t="s">
        <v>15</v>
      </c>
      <c r="K21" s="57" t="s">
        <v>33</v>
      </c>
      <c r="L21" s="57" t="s">
        <v>43</v>
      </c>
      <c r="M21" s="66" t="s">
        <v>43</v>
      </c>
      <c r="N21" s="40">
        <v>10</v>
      </c>
    </row>
    <row r="22" spans="1:14">
      <c r="A22" s="53" t="s">
        <v>292</v>
      </c>
      <c r="B22" s="55" t="s">
        <v>293</v>
      </c>
      <c r="C22" s="55" t="s">
        <v>294</v>
      </c>
      <c r="D22" s="55" t="s">
        <v>291</v>
      </c>
      <c r="E22" s="57">
        <v>49</v>
      </c>
      <c r="F22" s="57">
        <v>16.5</v>
      </c>
      <c r="G22" s="57" t="s">
        <v>295</v>
      </c>
      <c r="H22" s="57" t="s">
        <v>545</v>
      </c>
      <c r="I22" s="57" t="s">
        <v>84</v>
      </c>
      <c r="J22" s="52" t="s">
        <v>298</v>
      </c>
      <c r="K22" s="57" t="s">
        <v>33</v>
      </c>
      <c r="L22" s="57" t="s">
        <v>43</v>
      </c>
      <c r="M22" s="66" t="s">
        <v>43</v>
      </c>
      <c r="N22" s="40">
        <v>22</v>
      </c>
    </row>
    <row r="23" spans="1:14" ht="24">
      <c r="A23" s="53" t="s">
        <v>6</v>
      </c>
      <c r="B23" s="55" t="s">
        <v>227</v>
      </c>
      <c r="C23" s="55" t="s">
        <v>38</v>
      </c>
      <c r="D23" s="55" t="s">
        <v>697</v>
      </c>
      <c r="E23" s="57">
        <v>37.222499999999997</v>
      </c>
      <c r="F23" s="57">
        <v>-76.385000000000005</v>
      </c>
      <c r="G23" s="57" t="s">
        <v>43</v>
      </c>
      <c r="H23" s="57" t="s">
        <v>547</v>
      </c>
      <c r="I23" s="57" t="s">
        <v>82</v>
      </c>
      <c r="J23" s="52" t="s">
        <v>693</v>
      </c>
      <c r="K23" s="57" t="s">
        <v>33</v>
      </c>
      <c r="L23" s="57" t="s">
        <v>43</v>
      </c>
      <c r="M23" s="66" t="s">
        <v>43</v>
      </c>
      <c r="N23" s="40">
        <v>11</v>
      </c>
    </row>
    <row r="24" spans="1:14">
      <c r="A24" s="53" t="s">
        <v>306</v>
      </c>
      <c r="B24" s="55" t="s">
        <v>307</v>
      </c>
      <c r="C24" s="55" t="s">
        <v>308</v>
      </c>
      <c r="D24" s="55" t="s">
        <v>309</v>
      </c>
      <c r="E24" s="57">
        <v>56.034999999999997</v>
      </c>
      <c r="F24" s="57">
        <v>-3.5859999999999999</v>
      </c>
      <c r="G24" s="57" t="s">
        <v>72</v>
      </c>
      <c r="H24" s="57" t="s">
        <v>545</v>
      </c>
      <c r="I24" s="57" t="s">
        <v>85</v>
      </c>
      <c r="J24" s="52" t="s">
        <v>15</v>
      </c>
      <c r="K24" s="57" t="s">
        <v>33</v>
      </c>
      <c r="L24" s="57" t="s">
        <v>43</v>
      </c>
      <c r="M24" s="66" t="s">
        <v>43</v>
      </c>
      <c r="N24" s="40">
        <v>23</v>
      </c>
    </row>
    <row r="25" spans="1:14">
      <c r="A25" s="53" t="s">
        <v>313</v>
      </c>
      <c r="B25" s="55" t="s">
        <v>314</v>
      </c>
      <c r="C25" s="55" t="s">
        <v>315</v>
      </c>
      <c r="D25" s="55" t="s">
        <v>317</v>
      </c>
      <c r="E25" s="57">
        <v>54.98</v>
      </c>
      <c r="F25" s="57">
        <v>-1.532</v>
      </c>
      <c r="G25" s="57" t="s">
        <v>316</v>
      </c>
      <c r="H25" s="57" t="s">
        <v>545</v>
      </c>
      <c r="I25" s="57" t="s">
        <v>84</v>
      </c>
      <c r="J25" s="52" t="s">
        <v>686</v>
      </c>
      <c r="K25" s="57" t="s">
        <v>35</v>
      </c>
      <c r="L25" s="57" t="s">
        <v>318</v>
      </c>
      <c r="M25" s="66" t="s">
        <v>43</v>
      </c>
      <c r="N25" s="40">
        <v>24</v>
      </c>
    </row>
    <row r="26" spans="1:14">
      <c r="A26" s="53" t="s">
        <v>324</v>
      </c>
      <c r="B26" s="55" t="s">
        <v>325</v>
      </c>
      <c r="C26" s="55" t="s">
        <v>326</v>
      </c>
      <c r="D26" s="55" t="s">
        <v>327</v>
      </c>
      <c r="E26" s="57">
        <v>13.837</v>
      </c>
      <c r="F26" s="57">
        <v>-61.076000000000001</v>
      </c>
      <c r="G26" s="57" t="s">
        <v>252</v>
      </c>
      <c r="H26" s="57" t="s">
        <v>545</v>
      </c>
      <c r="I26" s="57" t="s">
        <v>80</v>
      </c>
      <c r="J26" s="52" t="s">
        <v>15</v>
      </c>
      <c r="K26" s="57" t="s">
        <v>35</v>
      </c>
      <c r="L26" s="57" t="s">
        <v>198</v>
      </c>
      <c r="M26" s="66" t="s">
        <v>43</v>
      </c>
      <c r="N26" s="40">
        <v>25</v>
      </c>
    </row>
    <row r="27" spans="1:14" ht="24">
      <c r="A27" s="49" t="s">
        <v>724</v>
      </c>
      <c r="B27" s="50" t="s">
        <v>725</v>
      </c>
      <c r="C27" s="50" t="s">
        <v>726</v>
      </c>
      <c r="D27" s="50" t="s">
        <v>727</v>
      </c>
      <c r="E27" s="51">
        <v>-36.534999999999997</v>
      </c>
      <c r="F27" s="51">
        <v>-72.95</v>
      </c>
      <c r="G27" s="51" t="s">
        <v>72</v>
      </c>
      <c r="H27" s="51" t="s">
        <v>545</v>
      </c>
      <c r="I27" s="51" t="s">
        <v>85</v>
      </c>
      <c r="J27" s="52" t="s">
        <v>730</v>
      </c>
      <c r="K27" s="51" t="s">
        <v>35</v>
      </c>
      <c r="L27" s="51" t="s">
        <v>729</v>
      </c>
      <c r="M27" s="67" t="s">
        <v>43</v>
      </c>
      <c r="N27" s="60">
        <v>56</v>
      </c>
    </row>
    <row r="28" spans="1:14">
      <c r="A28" s="49" t="s">
        <v>735</v>
      </c>
      <c r="B28" s="50" t="s">
        <v>736</v>
      </c>
      <c r="C28" s="50" t="s">
        <v>737</v>
      </c>
      <c r="D28" s="50" t="s">
        <v>738</v>
      </c>
      <c r="E28" s="51">
        <v>-23.016999999999999</v>
      </c>
      <c r="F28" s="51">
        <v>-70.441999999999993</v>
      </c>
      <c r="G28" s="51" t="s">
        <v>353</v>
      </c>
      <c r="H28" s="51" t="s">
        <v>545</v>
      </c>
      <c r="I28" s="51" t="s">
        <v>83</v>
      </c>
      <c r="J28" s="51" t="s">
        <v>739</v>
      </c>
      <c r="K28" s="51" t="s">
        <v>35</v>
      </c>
      <c r="L28" s="51" t="s">
        <v>564</v>
      </c>
      <c r="M28" s="67" t="s">
        <v>43</v>
      </c>
      <c r="N28" s="60">
        <v>57</v>
      </c>
    </row>
    <row r="29" spans="1:14" ht="24">
      <c r="A29" s="53" t="s">
        <v>331</v>
      </c>
      <c r="B29" s="55" t="s">
        <v>332</v>
      </c>
      <c r="C29" s="55" t="s">
        <v>333</v>
      </c>
      <c r="D29" s="55" t="s">
        <v>335</v>
      </c>
      <c r="E29" s="57">
        <v>31.72</v>
      </c>
      <c r="F29" s="57">
        <v>-116.654</v>
      </c>
      <c r="G29" s="57" t="s">
        <v>593</v>
      </c>
      <c r="H29" s="57" t="s">
        <v>545</v>
      </c>
      <c r="I29" s="57" t="s">
        <v>334</v>
      </c>
      <c r="J29" s="52" t="s">
        <v>336</v>
      </c>
      <c r="K29" s="57" t="s">
        <v>35</v>
      </c>
      <c r="L29" s="57" t="s">
        <v>340</v>
      </c>
      <c r="M29" s="66" t="s">
        <v>43</v>
      </c>
      <c r="N29" s="40">
        <v>26</v>
      </c>
    </row>
    <row r="30" spans="1:14" ht="24">
      <c r="A30" s="53" t="s">
        <v>7</v>
      </c>
      <c r="B30" s="55" t="s">
        <v>67</v>
      </c>
      <c r="C30" s="55" t="s">
        <v>60</v>
      </c>
      <c r="D30" s="55" t="s">
        <v>71</v>
      </c>
      <c r="E30" s="57">
        <v>-26.32</v>
      </c>
      <c r="F30" s="57">
        <v>132.97</v>
      </c>
      <c r="G30" s="57" t="s">
        <v>43</v>
      </c>
      <c r="H30" s="57" t="s">
        <v>547</v>
      </c>
      <c r="I30" s="57" t="s">
        <v>83</v>
      </c>
      <c r="J30" s="52" t="s">
        <v>78</v>
      </c>
      <c r="K30" s="57" t="s">
        <v>33</v>
      </c>
      <c r="L30" s="57" t="s">
        <v>43</v>
      </c>
      <c r="M30" s="66" t="s">
        <v>43</v>
      </c>
      <c r="N30" s="40">
        <v>12</v>
      </c>
    </row>
    <row r="31" spans="1:14" ht="24">
      <c r="A31" s="53" t="s">
        <v>342</v>
      </c>
      <c r="B31" s="55" t="s">
        <v>343</v>
      </c>
      <c r="C31" s="55" t="s">
        <v>344</v>
      </c>
      <c r="D31" s="55" t="s">
        <v>341</v>
      </c>
      <c r="E31" s="57">
        <v>66.215000000000003</v>
      </c>
      <c r="F31" s="57">
        <v>33.92</v>
      </c>
      <c r="G31" s="57" t="s">
        <v>316</v>
      </c>
      <c r="H31" s="57" t="s">
        <v>545</v>
      </c>
      <c r="I31" s="57" t="s">
        <v>84</v>
      </c>
      <c r="J31" s="52" t="s">
        <v>686</v>
      </c>
      <c r="K31" s="57" t="s">
        <v>35</v>
      </c>
      <c r="L31" s="57" t="s">
        <v>561</v>
      </c>
      <c r="M31" s="66" t="s">
        <v>562</v>
      </c>
      <c r="N31" s="40">
        <v>27</v>
      </c>
    </row>
    <row r="32" spans="1:14" ht="24">
      <c r="A32" s="53" t="s">
        <v>350</v>
      </c>
      <c r="B32" s="55" t="s">
        <v>351</v>
      </c>
      <c r="C32" s="55" t="s">
        <v>352</v>
      </c>
      <c r="D32" s="55" t="s">
        <v>355</v>
      </c>
      <c r="E32" s="57">
        <v>-35.511099999999999</v>
      </c>
      <c r="F32" s="57">
        <v>150.66</v>
      </c>
      <c r="G32" s="57" t="s">
        <v>353</v>
      </c>
      <c r="H32" s="57" t="s">
        <v>545</v>
      </c>
      <c r="I32" s="57" t="s">
        <v>82</v>
      </c>
      <c r="J32" s="52" t="s">
        <v>15</v>
      </c>
      <c r="K32" s="57" t="s">
        <v>33</v>
      </c>
      <c r="L32" s="57" t="s">
        <v>43</v>
      </c>
      <c r="M32" s="66" t="s">
        <v>43</v>
      </c>
      <c r="N32" s="40">
        <v>28</v>
      </c>
    </row>
    <row r="33" spans="1:14">
      <c r="A33" s="53" t="s">
        <v>364</v>
      </c>
      <c r="B33" s="55" t="s">
        <v>365</v>
      </c>
      <c r="C33" s="55" t="s">
        <v>366</v>
      </c>
      <c r="D33" s="55" t="s">
        <v>369</v>
      </c>
      <c r="E33" s="57">
        <v>45.411999999999999</v>
      </c>
      <c r="F33" s="57">
        <v>-124.187</v>
      </c>
      <c r="G33" s="57" t="s">
        <v>367</v>
      </c>
      <c r="H33" s="57" t="s">
        <v>545</v>
      </c>
      <c r="I33" s="57" t="s">
        <v>85</v>
      </c>
      <c r="J33" s="52" t="s">
        <v>15</v>
      </c>
      <c r="K33" s="57" t="s">
        <v>33</v>
      </c>
      <c r="L33" s="57" t="s">
        <v>43</v>
      </c>
      <c r="M33" s="66" t="s">
        <v>43</v>
      </c>
      <c r="N33" s="40">
        <v>29</v>
      </c>
    </row>
    <row r="34" spans="1:14">
      <c r="A34" s="53" t="s">
        <v>509</v>
      </c>
      <c r="B34" s="55" t="s">
        <v>505</v>
      </c>
      <c r="C34" s="55" t="s">
        <v>506</v>
      </c>
      <c r="D34" s="55" t="s">
        <v>508</v>
      </c>
      <c r="E34" s="57">
        <v>-12.64</v>
      </c>
      <c r="F34" s="57">
        <v>-38.04</v>
      </c>
      <c r="G34" s="57" t="s">
        <v>507</v>
      </c>
      <c r="H34" s="57" t="s">
        <v>545</v>
      </c>
      <c r="I34" s="57" t="s">
        <v>84</v>
      </c>
      <c r="J34" s="52" t="s">
        <v>298</v>
      </c>
      <c r="K34" s="57" t="s">
        <v>35</v>
      </c>
      <c r="L34" s="57" t="s">
        <v>564</v>
      </c>
      <c r="M34" s="66" t="s">
        <v>43</v>
      </c>
      <c r="N34" s="40">
        <v>46</v>
      </c>
    </row>
    <row r="35" spans="1:14">
      <c r="A35" s="53" t="s">
        <v>511</v>
      </c>
      <c r="B35" s="55" t="s">
        <v>514</v>
      </c>
      <c r="C35" s="55" t="s">
        <v>515</v>
      </c>
      <c r="D35" s="55" t="s">
        <v>508</v>
      </c>
      <c r="E35" s="57">
        <v>-12.64</v>
      </c>
      <c r="F35" s="57">
        <v>-38.04</v>
      </c>
      <c r="G35" s="57" t="s">
        <v>516</v>
      </c>
      <c r="H35" s="57" t="s">
        <v>545</v>
      </c>
      <c r="I35" s="57" t="s">
        <v>80</v>
      </c>
      <c r="J35" s="52" t="s">
        <v>686</v>
      </c>
      <c r="K35" s="57" t="s">
        <v>35</v>
      </c>
      <c r="L35" s="57" t="s">
        <v>564</v>
      </c>
      <c r="M35" s="66" t="s">
        <v>43</v>
      </c>
      <c r="N35" s="40">
        <v>48</v>
      </c>
    </row>
    <row r="36" spans="1:14">
      <c r="A36" s="53" t="s">
        <v>510</v>
      </c>
      <c r="B36" s="55" t="s">
        <v>512</v>
      </c>
      <c r="C36" s="55" t="s">
        <v>513</v>
      </c>
      <c r="D36" s="55" t="s">
        <v>508</v>
      </c>
      <c r="E36" s="57">
        <v>-12.64</v>
      </c>
      <c r="F36" s="57">
        <v>-38.04</v>
      </c>
      <c r="G36" s="57" t="s">
        <v>353</v>
      </c>
      <c r="H36" s="57" t="s">
        <v>545</v>
      </c>
      <c r="I36" s="57" t="s">
        <v>80</v>
      </c>
      <c r="J36" s="52" t="s">
        <v>277</v>
      </c>
      <c r="K36" s="57" t="s">
        <v>35</v>
      </c>
      <c r="L36" s="57" t="s">
        <v>564</v>
      </c>
      <c r="M36" s="66" t="s">
        <v>43</v>
      </c>
      <c r="N36" s="40">
        <v>47</v>
      </c>
    </row>
    <row r="37" spans="1:14">
      <c r="A37" s="53" t="s">
        <v>8</v>
      </c>
      <c r="B37" s="55" t="s">
        <v>68</v>
      </c>
      <c r="C37" s="55" t="s">
        <v>69</v>
      </c>
      <c r="D37" s="55" t="s">
        <v>70</v>
      </c>
      <c r="E37" s="57">
        <v>34.06</v>
      </c>
      <c r="F37" s="57">
        <v>-120.01</v>
      </c>
      <c r="G37" s="57" t="s">
        <v>43</v>
      </c>
      <c r="H37" s="57" t="s">
        <v>547</v>
      </c>
      <c r="I37" s="57" t="s">
        <v>85</v>
      </c>
      <c r="J37" s="52" t="s">
        <v>15</v>
      </c>
      <c r="K37" s="57" t="s">
        <v>35</v>
      </c>
      <c r="L37" s="57" t="s">
        <v>198</v>
      </c>
      <c r="M37" s="66" t="s">
        <v>43</v>
      </c>
      <c r="N37" s="40">
        <v>13</v>
      </c>
    </row>
    <row r="38" spans="1:14">
      <c r="A38" s="53" t="s">
        <v>374</v>
      </c>
      <c r="B38" s="55" t="s">
        <v>375</v>
      </c>
      <c r="C38" s="55" t="s">
        <v>376</v>
      </c>
      <c r="D38" s="55" t="s">
        <v>379</v>
      </c>
      <c r="E38" s="57">
        <v>26.018000000000001</v>
      </c>
      <c r="F38" s="57">
        <v>-80.111999999999995</v>
      </c>
      <c r="G38" s="57" t="s">
        <v>377</v>
      </c>
      <c r="H38" s="57" t="s">
        <v>545</v>
      </c>
      <c r="I38" s="57" t="s">
        <v>85</v>
      </c>
      <c r="J38" s="52" t="s">
        <v>15</v>
      </c>
      <c r="K38" s="57" t="s">
        <v>35</v>
      </c>
      <c r="L38" s="57" t="s">
        <v>563</v>
      </c>
      <c r="M38" s="66" t="s">
        <v>43</v>
      </c>
      <c r="N38" s="40">
        <v>30</v>
      </c>
    </row>
    <row r="39" spans="1:14">
      <c r="A39" s="53" t="s">
        <v>384</v>
      </c>
      <c r="B39" s="55" t="s">
        <v>385</v>
      </c>
      <c r="C39" s="55" t="s">
        <v>386</v>
      </c>
      <c r="D39" s="55" t="s">
        <v>387</v>
      </c>
      <c r="E39" s="57">
        <v>35.546999999999997</v>
      </c>
      <c r="F39" s="57">
        <v>135.34899999999999</v>
      </c>
      <c r="G39" s="57" t="s">
        <v>72</v>
      </c>
      <c r="H39" s="57" t="s">
        <v>545</v>
      </c>
      <c r="I39" s="57" t="s">
        <v>85</v>
      </c>
      <c r="J39" s="52" t="s">
        <v>15</v>
      </c>
      <c r="K39" s="57" t="s">
        <v>33</v>
      </c>
      <c r="L39" s="57" t="s">
        <v>43</v>
      </c>
      <c r="M39" s="66" t="s">
        <v>43</v>
      </c>
      <c r="N39" s="40">
        <v>31</v>
      </c>
    </row>
    <row r="40" spans="1:14">
      <c r="A40" s="53" t="s">
        <v>390</v>
      </c>
      <c r="B40" s="55" t="s">
        <v>391</v>
      </c>
      <c r="C40" s="55" t="s">
        <v>392</v>
      </c>
      <c r="D40" s="55" t="s">
        <v>398</v>
      </c>
      <c r="E40" s="57">
        <v>-4.05</v>
      </c>
      <c r="F40" s="57">
        <v>39.72</v>
      </c>
      <c r="G40" s="57" t="s">
        <v>596</v>
      </c>
      <c r="H40" s="57" t="s">
        <v>545</v>
      </c>
      <c r="I40" s="57" t="s">
        <v>80</v>
      </c>
      <c r="J40" s="52" t="s">
        <v>12</v>
      </c>
      <c r="K40" s="57" t="s">
        <v>35</v>
      </c>
      <c r="L40" s="57" t="s">
        <v>564</v>
      </c>
      <c r="M40" s="66" t="s">
        <v>43</v>
      </c>
      <c r="N40" s="40">
        <v>32</v>
      </c>
    </row>
    <row r="41" spans="1:14">
      <c r="A41" s="53" t="s">
        <v>399</v>
      </c>
      <c r="B41" s="55" t="s">
        <v>400</v>
      </c>
      <c r="C41" s="55" t="s">
        <v>401</v>
      </c>
      <c r="D41" s="55" t="s">
        <v>402</v>
      </c>
      <c r="E41" s="57">
        <v>56.029000000000003</v>
      </c>
      <c r="F41" s="57">
        <v>-3.657</v>
      </c>
      <c r="G41" s="57" t="s">
        <v>30</v>
      </c>
      <c r="H41" s="57" t="s">
        <v>545</v>
      </c>
      <c r="I41" s="57" t="s">
        <v>81</v>
      </c>
      <c r="J41" s="52" t="s">
        <v>686</v>
      </c>
      <c r="K41" s="57" t="s">
        <v>35</v>
      </c>
      <c r="L41" s="57" t="s">
        <v>318</v>
      </c>
      <c r="M41" s="66" t="s">
        <v>43</v>
      </c>
      <c r="N41" s="40">
        <v>33</v>
      </c>
    </row>
    <row r="42" spans="1:14">
      <c r="A42" s="53" t="s">
        <v>405</v>
      </c>
      <c r="B42" s="55" t="s">
        <v>406</v>
      </c>
      <c r="C42" s="55" t="s">
        <v>407</v>
      </c>
      <c r="D42" s="55" t="s">
        <v>408</v>
      </c>
      <c r="E42" s="57">
        <v>43.347000000000001</v>
      </c>
      <c r="F42" s="57">
        <v>-124.321</v>
      </c>
      <c r="G42" s="57" t="s">
        <v>316</v>
      </c>
      <c r="H42" s="57" t="s">
        <v>545</v>
      </c>
      <c r="I42" s="57" t="s">
        <v>83</v>
      </c>
      <c r="J42" s="52" t="s">
        <v>685</v>
      </c>
      <c r="K42" s="57" t="s">
        <v>33</v>
      </c>
      <c r="L42" s="57" t="s">
        <v>43</v>
      </c>
      <c r="M42" s="66" t="s">
        <v>43</v>
      </c>
      <c r="N42" s="40">
        <v>34</v>
      </c>
    </row>
    <row r="43" spans="1:14">
      <c r="A43" s="49" t="s">
        <v>742</v>
      </c>
      <c r="B43" s="50" t="s">
        <v>743</v>
      </c>
      <c r="C43" s="50" t="s">
        <v>744</v>
      </c>
      <c r="D43" s="50" t="s">
        <v>745</v>
      </c>
      <c r="E43" s="51">
        <v>42.12</v>
      </c>
      <c r="F43" s="51">
        <v>-8.85</v>
      </c>
      <c r="G43" s="51" t="s">
        <v>353</v>
      </c>
      <c r="H43" s="51" t="s">
        <v>545</v>
      </c>
      <c r="I43" s="51" t="s">
        <v>84</v>
      </c>
      <c r="J43" s="51" t="s">
        <v>686</v>
      </c>
      <c r="K43" s="51" t="s">
        <v>33</v>
      </c>
      <c r="L43" s="51" t="s">
        <v>43</v>
      </c>
      <c r="M43" s="67" t="s">
        <v>43</v>
      </c>
      <c r="N43" s="60">
        <v>58</v>
      </c>
    </row>
    <row r="44" spans="1:14">
      <c r="A44" s="53" t="s">
        <v>410</v>
      </c>
      <c r="B44" s="55" t="s">
        <v>411</v>
      </c>
      <c r="C44" s="55" t="s">
        <v>412</v>
      </c>
      <c r="D44" s="55" t="s">
        <v>413</v>
      </c>
      <c r="E44" s="57">
        <v>17.614999999999998</v>
      </c>
      <c r="F44" s="57">
        <v>-63.253999999999998</v>
      </c>
      <c r="G44" s="57" t="s">
        <v>600</v>
      </c>
      <c r="H44" s="57" t="s">
        <v>545</v>
      </c>
      <c r="I44" s="57" t="s">
        <v>80</v>
      </c>
      <c r="J44" s="52" t="s">
        <v>15</v>
      </c>
      <c r="K44" s="57" t="s">
        <v>35</v>
      </c>
      <c r="L44" s="57" t="s">
        <v>198</v>
      </c>
      <c r="M44" s="66" t="s">
        <v>43</v>
      </c>
      <c r="N44" s="40">
        <v>35</v>
      </c>
    </row>
    <row r="45" spans="1:14">
      <c r="A45" s="49" t="s">
        <v>748</v>
      </c>
      <c r="B45" s="50" t="s">
        <v>749</v>
      </c>
      <c r="C45" s="50" t="s">
        <v>750</v>
      </c>
      <c r="D45" s="50" t="s">
        <v>758</v>
      </c>
      <c r="E45" s="51">
        <v>44.453000000000003</v>
      </c>
      <c r="F45" s="51">
        <v>12.451000000000001</v>
      </c>
      <c r="G45" s="51" t="s">
        <v>751</v>
      </c>
      <c r="H45" s="51" t="s">
        <v>545</v>
      </c>
      <c r="I45" s="51" t="s">
        <v>84</v>
      </c>
      <c r="J45" s="51" t="s">
        <v>686</v>
      </c>
      <c r="K45" s="51" t="s">
        <v>33</v>
      </c>
      <c r="L45" s="51" t="s">
        <v>43</v>
      </c>
      <c r="M45" s="67" t="s">
        <v>43</v>
      </c>
      <c r="N45" s="60">
        <v>59</v>
      </c>
    </row>
    <row r="46" spans="1:14" ht="24">
      <c r="A46" s="53" t="s">
        <v>416</v>
      </c>
      <c r="B46" s="55" t="s">
        <v>417</v>
      </c>
      <c r="C46" s="55" t="s">
        <v>418</v>
      </c>
      <c r="D46" s="55" t="s">
        <v>419</v>
      </c>
      <c r="E46" s="57">
        <v>49.133000000000003</v>
      </c>
      <c r="F46" s="57">
        <v>-125.96299999999999</v>
      </c>
      <c r="G46" s="57" t="s">
        <v>353</v>
      </c>
      <c r="H46" s="57" t="s">
        <v>545</v>
      </c>
      <c r="I46" s="57" t="s">
        <v>82</v>
      </c>
      <c r="J46" s="52" t="s">
        <v>15</v>
      </c>
      <c r="K46" s="57" t="s">
        <v>33</v>
      </c>
      <c r="L46" s="57" t="s">
        <v>43</v>
      </c>
      <c r="M46" s="66" t="s">
        <v>43</v>
      </c>
      <c r="N46" s="40">
        <v>36</v>
      </c>
    </row>
    <row r="47" spans="1:14">
      <c r="A47" s="53" t="s">
        <v>9</v>
      </c>
      <c r="B47" s="55" t="s">
        <v>239</v>
      </c>
      <c r="C47" s="55" t="s">
        <v>39</v>
      </c>
      <c r="D47" s="55" t="s">
        <v>63</v>
      </c>
      <c r="E47" s="57">
        <v>34.39</v>
      </c>
      <c r="F47" s="57">
        <v>-119.7</v>
      </c>
      <c r="G47" s="57" t="s">
        <v>43</v>
      </c>
      <c r="H47" s="57" t="s">
        <v>547</v>
      </c>
      <c r="I47" s="57" t="s">
        <v>85</v>
      </c>
      <c r="J47" s="52" t="s">
        <v>693</v>
      </c>
      <c r="K47" s="57" t="s">
        <v>33</v>
      </c>
      <c r="L47" s="57" t="s">
        <v>43</v>
      </c>
      <c r="M47" s="66" t="s">
        <v>43</v>
      </c>
      <c r="N47" s="40">
        <v>14</v>
      </c>
    </row>
    <row r="48" spans="1:14">
      <c r="A48" s="53" t="s">
        <v>10</v>
      </c>
      <c r="B48" s="55" t="s">
        <v>548</v>
      </c>
      <c r="C48" s="55" t="s">
        <v>241</v>
      </c>
      <c r="D48" s="55" t="s">
        <v>62</v>
      </c>
      <c r="E48" s="57">
        <v>42.9</v>
      </c>
      <c r="F48" s="57">
        <v>-70.790000000000006</v>
      </c>
      <c r="G48" s="57" t="s">
        <v>61</v>
      </c>
      <c r="H48" s="57" t="s">
        <v>546</v>
      </c>
      <c r="I48" s="57" t="s">
        <v>85</v>
      </c>
      <c r="J48" s="52" t="s">
        <v>693</v>
      </c>
      <c r="K48" s="57" t="s">
        <v>35</v>
      </c>
      <c r="L48" s="57" t="s">
        <v>206</v>
      </c>
      <c r="M48" s="66" t="s">
        <v>43</v>
      </c>
      <c r="N48" s="40">
        <v>15</v>
      </c>
    </row>
    <row r="49" spans="1:17" ht="24">
      <c r="A49" s="53" t="s">
        <v>656</v>
      </c>
      <c r="B49" s="55" t="s">
        <v>656</v>
      </c>
      <c r="C49" s="55" t="s">
        <v>38</v>
      </c>
      <c r="D49" s="55" t="s">
        <v>657</v>
      </c>
      <c r="E49" s="57">
        <v>42.414999999999999</v>
      </c>
      <c r="F49" s="57">
        <v>-70.905000000000001</v>
      </c>
      <c r="G49" s="57" t="s">
        <v>43</v>
      </c>
      <c r="H49" s="57" t="s">
        <v>547</v>
      </c>
      <c r="I49" s="57" t="s">
        <v>85</v>
      </c>
      <c r="J49" s="52" t="s">
        <v>687</v>
      </c>
      <c r="K49" s="57" t="s">
        <v>33</v>
      </c>
      <c r="L49" s="57" t="s">
        <v>43</v>
      </c>
      <c r="M49" s="66" t="s">
        <v>43</v>
      </c>
      <c r="N49" s="40">
        <v>52</v>
      </c>
    </row>
    <row r="50" spans="1:17" ht="24">
      <c r="A50" s="53" t="s">
        <v>426</v>
      </c>
      <c r="B50" s="55" t="s">
        <v>427</v>
      </c>
      <c r="C50" s="55" t="s">
        <v>428</v>
      </c>
      <c r="D50" s="55" t="s">
        <v>430</v>
      </c>
      <c r="E50" s="57">
        <v>-19.271000000000001</v>
      </c>
      <c r="F50" s="57">
        <v>146.78800000000001</v>
      </c>
      <c r="G50" s="57" t="s">
        <v>316</v>
      </c>
      <c r="H50" s="57" t="s">
        <v>545</v>
      </c>
      <c r="I50" s="57" t="s">
        <v>84</v>
      </c>
      <c r="J50" s="52" t="s">
        <v>15</v>
      </c>
      <c r="K50" s="57" t="s">
        <v>33</v>
      </c>
      <c r="L50" s="57" t="s">
        <v>43</v>
      </c>
      <c r="M50" s="66" t="s">
        <v>43</v>
      </c>
      <c r="N50" s="40">
        <v>37</v>
      </c>
    </row>
    <row r="51" spans="1:17">
      <c r="A51" s="53" t="s">
        <v>434</v>
      </c>
      <c r="B51" s="55" t="s">
        <v>435</v>
      </c>
      <c r="C51" s="55" t="s">
        <v>436</v>
      </c>
      <c r="D51" s="55" t="s">
        <v>437</v>
      </c>
      <c r="E51" s="57">
        <v>35</v>
      </c>
      <c r="F51" s="57">
        <v>139.35</v>
      </c>
      <c r="G51" s="57" t="s">
        <v>282</v>
      </c>
      <c r="H51" s="57" t="s">
        <v>545</v>
      </c>
      <c r="I51" s="57" t="s">
        <v>84</v>
      </c>
      <c r="J51" s="52" t="s">
        <v>438</v>
      </c>
      <c r="K51" s="57" t="s">
        <v>33</v>
      </c>
      <c r="L51" s="57" t="s">
        <v>43</v>
      </c>
      <c r="M51" s="66" t="s">
        <v>43</v>
      </c>
      <c r="N51" s="40">
        <v>38</v>
      </c>
    </row>
    <row r="52" spans="1:17">
      <c r="A52" s="49" t="s">
        <v>779</v>
      </c>
      <c r="B52" s="50" t="s">
        <v>780</v>
      </c>
      <c r="C52" s="50" t="s">
        <v>781</v>
      </c>
      <c r="D52" s="50" t="s">
        <v>782</v>
      </c>
      <c r="E52" s="51">
        <v>22.3</v>
      </c>
      <c r="F52" s="51">
        <v>114.14</v>
      </c>
      <c r="G52" s="51" t="s">
        <v>353</v>
      </c>
      <c r="H52" s="51" t="s">
        <v>545</v>
      </c>
      <c r="I52" s="51" t="s">
        <v>84</v>
      </c>
      <c r="J52" s="51" t="s">
        <v>686</v>
      </c>
      <c r="K52" s="51" t="s">
        <v>33</v>
      </c>
      <c r="L52" s="51" t="s">
        <v>43</v>
      </c>
      <c r="M52" s="67" t="s">
        <v>43</v>
      </c>
      <c r="N52" s="60">
        <v>62</v>
      </c>
    </row>
    <row r="53" spans="1:17">
      <c r="A53" s="53" t="s">
        <v>441</v>
      </c>
      <c r="B53" s="55" t="s">
        <v>442</v>
      </c>
      <c r="C53" s="55" t="s">
        <v>443</v>
      </c>
      <c r="D53" s="55" t="s">
        <v>444</v>
      </c>
      <c r="E53" s="57">
        <v>24.814</v>
      </c>
      <c r="F53" s="57">
        <v>-80.736999999999995</v>
      </c>
      <c r="G53" s="57" t="s">
        <v>72</v>
      </c>
      <c r="H53" s="57" t="s">
        <v>545</v>
      </c>
      <c r="I53" s="57" t="s">
        <v>80</v>
      </c>
      <c r="J53" s="52" t="s">
        <v>12</v>
      </c>
      <c r="K53" s="57" t="s">
        <v>33</v>
      </c>
      <c r="L53" s="57" t="s">
        <v>43</v>
      </c>
      <c r="M53" s="66" t="s">
        <v>43</v>
      </c>
      <c r="N53" s="40">
        <v>39</v>
      </c>
    </row>
    <row r="54" spans="1:17" s="1" customFormat="1" ht="15">
      <c r="A54" s="53" t="s">
        <v>452</v>
      </c>
      <c r="B54" s="55" t="s">
        <v>453</v>
      </c>
      <c r="C54" s="55" t="s">
        <v>454</v>
      </c>
      <c r="D54" s="55" t="s">
        <v>455</v>
      </c>
      <c r="E54" s="57">
        <v>55</v>
      </c>
      <c r="F54" s="57">
        <v>2.5</v>
      </c>
      <c r="G54" s="57" t="s">
        <v>72</v>
      </c>
      <c r="H54" s="57" t="s">
        <v>545</v>
      </c>
      <c r="I54" s="57" t="s">
        <v>84</v>
      </c>
      <c r="J54" s="52" t="s">
        <v>686</v>
      </c>
      <c r="K54" s="57" t="s">
        <v>33</v>
      </c>
      <c r="L54" s="57" t="s">
        <v>43</v>
      </c>
      <c r="M54" s="66" t="s">
        <v>43</v>
      </c>
      <c r="N54" s="40">
        <v>40</v>
      </c>
    </row>
    <row r="55" spans="1:17" s="1" customFormat="1" ht="15">
      <c r="A55" s="53" t="s">
        <v>458</v>
      </c>
      <c r="B55" s="55" t="s">
        <v>459</v>
      </c>
      <c r="C55" s="55" t="s">
        <v>460</v>
      </c>
      <c r="D55" s="55" t="s">
        <v>461</v>
      </c>
      <c r="E55" s="57">
        <v>12.65</v>
      </c>
      <c r="F55" s="57">
        <v>109.392</v>
      </c>
      <c r="G55" s="57" t="s">
        <v>353</v>
      </c>
      <c r="H55" s="57" t="s">
        <v>545</v>
      </c>
      <c r="I55" s="57" t="s">
        <v>80</v>
      </c>
      <c r="J55" s="52" t="s">
        <v>15</v>
      </c>
      <c r="K55" s="57" t="s">
        <v>35</v>
      </c>
      <c r="L55" s="57" t="s">
        <v>198</v>
      </c>
      <c r="M55" s="66" t="s">
        <v>43</v>
      </c>
      <c r="N55" s="40">
        <v>41</v>
      </c>
      <c r="Q55" s="1" t="s">
        <v>710</v>
      </c>
    </row>
    <row r="56" spans="1:17" s="1" customFormat="1" ht="15">
      <c r="A56" s="53" t="s">
        <v>89</v>
      </c>
      <c r="B56" s="55" t="s">
        <v>73</v>
      </c>
      <c r="C56" s="55" t="s">
        <v>38</v>
      </c>
      <c r="D56" s="55" t="s">
        <v>77</v>
      </c>
      <c r="E56" s="57">
        <v>57.26</v>
      </c>
      <c r="F56" s="57">
        <v>12.06</v>
      </c>
      <c r="G56" s="57" t="s">
        <v>75</v>
      </c>
      <c r="H56" s="57" t="s">
        <v>546</v>
      </c>
      <c r="I56" s="57" t="s">
        <v>85</v>
      </c>
      <c r="J56" s="52" t="s">
        <v>15</v>
      </c>
      <c r="K56" s="57" t="s">
        <v>35</v>
      </c>
      <c r="L56" s="57" t="s">
        <v>206</v>
      </c>
      <c r="M56" s="66" t="s">
        <v>43</v>
      </c>
      <c r="N56" s="40">
        <v>16</v>
      </c>
    </row>
    <row r="57" spans="1:17" s="1" customFormat="1" ht="15">
      <c r="A57" s="53" t="s">
        <v>90</v>
      </c>
      <c r="B57" s="55" t="s">
        <v>73</v>
      </c>
      <c r="C57" s="55" t="s">
        <v>38</v>
      </c>
      <c r="D57" s="55" t="s">
        <v>77</v>
      </c>
      <c r="E57" s="57">
        <v>57.24</v>
      </c>
      <c r="F57" s="57">
        <v>12.06</v>
      </c>
      <c r="G57" s="57" t="s">
        <v>61</v>
      </c>
      <c r="H57" s="57" t="s">
        <v>546</v>
      </c>
      <c r="I57" s="57" t="s">
        <v>85</v>
      </c>
      <c r="J57" s="52" t="s">
        <v>15</v>
      </c>
      <c r="K57" s="57" t="s">
        <v>35</v>
      </c>
      <c r="L57" s="57" t="s">
        <v>560</v>
      </c>
      <c r="M57" s="66" t="s">
        <v>43</v>
      </c>
      <c r="N57" s="40">
        <v>17</v>
      </c>
    </row>
    <row r="58" spans="1:17" s="1" customFormat="1" ht="15">
      <c r="A58" s="53" t="s">
        <v>88</v>
      </c>
      <c r="B58" s="55" t="s">
        <v>73</v>
      </c>
      <c r="C58" s="55" t="s">
        <v>38</v>
      </c>
      <c r="D58" s="55" t="s">
        <v>76</v>
      </c>
      <c r="E58" s="57">
        <v>57.68</v>
      </c>
      <c r="F58" s="57">
        <v>16.88</v>
      </c>
      <c r="G58" s="57" t="s">
        <v>74</v>
      </c>
      <c r="H58" s="57" t="s">
        <v>546</v>
      </c>
      <c r="I58" s="57" t="s">
        <v>84</v>
      </c>
      <c r="J58" s="52" t="s">
        <v>686</v>
      </c>
      <c r="K58" s="57" t="s">
        <v>35</v>
      </c>
      <c r="L58" s="57" t="s">
        <v>206</v>
      </c>
      <c r="M58" s="66" t="s">
        <v>43</v>
      </c>
      <c r="N58" s="40">
        <v>18</v>
      </c>
    </row>
    <row r="59" spans="1:17" s="1" customFormat="1" ht="15">
      <c r="A59" s="53" t="s">
        <v>470</v>
      </c>
      <c r="B59" s="55" t="s">
        <v>471</v>
      </c>
      <c r="C59" s="55" t="s">
        <v>472</v>
      </c>
      <c r="D59" s="55" t="s">
        <v>474</v>
      </c>
      <c r="E59" s="57">
        <v>37.15</v>
      </c>
      <c r="F59" s="57">
        <v>9.5500000000000007</v>
      </c>
      <c r="G59" s="57" t="s">
        <v>473</v>
      </c>
      <c r="H59" s="57" t="s">
        <v>545</v>
      </c>
      <c r="I59" s="57" t="s">
        <v>83</v>
      </c>
      <c r="J59" s="52" t="s">
        <v>78</v>
      </c>
      <c r="K59" s="57" t="s">
        <v>33</v>
      </c>
      <c r="L59" s="57" t="s">
        <v>43</v>
      </c>
      <c r="M59" s="66" t="s">
        <v>43</v>
      </c>
      <c r="N59" s="40">
        <v>42</v>
      </c>
    </row>
    <row r="60" spans="1:17" s="1" customFormat="1" ht="15">
      <c r="A60" s="53" t="s">
        <v>477</v>
      </c>
      <c r="B60" s="55" t="s">
        <v>478</v>
      </c>
      <c r="C60" s="55" t="s">
        <v>479</v>
      </c>
      <c r="D60" s="55" t="s">
        <v>481</v>
      </c>
      <c r="E60" s="57">
        <v>43.6</v>
      </c>
      <c r="F60" s="57">
        <v>-3.7829999999999999</v>
      </c>
      <c r="G60" s="57" t="s">
        <v>480</v>
      </c>
      <c r="H60" s="57" t="s">
        <v>545</v>
      </c>
      <c r="I60" s="57" t="s">
        <v>83</v>
      </c>
      <c r="J60" s="52" t="s">
        <v>78</v>
      </c>
      <c r="K60" s="57" t="s">
        <v>33</v>
      </c>
      <c r="L60" s="57" t="s">
        <v>43</v>
      </c>
      <c r="M60" s="66" t="s">
        <v>43</v>
      </c>
      <c r="N60" s="40">
        <v>43</v>
      </c>
    </row>
    <row r="61" spans="1:17" s="1" customFormat="1" ht="15">
      <c r="A61" s="53" t="s">
        <v>484</v>
      </c>
      <c r="B61" s="55" t="s">
        <v>485</v>
      </c>
      <c r="C61" s="55" t="s">
        <v>486</v>
      </c>
      <c r="D61" s="55" t="s">
        <v>488</v>
      </c>
      <c r="E61" s="57">
        <v>54.646999999999998</v>
      </c>
      <c r="F61" s="57">
        <v>-1.153</v>
      </c>
      <c r="G61" s="57" t="s">
        <v>487</v>
      </c>
      <c r="H61" s="57" t="s">
        <v>545</v>
      </c>
      <c r="I61" s="57" t="s">
        <v>84</v>
      </c>
      <c r="J61" s="52" t="s">
        <v>686</v>
      </c>
      <c r="K61" s="57" t="s">
        <v>35</v>
      </c>
      <c r="L61" s="57" t="s">
        <v>318</v>
      </c>
      <c r="M61" s="66" t="s">
        <v>43</v>
      </c>
      <c r="N61" s="40">
        <v>44</v>
      </c>
    </row>
    <row r="62" spans="1:17" s="1" customFormat="1" ht="15">
      <c r="A62" s="53" t="s">
        <v>525</v>
      </c>
      <c r="B62" s="55" t="s">
        <v>526</v>
      </c>
      <c r="C62" s="55" t="s">
        <v>527</v>
      </c>
      <c r="D62" s="55" t="s">
        <v>528</v>
      </c>
      <c r="E62" s="57">
        <v>53.57</v>
      </c>
      <c r="F62" s="57">
        <v>-3.3319999999999999</v>
      </c>
      <c r="G62" s="57" t="s">
        <v>72</v>
      </c>
      <c r="H62" s="57" t="s">
        <v>545</v>
      </c>
      <c r="I62" s="57" t="s">
        <v>84</v>
      </c>
      <c r="J62" s="52" t="s">
        <v>686</v>
      </c>
      <c r="K62" s="57" t="s">
        <v>35</v>
      </c>
      <c r="L62" s="57" t="s">
        <v>529</v>
      </c>
      <c r="M62" s="66" t="s">
        <v>43</v>
      </c>
      <c r="N62" s="40">
        <v>50</v>
      </c>
    </row>
    <row r="63" spans="1:17" s="1" customFormat="1" ht="15">
      <c r="A63" s="54" t="s">
        <v>498</v>
      </c>
      <c r="B63" s="56" t="s">
        <v>499</v>
      </c>
      <c r="C63" s="56" t="s">
        <v>500</v>
      </c>
      <c r="D63" s="56" t="s">
        <v>501</v>
      </c>
      <c r="E63" s="58">
        <v>41.188000000000002</v>
      </c>
      <c r="F63" s="58">
        <v>40.238</v>
      </c>
      <c r="G63" s="58" t="s">
        <v>316</v>
      </c>
      <c r="H63" s="58" t="s">
        <v>545</v>
      </c>
      <c r="I63" s="58" t="s">
        <v>83</v>
      </c>
      <c r="J63" s="59" t="s">
        <v>78</v>
      </c>
      <c r="K63" s="58" t="s">
        <v>33</v>
      </c>
      <c r="L63" s="58" t="s">
        <v>43</v>
      </c>
      <c r="M63" s="70" t="s">
        <v>43</v>
      </c>
      <c r="N63" s="40">
        <v>45</v>
      </c>
    </row>
    <row r="64" spans="1:17" ht="15">
      <c r="A64" s="37"/>
      <c r="D64" s="38"/>
      <c r="I64" s="39"/>
      <c r="J64" s="1"/>
      <c r="M64" s="40"/>
      <c r="N64" s="35"/>
    </row>
  </sheetData>
  <sortState ref="A2:N63">
    <sortCondition ref="A2"/>
  </sortState>
  <phoneticPr fontId="10" type="noConversion"/>
  <pageMargins left="0.75" right="0.75" top="1" bottom="1" header="0.5" footer="0.5"/>
  <pageSetup scale="51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studyNameList</vt:lpstr>
      <vt:lpstr>studySubList</vt:lpstr>
      <vt:lpstr>siteList</vt:lpstr>
      <vt:lpstr>pivotTable</vt:lpstr>
      <vt:lpstr>calculations</vt:lpstr>
      <vt:lpstr>Table S1</vt:lpstr>
      <vt:lpstr>studyNameList 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 Elahi</cp:lastModifiedBy>
  <cp:lastPrinted>2014-09-06T01:00:11Z</cp:lastPrinted>
  <dcterms:created xsi:type="dcterms:W3CDTF">2014-05-23T17:26:18Z</dcterms:created>
  <dcterms:modified xsi:type="dcterms:W3CDTF">2015-06-19T22:46:29Z</dcterms:modified>
</cp:coreProperties>
</file>