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ine\Documents\McGILL University\YEAR 4\MECH 530 Mechanics of Composite Materials\"/>
    </mc:Choice>
  </mc:AlternateContent>
  <bookViews>
    <workbookView xWindow="240" yWindow="45" windowWidth="20115" windowHeight="7995"/>
  </bookViews>
  <sheets>
    <sheet name="Plybook_MECH463" sheetId="10" r:id="rId1"/>
    <sheet name="Properties" sheetId="1" r:id="rId2"/>
    <sheet name="Plybook_Ass6_Q3" sheetId="9" r:id="rId3"/>
    <sheet name="Plybook_Ass6_Q1" sheetId="7" r:id="rId4"/>
    <sheet name="Plybook_Ass6_Q2" sheetId="8" r:id="rId5"/>
    <sheet name="Plybook_Ass4" sheetId="6" r:id="rId6"/>
    <sheet name="Plybook_Ass2_Q1" sheetId="5" r:id="rId7"/>
    <sheet name="Plybook_Ass2_Q2" sheetId="2" r:id="rId8"/>
  </sheets>
  <calcPr calcId="152511"/>
</workbook>
</file>

<file path=xl/calcChain.xml><?xml version="1.0" encoding="utf-8"?>
<calcChain xmlns="http://schemas.openxmlformats.org/spreadsheetml/2006/main">
  <c r="E18" i="10" l="1"/>
  <c r="E17" i="10"/>
  <c r="E16" i="10"/>
  <c r="E15" i="10"/>
  <c r="E14" i="10"/>
  <c r="E13" i="10"/>
  <c r="E12" i="10"/>
  <c r="E10" i="10"/>
  <c r="D8" i="10"/>
  <c r="C44" i="10" l="1"/>
  <c r="F34" i="10"/>
  <c r="F35" i="10"/>
  <c r="F36" i="10"/>
  <c r="F37" i="10"/>
  <c r="F38" i="10"/>
  <c r="F39" i="10"/>
  <c r="F40" i="10"/>
  <c r="F41" i="10"/>
  <c r="F42" i="10"/>
  <c r="B6" i="10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5" i="10"/>
  <c r="E60" i="10"/>
  <c r="D60" i="10"/>
  <c r="M16" i="1"/>
  <c r="E16" i="1"/>
  <c r="F16" i="1"/>
  <c r="G16" i="1"/>
  <c r="H16" i="1"/>
  <c r="I16" i="1"/>
  <c r="J16" i="1"/>
  <c r="K16" i="1"/>
  <c r="L16" i="1"/>
  <c r="D16" i="1"/>
  <c r="B16" i="1"/>
  <c r="E59" i="10" l="1"/>
  <c r="D59" i="10"/>
  <c r="M17" i="1" l="1"/>
  <c r="E57" i="10" s="1"/>
  <c r="D57" i="10"/>
  <c r="E56" i="10"/>
  <c r="D56" i="10"/>
  <c r="E55" i="10"/>
  <c r="D55" i="10"/>
  <c r="E54" i="10"/>
  <c r="D54" i="10"/>
  <c r="E53" i="10"/>
  <c r="D53" i="10"/>
  <c r="E52" i="10"/>
  <c r="D52" i="10"/>
  <c r="V26" i="10"/>
  <c r="U26" i="10"/>
  <c r="T26" i="10"/>
  <c r="R26" i="10"/>
  <c r="V25" i="10"/>
  <c r="U25" i="10"/>
  <c r="T25" i="10"/>
  <c r="R25" i="10"/>
  <c r="V24" i="10"/>
  <c r="U24" i="10"/>
  <c r="T24" i="10"/>
  <c r="R24" i="10"/>
  <c r="V23" i="10"/>
  <c r="U23" i="10"/>
  <c r="T23" i="10"/>
  <c r="R23" i="10"/>
  <c r="V22" i="10"/>
  <c r="U22" i="10"/>
  <c r="T22" i="10"/>
  <c r="R22" i="10"/>
  <c r="V21" i="10"/>
  <c r="U21" i="10"/>
  <c r="T21" i="10"/>
  <c r="R21" i="10"/>
  <c r="V20" i="10"/>
  <c r="U20" i="10"/>
  <c r="T20" i="10"/>
  <c r="R20" i="10"/>
  <c r="V18" i="10"/>
  <c r="U18" i="10"/>
  <c r="T18" i="10"/>
  <c r="R18" i="10"/>
  <c r="V17" i="10"/>
  <c r="T17" i="10"/>
  <c r="R17" i="10"/>
  <c r="V16" i="10"/>
  <c r="U16" i="10"/>
  <c r="T16" i="10"/>
  <c r="R16" i="10"/>
  <c r="V15" i="10"/>
  <c r="U15" i="10"/>
  <c r="T15" i="10"/>
  <c r="R15" i="10"/>
  <c r="V14" i="10"/>
  <c r="U14" i="10"/>
  <c r="T14" i="10"/>
  <c r="R14" i="10"/>
  <c r="V13" i="10"/>
  <c r="U13" i="10"/>
  <c r="T13" i="10"/>
  <c r="R13" i="10"/>
  <c r="V12" i="10"/>
  <c r="U12" i="10"/>
  <c r="T12" i="10"/>
  <c r="R12" i="10"/>
  <c r="V11" i="10"/>
  <c r="U11" i="10"/>
  <c r="T11" i="10"/>
  <c r="R11" i="10"/>
  <c r="V10" i="10"/>
  <c r="U10" i="10"/>
  <c r="T10" i="10"/>
  <c r="S10" i="10"/>
  <c r="S11" i="10" s="1"/>
  <c r="S12" i="10" s="1"/>
  <c r="S13" i="10" s="1"/>
  <c r="S14" i="10" s="1"/>
  <c r="S15" i="10" s="1"/>
  <c r="S16" i="10" s="1"/>
  <c r="S17" i="10" s="1"/>
  <c r="S18" i="10" s="1"/>
  <c r="S20" i="10" s="1"/>
  <c r="S21" i="10" s="1"/>
  <c r="S22" i="10" s="1"/>
  <c r="S23" i="10" s="1"/>
  <c r="S24" i="10" s="1"/>
  <c r="S25" i="10" s="1"/>
  <c r="S26" i="10" s="1"/>
  <c r="R10" i="10"/>
  <c r="V9" i="10"/>
  <c r="U9" i="10"/>
  <c r="T9" i="10"/>
  <c r="F7" i="10" l="1"/>
  <c r="F11" i="10"/>
  <c r="F15" i="10"/>
  <c r="F22" i="10"/>
  <c r="F27" i="10"/>
  <c r="F31" i="10"/>
  <c r="F8" i="10"/>
  <c r="F12" i="10"/>
  <c r="F16" i="10"/>
  <c r="F19" i="10"/>
  <c r="F23" i="10"/>
  <c r="F28" i="10"/>
  <c r="F32" i="10"/>
  <c r="F10" i="10"/>
  <c r="F21" i="10"/>
  <c r="F30" i="10"/>
  <c r="F5" i="10"/>
  <c r="F9" i="10"/>
  <c r="F13" i="10"/>
  <c r="F17" i="10"/>
  <c r="F20" i="10"/>
  <c r="F25" i="10"/>
  <c r="F29" i="10"/>
  <c r="F33" i="10"/>
  <c r="F4" i="10"/>
  <c r="F6" i="10"/>
  <c r="F14" i="10"/>
  <c r="F18" i="10"/>
  <c r="F26" i="10"/>
  <c r="F24" i="10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F29" i="9" a="1"/>
  <c r="F44" i="10" l="1"/>
  <c r="J10" i="10"/>
  <c r="H18" i="9"/>
  <c r="J20" i="10" l="1"/>
  <c r="J22" i="10"/>
  <c r="J23" i="10"/>
  <c r="J15" i="10"/>
  <c r="J26" i="10"/>
  <c r="J16" i="10"/>
  <c r="J21" i="10"/>
  <c r="J13" i="10"/>
  <c r="J4" i="10"/>
  <c r="J17" i="10"/>
  <c r="J24" i="10"/>
  <c r="J28" i="10"/>
  <c r="J25" i="10"/>
  <c r="J8" i="10"/>
  <c r="J11" i="10"/>
  <c r="J6" i="10"/>
  <c r="J44" i="10"/>
  <c r="J7" i="10"/>
  <c r="J18" i="10"/>
  <c r="J27" i="10"/>
  <c r="J12" i="10"/>
  <c r="J5" i="10"/>
  <c r="J14" i="10"/>
  <c r="J9" i="10"/>
  <c r="V25" i="9"/>
  <c r="U25" i="9"/>
  <c r="T25" i="9"/>
  <c r="R25" i="9"/>
  <c r="V24" i="9"/>
  <c r="U24" i="9"/>
  <c r="T24" i="9"/>
  <c r="R24" i="9"/>
  <c r="V23" i="9"/>
  <c r="U23" i="9"/>
  <c r="T23" i="9"/>
  <c r="R23" i="9"/>
  <c r="V22" i="9"/>
  <c r="U22" i="9"/>
  <c r="T22" i="9"/>
  <c r="R22" i="9"/>
  <c r="V21" i="9"/>
  <c r="U21" i="9"/>
  <c r="T21" i="9"/>
  <c r="R21" i="9"/>
  <c r="V20" i="9"/>
  <c r="U20" i="9"/>
  <c r="T20" i="9"/>
  <c r="R20" i="9"/>
  <c r="V19" i="9"/>
  <c r="U19" i="9"/>
  <c r="T19" i="9"/>
  <c r="R19" i="9"/>
  <c r="V18" i="9"/>
  <c r="U18" i="9"/>
  <c r="T18" i="9"/>
  <c r="R18" i="9"/>
  <c r="V17" i="9"/>
  <c r="T17" i="9"/>
  <c r="R17" i="9"/>
  <c r="V16" i="9"/>
  <c r="U16" i="9"/>
  <c r="T16" i="9"/>
  <c r="R16" i="9"/>
  <c r="V15" i="9"/>
  <c r="U15" i="9"/>
  <c r="T15" i="9"/>
  <c r="R15" i="9"/>
  <c r="V14" i="9"/>
  <c r="U14" i="9"/>
  <c r="T14" i="9"/>
  <c r="R14" i="9"/>
  <c r="V13" i="9"/>
  <c r="U13" i="9"/>
  <c r="T13" i="9"/>
  <c r="R13" i="9"/>
  <c r="V12" i="9"/>
  <c r="U12" i="9"/>
  <c r="T12" i="9"/>
  <c r="R12" i="9"/>
  <c r="V11" i="9"/>
  <c r="U11" i="9"/>
  <c r="T11" i="9"/>
  <c r="R11" i="9"/>
  <c r="V10" i="9"/>
  <c r="U10" i="9"/>
  <c r="T10" i="9"/>
  <c r="S10" i="9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R10" i="9"/>
  <c r="V9" i="9"/>
  <c r="U9" i="9"/>
  <c r="T9" i="9"/>
  <c r="E20" i="9" l="1"/>
  <c r="E19" i="9"/>
  <c r="E18" i="9"/>
  <c r="E17" i="9"/>
  <c r="E16" i="9"/>
  <c r="E15" i="9"/>
  <c r="E14" i="9"/>
  <c r="E13" i="9"/>
  <c r="A19" i="9"/>
  <c r="A18" i="9" s="1"/>
  <c r="A17" i="9" s="1"/>
  <c r="A16" i="9" s="1"/>
  <c r="A15" i="9" s="1"/>
  <c r="A14" i="9" s="1"/>
  <c r="A13" i="9" s="1"/>
  <c r="A12" i="9" s="1"/>
  <c r="A11" i="9" s="1"/>
  <c r="A10" i="9" s="1"/>
  <c r="A9" i="9" s="1"/>
  <c r="A8" i="9" s="1"/>
  <c r="A7" i="9" s="1"/>
  <c r="A6" i="9" s="1"/>
  <c r="A5" i="9" s="1"/>
  <c r="D20" i="9"/>
  <c r="D14" i="9"/>
  <c r="D15" i="9"/>
  <c r="D16" i="9"/>
  <c r="D17" i="9"/>
  <c r="D18" i="9"/>
  <c r="D19" i="9"/>
  <c r="D13" i="9"/>
  <c r="D11" i="9"/>
  <c r="D6" i="9"/>
  <c r="D7" i="9"/>
  <c r="D8" i="9"/>
  <c r="D9" i="9"/>
  <c r="D10" i="9"/>
  <c r="D5" i="9"/>
  <c r="N12" i="1"/>
  <c r="N13" i="1"/>
  <c r="N14" i="1"/>
  <c r="N11" i="1"/>
  <c r="H14" i="8" l="1"/>
  <c r="H13" i="8"/>
  <c r="H12" i="8"/>
  <c r="J22" i="7" l="1"/>
  <c r="J23" i="7" s="1"/>
  <c r="J24" i="7" s="1"/>
  <c r="J25" i="7" s="1"/>
  <c r="J26" i="7" s="1"/>
  <c r="J21" i="7"/>
  <c r="J16" i="7"/>
  <c r="J17" i="7" s="1"/>
  <c r="J18" i="7" s="1"/>
  <c r="J19" i="7" s="1"/>
  <c r="J15" i="7"/>
  <c r="E6" i="7"/>
  <c r="H6" i="7" s="1"/>
  <c r="E5" i="7"/>
  <c r="H5" i="7" s="1"/>
  <c r="J6" i="7"/>
  <c r="J7" i="7" s="1"/>
  <c r="J8" i="7" s="1"/>
  <c r="J9" i="7" s="1"/>
  <c r="J10" i="7" s="1"/>
  <c r="J11" i="7" s="1"/>
  <c r="J12" i="7" s="1"/>
  <c r="J13" i="7" s="1"/>
  <c r="J14" i="7" s="1"/>
  <c r="J5" i="7"/>
  <c r="E42" i="9"/>
  <c r="D42" i="9"/>
  <c r="E41" i="9"/>
  <c r="D41" i="9"/>
  <c r="E40" i="9"/>
  <c r="D40" i="9"/>
  <c r="E39" i="9"/>
  <c r="D39" i="9"/>
  <c r="E38" i="9"/>
  <c r="D38" i="9"/>
  <c r="E37" i="9"/>
  <c r="D37" i="9"/>
  <c r="F17" i="9" s="1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E42" i="8"/>
  <c r="D42" i="8"/>
  <c r="E41" i="8"/>
  <c r="D41" i="8"/>
  <c r="E40" i="8"/>
  <c r="D40" i="8"/>
  <c r="E39" i="8"/>
  <c r="D39" i="8"/>
  <c r="E38" i="8"/>
  <c r="D38" i="8"/>
  <c r="E37" i="8"/>
  <c r="D37" i="8"/>
  <c r="C19" i="8"/>
  <c r="F19" i="8" s="1"/>
  <c r="F18" i="8"/>
  <c r="C18" i="8"/>
  <c r="F17" i="8"/>
  <c r="F16" i="8"/>
  <c r="F15" i="8"/>
  <c r="F14" i="8"/>
  <c r="F13" i="8"/>
  <c r="F12" i="8"/>
  <c r="H11" i="8"/>
  <c r="F11" i="8"/>
  <c r="H10" i="8"/>
  <c r="H9" i="8"/>
  <c r="H8" i="8"/>
  <c r="H7" i="8"/>
  <c r="H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H5" i="8"/>
  <c r="B5" i="8"/>
  <c r="H4" i="8"/>
  <c r="E42" i="7"/>
  <c r="D42" i="7"/>
  <c r="E41" i="7"/>
  <c r="D41" i="7"/>
  <c r="E40" i="7"/>
  <c r="D40" i="7"/>
  <c r="E39" i="7"/>
  <c r="D39" i="7"/>
  <c r="E38" i="7"/>
  <c r="D38" i="7"/>
  <c r="F6" i="7" s="1"/>
  <c r="E37" i="7"/>
  <c r="D37" i="7"/>
  <c r="C19" i="7"/>
  <c r="F19" i="7" s="1"/>
  <c r="F18" i="7"/>
  <c r="C18" i="7"/>
  <c r="F17" i="7"/>
  <c r="F16" i="7"/>
  <c r="F15" i="7"/>
  <c r="F14" i="7"/>
  <c r="F13" i="7"/>
  <c r="F12" i="7"/>
  <c r="H11" i="7"/>
  <c r="F11" i="7"/>
  <c r="H10" i="7"/>
  <c r="F10" i="7"/>
  <c r="H9" i="7"/>
  <c r="F9" i="7"/>
  <c r="H8" i="7"/>
  <c r="F8" i="7"/>
  <c r="H7" i="7"/>
  <c r="F7" i="7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H4" i="7"/>
  <c r="F5" i="7" l="1"/>
  <c r="F4" i="8"/>
  <c r="F4" i="7"/>
  <c r="F10" i="9"/>
  <c r="F13" i="9"/>
  <c r="F12" i="9"/>
  <c r="F15" i="9"/>
  <c r="F5" i="8"/>
  <c r="F7" i="8"/>
  <c r="F9" i="8"/>
  <c r="F7" i="9"/>
  <c r="F11" i="9"/>
  <c r="F16" i="9"/>
  <c r="F8" i="9"/>
  <c r="F8" i="8"/>
  <c r="F10" i="8"/>
  <c r="F9" i="9"/>
  <c r="F4" i="9"/>
  <c r="F14" i="9"/>
  <c r="F18" i="9"/>
  <c r="F19" i="9"/>
  <c r="F5" i="9"/>
  <c r="F6" i="9"/>
  <c r="F6" i="8"/>
  <c r="C20" i="8"/>
  <c r="C20" i="7"/>
  <c r="H5" i="6"/>
  <c r="H6" i="6"/>
  <c r="H7" i="6"/>
  <c r="H8" i="6"/>
  <c r="H9" i="6"/>
  <c r="H10" i="6"/>
  <c r="H11" i="6"/>
  <c r="H4" i="6"/>
  <c r="E42" i="6"/>
  <c r="D42" i="6"/>
  <c r="E41" i="6"/>
  <c r="D41" i="6"/>
  <c r="E40" i="6"/>
  <c r="D40" i="6"/>
  <c r="E39" i="6"/>
  <c r="D39" i="6"/>
  <c r="E38" i="6"/>
  <c r="D38" i="6"/>
  <c r="E37" i="6"/>
  <c r="D37" i="6"/>
  <c r="F17" i="6"/>
  <c r="F16" i="6"/>
  <c r="F15" i="6"/>
  <c r="F14" i="6"/>
  <c r="F13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H4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H5" i="5"/>
  <c r="H6" i="5"/>
  <c r="H7" i="5"/>
  <c r="H8" i="5"/>
  <c r="H9" i="5"/>
  <c r="H10" i="5"/>
  <c r="F11" i="5"/>
  <c r="F12" i="5"/>
  <c r="F13" i="5"/>
  <c r="F14" i="5"/>
  <c r="F15" i="5"/>
  <c r="C16" i="5"/>
  <c r="F16" i="5" s="1"/>
  <c r="D37" i="5"/>
  <c r="E37" i="5"/>
  <c r="D38" i="5"/>
  <c r="E38" i="5"/>
  <c r="D39" i="5"/>
  <c r="E39" i="5"/>
  <c r="D40" i="5"/>
  <c r="E40" i="5"/>
  <c r="D41" i="5"/>
  <c r="E41" i="5"/>
  <c r="D42" i="5"/>
  <c r="E42" i="5"/>
  <c r="H5" i="2"/>
  <c r="H6" i="2"/>
  <c r="H7" i="2"/>
  <c r="H8" i="2"/>
  <c r="H9" i="2"/>
  <c r="H10" i="2"/>
  <c r="H4" i="2"/>
  <c r="N21" i="1"/>
  <c r="O21" i="1" s="1"/>
  <c r="P21" i="1" s="1"/>
  <c r="Q21" i="1" s="1"/>
  <c r="R21" i="1" s="1"/>
  <c r="C17" i="2"/>
  <c r="C18" i="2" s="1"/>
  <c r="C19" i="2" s="1"/>
  <c r="C20" i="2" s="1"/>
  <c r="C21" i="2" s="1"/>
  <c r="C16" i="2"/>
  <c r="F16" i="2" s="1"/>
  <c r="B6" i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E18" i="1"/>
  <c r="F18" i="1" s="1"/>
  <c r="G18" i="1" s="1"/>
  <c r="H18" i="1" s="1"/>
  <c r="I18" i="1" s="1"/>
  <c r="J18" i="1" s="1"/>
  <c r="K18" i="1" s="1"/>
  <c r="L18" i="1" s="1"/>
  <c r="F15" i="2"/>
  <c r="E38" i="2"/>
  <c r="E39" i="2"/>
  <c r="E40" i="2"/>
  <c r="E41" i="2"/>
  <c r="E42" i="2"/>
  <c r="E37" i="2"/>
  <c r="D42" i="2"/>
  <c r="D38" i="2"/>
  <c r="D39" i="2"/>
  <c r="D40" i="2"/>
  <c r="D41" i="2"/>
  <c r="D37" i="2"/>
  <c r="F1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F12" i="6" l="1"/>
  <c r="F8" i="6"/>
  <c r="F7" i="5"/>
  <c r="F10" i="6"/>
  <c r="F20" i="9"/>
  <c r="F20" i="8"/>
  <c r="C21" i="8"/>
  <c r="F20" i="7"/>
  <c r="C21" i="7"/>
  <c r="F6" i="6"/>
  <c r="F9" i="6"/>
  <c r="F4" i="6"/>
  <c r="F11" i="6"/>
  <c r="C17" i="5"/>
  <c r="C18" i="5" s="1"/>
  <c r="F7" i="6"/>
  <c r="C18" i="6"/>
  <c r="F5" i="6"/>
  <c r="F6" i="5"/>
  <c r="F18" i="5"/>
  <c r="C19" i="5"/>
  <c r="F10" i="5"/>
  <c r="F17" i="5"/>
  <c r="F8" i="5"/>
  <c r="F4" i="5"/>
  <c r="F9" i="5"/>
  <c r="F5" i="5"/>
  <c r="F6" i="2"/>
  <c r="F12" i="2"/>
  <c r="F7" i="2"/>
  <c r="F8" i="2"/>
  <c r="F10" i="2"/>
  <c r="F14" i="2"/>
  <c r="F4" i="2"/>
  <c r="F11" i="2"/>
  <c r="F9" i="2"/>
  <c r="F5" i="2"/>
  <c r="F17" i="2"/>
  <c r="F21" i="9" l="1"/>
  <c r="C22" i="8"/>
  <c r="F21" i="8"/>
  <c r="C22" i="7"/>
  <c r="F21" i="7"/>
  <c r="C19" i="6"/>
  <c r="F18" i="6"/>
  <c r="F19" i="5"/>
  <c r="C20" i="5"/>
  <c r="F18" i="2"/>
  <c r="F22" i="9" l="1"/>
  <c r="C23" i="8"/>
  <c r="F22" i="8"/>
  <c r="C23" i="7"/>
  <c r="F22" i="7"/>
  <c r="C20" i="6"/>
  <c r="F19" i="6"/>
  <c r="C21" i="5"/>
  <c r="F20" i="5"/>
  <c r="F19" i="2"/>
  <c r="F23" i="9" l="1"/>
  <c r="F23" i="8"/>
  <c r="C24" i="8"/>
  <c r="F23" i="7"/>
  <c r="C24" i="7"/>
  <c r="C21" i="6"/>
  <c r="F20" i="6"/>
  <c r="C22" i="5"/>
  <c r="F21" i="5"/>
  <c r="F20" i="2"/>
  <c r="F24" i="9" l="1"/>
  <c r="C25" i="9"/>
  <c r="C25" i="8"/>
  <c r="F24" i="8"/>
  <c r="F24" i="7"/>
  <c r="C25" i="7"/>
  <c r="F21" i="6"/>
  <c r="C22" i="6"/>
  <c r="C23" i="5"/>
  <c r="F22" i="5"/>
  <c r="F21" i="2"/>
  <c r="C22" i="2"/>
  <c r="F25" i="9" l="1"/>
  <c r="C26" i="8"/>
  <c r="F25" i="8"/>
  <c r="C26" i="7"/>
  <c r="F25" i="7"/>
  <c r="C23" i="6"/>
  <c r="F22" i="6"/>
  <c r="F23" i="5"/>
  <c r="C24" i="5"/>
  <c r="C23" i="2"/>
  <c r="F22" i="2"/>
  <c r="F26" i="9" l="1"/>
  <c r="C29" i="9"/>
  <c r="C27" i="8"/>
  <c r="F26" i="8"/>
  <c r="C27" i="7"/>
  <c r="F26" i="7"/>
  <c r="C24" i="6"/>
  <c r="F23" i="6"/>
  <c r="F24" i="5"/>
  <c r="C25" i="5"/>
  <c r="F23" i="2"/>
  <c r="C24" i="2"/>
  <c r="F27" i="9" l="1"/>
  <c r="F29" i="9" s="1"/>
  <c r="F27" i="8"/>
  <c r="F29" i="8" a="1"/>
  <c r="F29" i="8" s="1"/>
  <c r="C29" i="8"/>
  <c r="F27" i="7"/>
  <c r="F29" i="7" s="1" a="1"/>
  <c r="F29" i="7" s="1"/>
  <c r="C29" i="7"/>
  <c r="F24" i="6"/>
  <c r="C25" i="6"/>
  <c r="C26" i="5"/>
  <c r="F25" i="5"/>
  <c r="F24" i="2"/>
  <c r="C25" i="2"/>
  <c r="J16" i="9" l="1"/>
  <c r="H20" i="9"/>
  <c r="H21" i="9" s="1"/>
  <c r="J18" i="9"/>
  <c r="J17" i="9"/>
  <c r="J19" i="9"/>
  <c r="J23" i="9"/>
  <c r="J27" i="9"/>
  <c r="J29" i="9"/>
  <c r="J20" i="9"/>
  <c r="J24" i="9"/>
  <c r="J28" i="9"/>
  <c r="J22" i="9"/>
  <c r="J21" i="9"/>
  <c r="J25" i="9"/>
  <c r="J26" i="9"/>
  <c r="F25" i="6"/>
  <c r="C26" i="6"/>
  <c r="F26" i="5"/>
  <c r="C27" i="5"/>
  <c r="F25" i="2"/>
  <c r="C26" i="2"/>
  <c r="F26" i="6" l="1"/>
  <c r="C27" i="6"/>
  <c r="C29" i="6" s="1"/>
  <c r="F27" i="5"/>
  <c r="F29" i="5" s="1" a="1"/>
  <c r="F29" i="5" s="1"/>
  <c r="C29" i="5"/>
  <c r="C27" i="2"/>
  <c r="F26" i="2"/>
  <c r="F27" i="2" l="1"/>
  <c r="F29" i="2" a="1"/>
  <c r="F27" i="6"/>
  <c r="F29" i="6" a="1"/>
  <c r="C29" i="2"/>
  <c r="F29" i="2" l="1"/>
  <c r="F29" i="6"/>
</calcChain>
</file>

<file path=xl/comments1.xml><?xml version="1.0" encoding="utf-8"?>
<comments xmlns="http://schemas.openxmlformats.org/spreadsheetml/2006/main">
  <authors>
    <author>Elaine</author>
    <author>Elaine craigie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Poisson's ratio</t>
        </r>
      </text>
    </comment>
    <comment ref="H8" authorId="1" shapeId="0">
      <text>
        <r>
          <rPr>
            <b/>
            <sz val="9"/>
            <color indexed="81"/>
            <rFont val="Tahoma"/>
            <family val="2"/>
          </rPr>
          <t>Elaine craigie:</t>
        </r>
        <r>
          <rPr>
            <sz val="9"/>
            <color indexed="81"/>
            <rFont val="Tahoma"/>
            <family val="2"/>
          </rPr>
          <t xml:space="preserve">
X = longitudinal tensile strength</t>
        </r>
      </text>
    </comment>
    <comment ref="I8" authorId="1" shapeId="0">
      <text>
        <r>
          <rPr>
            <b/>
            <sz val="9"/>
            <color indexed="81"/>
            <rFont val="Tahoma"/>
            <family val="2"/>
          </rPr>
          <t>Elaine craigie:</t>
        </r>
        <r>
          <rPr>
            <sz val="9"/>
            <color indexed="81"/>
            <rFont val="Tahoma"/>
            <family val="2"/>
          </rPr>
          <t xml:space="preserve">
X' = Longitudinal Compressive strength</t>
        </r>
      </text>
    </comment>
    <comment ref="J8" authorId="1" shapeId="0">
      <text>
        <r>
          <rPr>
            <b/>
            <sz val="9"/>
            <color indexed="81"/>
            <rFont val="Tahoma"/>
            <family val="2"/>
          </rPr>
          <t>Elaine craigie:</t>
        </r>
        <r>
          <rPr>
            <sz val="9"/>
            <color indexed="81"/>
            <rFont val="Tahoma"/>
            <family val="2"/>
          </rPr>
          <t xml:space="preserve">
Y = Transverse tensile strength</t>
        </r>
      </text>
    </comment>
    <comment ref="K8" authorId="1" shapeId="0">
      <text>
        <r>
          <rPr>
            <b/>
            <sz val="9"/>
            <color indexed="81"/>
            <rFont val="Tahoma"/>
            <family val="2"/>
          </rPr>
          <t>Elaine craigie:</t>
        </r>
        <r>
          <rPr>
            <sz val="9"/>
            <color indexed="81"/>
            <rFont val="Tahoma"/>
            <family val="2"/>
          </rPr>
          <t xml:space="preserve">
Y' = Transverse Compressive strength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Elaine craigie:</t>
        </r>
        <r>
          <rPr>
            <sz val="9"/>
            <color indexed="81"/>
            <rFont val="Tahoma"/>
            <family val="2"/>
          </rPr>
          <t xml:space="preserve">
S =  Shear strength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Ply thickness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Carbon Fiber Reinforced Polymer Composite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Carbon Fiber Reinforced Polymer Composite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Glass Fiber Reinforced Polymer Composite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Knitted Fabric Reinforced Polymer Composite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Carbon Fiber Reinforced Thermo-Plastic Composite</t>
        </r>
      </text>
    </comment>
  </commentList>
</comments>
</file>

<file path=xl/comments2.xml><?xml version="1.0" encoding="utf-8"?>
<comments xmlns="http://schemas.openxmlformats.org/spreadsheetml/2006/main">
  <authors>
    <author>Elaine craigie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Elaine craigie:</t>
        </r>
        <r>
          <rPr>
            <sz val="9"/>
            <color indexed="81"/>
            <rFont val="Tahoma"/>
            <family val="2"/>
          </rPr>
          <t xml:space="preserve">
Gomes layup</t>
        </r>
      </text>
    </comment>
  </commentList>
</comments>
</file>

<file path=xl/sharedStrings.xml><?xml version="1.0" encoding="utf-8"?>
<sst xmlns="http://schemas.openxmlformats.org/spreadsheetml/2006/main" count="424" uniqueCount="99">
  <si>
    <t>Elaine Craigie - 260476434</t>
  </si>
  <si>
    <t>MECH 530 - Mechanics of Composite Materials</t>
  </si>
  <si>
    <t>Material Database</t>
  </si>
  <si>
    <t>T300/N5208</t>
  </si>
  <si>
    <t>E-glass/Epoxy</t>
  </si>
  <si>
    <t>Kev49/Epoxy</t>
  </si>
  <si>
    <t>AS/H3501</t>
  </si>
  <si>
    <t>AS4/PEEK</t>
  </si>
  <si>
    <t>Graphite/Epoxy</t>
  </si>
  <si>
    <t>Fiberglass</t>
  </si>
  <si>
    <t>Kevlar/Epoxy</t>
  </si>
  <si>
    <t>Graphite/Thermoplastic</t>
  </si>
  <si>
    <t>X_t</t>
  </si>
  <si>
    <t>X_c</t>
  </si>
  <si>
    <t>E_x</t>
  </si>
  <si>
    <t>E_y</t>
  </si>
  <si>
    <t>E_s</t>
  </si>
  <si>
    <t>nu_x</t>
  </si>
  <si>
    <t>Y_t</t>
  </si>
  <si>
    <t>Y_c</t>
  </si>
  <si>
    <t>S_c</t>
  </si>
  <si>
    <t>h_0</t>
  </si>
  <si>
    <t>(GPa)</t>
  </si>
  <si>
    <t>(mm)</t>
  </si>
  <si>
    <t>(   )</t>
  </si>
  <si>
    <t>(MPa)</t>
  </si>
  <si>
    <t>FIBER/MATRIX</t>
  </si>
  <si>
    <t>COMMON NAME</t>
  </si>
  <si>
    <t>TYPE</t>
  </si>
  <si>
    <t>CFRP</t>
  </si>
  <si>
    <t>GFRP</t>
  </si>
  <si>
    <t>KFRP</t>
  </si>
  <si>
    <t>CFRTP</t>
  </si>
  <si>
    <t>STIFFNESS PARAMETERS</t>
  </si>
  <si>
    <t>STRENGTH PARAMETERS</t>
  </si>
  <si>
    <t>Material</t>
  </si>
  <si>
    <t>Last layer (top)</t>
  </si>
  <si>
    <t>Thickness</t>
  </si>
  <si>
    <t>CORE</t>
  </si>
  <si>
    <t>*This value is 2Zc</t>
  </si>
  <si>
    <t>(◦)</t>
  </si>
  <si>
    <t>First layer (bottom)</t>
  </si>
  <si>
    <t>INDEX</t>
  </si>
  <si>
    <t>PLIES</t>
  </si>
  <si>
    <t>MATERIAL</t>
  </si>
  <si>
    <t>ORIENTATION</t>
  </si>
  <si>
    <t>PLY THICKNESS</t>
  </si>
  <si>
    <t>*Ply index determines whether or not that ply exists, putting a value of ZERO resuts in exiting the scan of the matrix</t>
  </si>
  <si>
    <t>BLANK</t>
  </si>
  <si>
    <t>Total plies (including CORE)</t>
  </si>
  <si>
    <t>S_on</t>
  </si>
  <si>
    <t>Q_on</t>
  </si>
  <si>
    <t>S_off</t>
  </si>
  <si>
    <t>Q_off</t>
  </si>
  <si>
    <t>Us</t>
  </si>
  <si>
    <t>Uq</t>
  </si>
  <si>
    <t>mm</t>
  </si>
  <si>
    <t>*use any material</t>
  </si>
  <si>
    <t>Theta</t>
  </si>
  <si>
    <t>Stress_R</t>
  </si>
  <si>
    <t>Max_R</t>
  </si>
  <si>
    <t>Hashin_R</t>
  </si>
  <si>
    <t>Layup</t>
  </si>
  <si>
    <t>Max_stress</t>
  </si>
  <si>
    <t>Quad</t>
  </si>
  <si>
    <t>Hashin</t>
  </si>
  <si>
    <t>CASE 1</t>
  </si>
  <si>
    <t>CASE 2</t>
  </si>
  <si>
    <t>Total plies (excluding CORE)</t>
  </si>
  <si>
    <t>Mass (g)</t>
  </si>
  <si>
    <t>Density</t>
  </si>
  <si>
    <t>[5,0,+-15,+-30,+-45]s</t>
  </si>
  <si>
    <t>(g/cm^3)</t>
  </si>
  <si>
    <t>(g/mm^3)</t>
  </si>
  <si>
    <t>From textbook</t>
  </si>
  <si>
    <t>[0,5,+-15,+-30,+-45]s</t>
  </si>
  <si>
    <t>Last layer (top) 17</t>
  </si>
  <si>
    <t>[0_2,5,+-45,+-15,5]s</t>
  </si>
  <si>
    <t>[0,5,+-15,+-45,25,5]s</t>
  </si>
  <si>
    <t>[0,5,+-15,+-45,10,5]s</t>
  </si>
  <si>
    <t>[0,5,+-15,+-45,30,5]s</t>
  </si>
  <si>
    <t>[0,10,20,-15,+-45,30,5]s</t>
  </si>
  <si>
    <t>[0,10,+-15,+-40,30,5]s</t>
  </si>
  <si>
    <t>[0,10,+-15,+-40,30,10]s</t>
  </si>
  <si>
    <t>[0,10,+-15,+-37,35,10]s</t>
  </si>
  <si>
    <t>[0,10,+-17,+-37,35,13]s</t>
  </si>
  <si>
    <t>Maximum Stress</t>
  </si>
  <si>
    <t>Failure Criterion</t>
  </si>
  <si>
    <t>Load Case</t>
  </si>
  <si>
    <t>Quadratic</t>
  </si>
  <si>
    <t>Ply</t>
  </si>
  <si>
    <t>Qty</t>
  </si>
  <si>
    <t>Angle</t>
  </si>
  <si>
    <t>N/A</t>
  </si>
  <si>
    <t>Excluding core</t>
  </si>
  <si>
    <t>SE84LV</t>
  </si>
  <si>
    <t>*From datasheet</t>
  </si>
  <si>
    <t>Low-temp-epoxy-prepreg</t>
  </si>
  <si>
    <t>BIAX-SE84LV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</si>
</sst>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b/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CDB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3" borderId="0" xfId="0" applyFont="1" applyFill="1" applyAlignment="1">
      <alignment horizontal="center"/>
    </xf>
    <xf numFmtId="0" fontId="1" fillId="0" borderId="1" xfId="0" applyFont="1" applyBorder="1" applyAlignment="1"/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0" fillId="0" borderId="0" xfId="0" applyFont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9" borderId="0" xfId="0" applyNumberFormat="1" applyFont="1" applyFill="1" applyAlignment="1">
      <alignment horizontal="center"/>
    </xf>
    <xf numFmtId="0" fontId="1" fillId="0" borderId="6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  <xf numFmtId="0" fontId="1" fillId="0" borderId="10" xfId="0" applyFont="1" applyBorder="1"/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BCDB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1121298116468"/>
          <c:y val="6.254616132167154E-2"/>
          <c:w val="0.80892536393162928"/>
          <c:h val="0.76484623095582438"/>
        </c:manualLayout>
      </c:layout>
      <c:scatterChart>
        <c:scatterStyle val="smoothMarker"/>
        <c:varyColors val="0"/>
        <c:ser>
          <c:idx val="0"/>
          <c:order val="0"/>
          <c:tx>
            <c:v>Stress_R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Plybook_Ass6_Q1!$J$4:$J$22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</c:numCache>
            </c:numRef>
          </c:xVal>
          <c:yVal>
            <c:numRef>
              <c:f>Plybook_Ass6_Q1!$K$4:$K$22</c:f>
              <c:numCache>
                <c:formatCode>General</c:formatCode>
                <c:ptCount val="19"/>
                <c:pt idx="8">
                  <c:v>0.46600000000000003</c:v>
                </c:pt>
                <c:pt idx="9">
                  <c:v>0.92500000000000004</c:v>
                </c:pt>
                <c:pt idx="10">
                  <c:v>1.524</c:v>
                </c:pt>
                <c:pt idx="11">
                  <c:v>1.528</c:v>
                </c:pt>
                <c:pt idx="12">
                  <c:v>1.4750000000000001</c:v>
                </c:pt>
                <c:pt idx="13">
                  <c:v>1.38</c:v>
                </c:pt>
                <c:pt idx="14">
                  <c:v>1.2629999999999999</c:v>
                </c:pt>
                <c:pt idx="15">
                  <c:v>1.139</c:v>
                </c:pt>
                <c:pt idx="16">
                  <c:v>0.66800000000000004</c:v>
                </c:pt>
              </c:numCache>
            </c:numRef>
          </c:yVal>
          <c:smooth val="1"/>
        </c:ser>
        <c:ser>
          <c:idx val="1"/>
          <c:order val="1"/>
          <c:tx>
            <c:v>Max_R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Plybook_Ass6_Q1!$J$4:$J$22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</c:numCache>
            </c:numRef>
          </c:xVal>
          <c:yVal>
            <c:numRef>
              <c:f>Plybook_Ass6_Q1!$L$4:$L$22</c:f>
              <c:numCache>
                <c:formatCode>General</c:formatCode>
                <c:ptCount val="19"/>
                <c:pt idx="8">
                  <c:v>0.47399999999999998</c:v>
                </c:pt>
                <c:pt idx="9">
                  <c:v>0.95</c:v>
                </c:pt>
                <c:pt idx="10">
                  <c:v>2.0310000000000001</c:v>
                </c:pt>
                <c:pt idx="11">
                  <c:v>2.278</c:v>
                </c:pt>
                <c:pt idx="12">
                  <c:v>2.4550000000000001</c:v>
                </c:pt>
                <c:pt idx="13">
                  <c:v>2.492</c:v>
                </c:pt>
                <c:pt idx="14">
                  <c:v>2.3559999999999999</c:v>
                </c:pt>
                <c:pt idx="15">
                  <c:v>2.089</c:v>
                </c:pt>
                <c:pt idx="16">
                  <c:v>0.93200000000000005</c:v>
                </c:pt>
              </c:numCache>
            </c:numRef>
          </c:yVal>
          <c:smooth val="1"/>
        </c:ser>
        <c:ser>
          <c:idx val="2"/>
          <c:order val="2"/>
          <c:tx>
            <c:v>Hashin_R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Plybook_Ass6_Q1!$J$4:$J$22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  <c:pt idx="18">
                  <c:v>70</c:v>
                </c:pt>
              </c:numCache>
            </c:numRef>
          </c:xVal>
          <c:yVal>
            <c:numRef>
              <c:f>Plybook_Ass6_Q1!$M$4:$M$22</c:f>
              <c:numCache>
                <c:formatCode>General</c:formatCode>
                <c:ptCount val="19"/>
                <c:pt idx="8">
                  <c:v>0.42199999999999999</c:v>
                </c:pt>
                <c:pt idx="9">
                  <c:v>0.76500000000000001</c:v>
                </c:pt>
                <c:pt idx="10">
                  <c:v>1.302</c:v>
                </c:pt>
                <c:pt idx="11">
                  <c:v>1.363</c:v>
                </c:pt>
                <c:pt idx="12">
                  <c:v>1.3720000000000001</c:v>
                </c:pt>
                <c:pt idx="13">
                  <c:v>1.3280000000000001</c:v>
                </c:pt>
                <c:pt idx="14">
                  <c:v>1.242</c:v>
                </c:pt>
                <c:pt idx="15">
                  <c:v>1.133</c:v>
                </c:pt>
                <c:pt idx="16">
                  <c:v>0.66600000000000004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44240"/>
        <c:axId val="-2046036080"/>
      </c:scatterChart>
      <c:valAx>
        <c:axId val="-2046044240"/>
        <c:scaling>
          <c:orientation val="minMax"/>
          <c:max val="6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Theta (deg)</a:t>
                </a:r>
              </a:p>
            </c:rich>
          </c:tx>
          <c:layout>
            <c:manualLayout>
              <c:xMode val="edge"/>
              <c:yMode val="edge"/>
              <c:x val="0.44668869228394953"/>
              <c:y val="0.90979576532525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036080"/>
        <c:crosses val="autoZero"/>
        <c:crossBetween val="midCat"/>
      </c:valAx>
      <c:valAx>
        <c:axId val="-20460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Minimum R</a:t>
                </a:r>
              </a:p>
            </c:rich>
          </c:tx>
          <c:layout>
            <c:manualLayout>
              <c:xMode val="edge"/>
              <c:yMode val="edge"/>
              <c:x val="1.3925151033979013E-2"/>
              <c:y val="0.360771026070720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04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63015273990129"/>
          <c:y val="0.18020339294322904"/>
          <c:w val="0.14928949749392967"/>
          <c:h val="0.19679438029429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90486</xdr:colOff>
      <xdr:row>3</xdr:row>
      <xdr:rowOff>95249</xdr:rowOff>
    </xdr:from>
    <xdr:to>
      <xdr:col>22</xdr:col>
      <xdr:colOff>76199</xdr:colOff>
      <xdr:row>21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zoomScaleNormal="100" workbookViewId="0">
      <selection activeCell="D16" sqref="D16"/>
    </sheetView>
  </sheetViews>
  <sheetFormatPr defaultRowHeight="15" x14ac:dyDescent="0.25"/>
  <cols>
    <col min="1" max="1" width="15.7109375" style="16" customWidth="1"/>
    <col min="2" max="2" width="8" style="32" customWidth="1"/>
    <col min="3" max="3" width="9.140625" style="32"/>
    <col min="4" max="4" width="15.28515625" style="32" customWidth="1"/>
    <col min="5" max="5" width="17.42578125" style="32" customWidth="1"/>
    <col min="6" max="6" width="20" style="32" customWidth="1"/>
    <col min="7" max="7" width="9.140625" style="1"/>
    <col min="8" max="8" width="23.28515625" style="1" customWidth="1"/>
    <col min="9" max="9" width="12.28515625" style="1" customWidth="1"/>
    <col min="10" max="10" width="10.85546875" style="1" bestFit="1" customWidth="1"/>
    <col min="11" max="11" width="12.42578125" style="1" customWidth="1"/>
    <col min="12" max="12" width="12.140625" style="1" customWidth="1"/>
    <col min="13" max="13" width="12" style="1" customWidth="1"/>
    <col min="14" max="14" width="11.140625" style="1" customWidth="1"/>
    <col min="15" max="15" width="10" style="1" customWidth="1"/>
    <col min="16" max="16" width="10.140625" style="1" customWidth="1"/>
    <col min="17" max="17" width="9.140625" style="1"/>
    <col min="18" max="18" width="11.85546875" customWidth="1"/>
    <col min="19" max="19" width="16.140625" customWidth="1"/>
    <col min="20" max="20" width="13.140625" customWidth="1"/>
    <col min="21" max="21" width="13.28515625" customWidth="1"/>
    <col min="22" max="22" width="11.42578125" customWidth="1"/>
  </cols>
  <sheetData>
    <row r="1" spans="1:23" s="1" customFormat="1" ht="14.25" x14ac:dyDescent="0.2">
      <c r="A1" s="28" t="s">
        <v>57</v>
      </c>
      <c r="B1" s="32"/>
      <c r="C1" s="15" t="s">
        <v>47</v>
      </c>
      <c r="D1" s="32"/>
      <c r="E1" s="32"/>
      <c r="F1" s="32"/>
    </row>
    <row r="2" spans="1:23" s="1" customFormat="1" x14ac:dyDescent="0.25">
      <c r="A2" s="16"/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  <c r="K2" s="57" t="s">
        <v>66</v>
      </c>
      <c r="L2" s="57"/>
      <c r="M2" s="57"/>
      <c r="N2" s="57" t="s">
        <v>67</v>
      </c>
      <c r="O2" s="57"/>
      <c r="P2" s="57"/>
    </row>
    <row r="3" spans="1:23" s="1" customFormat="1" ht="14.25" x14ac:dyDescent="0.2">
      <c r="A3" s="16"/>
      <c r="B3" s="8"/>
      <c r="C3" s="22"/>
      <c r="D3" s="22"/>
      <c r="E3" s="22" t="s">
        <v>40</v>
      </c>
      <c r="F3" s="22" t="s">
        <v>23</v>
      </c>
      <c r="H3" s="32" t="s">
        <v>62</v>
      </c>
      <c r="I3" s="32" t="s">
        <v>35</v>
      </c>
      <c r="J3" s="32" t="s">
        <v>69</v>
      </c>
      <c r="K3" s="32" t="s">
        <v>63</v>
      </c>
      <c r="L3" s="32" t="s">
        <v>64</v>
      </c>
      <c r="M3" s="32" t="s">
        <v>65</v>
      </c>
      <c r="N3" s="32" t="s">
        <v>63</v>
      </c>
      <c r="O3" s="32" t="s">
        <v>64</v>
      </c>
      <c r="P3" s="32" t="s">
        <v>65</v>
      </c>
      <c r="R3" s="32"/>
      <c r="S3" s="58" t="s">
        <v>87</v>
      </c>
      <c r="T3" s="58"/>
      <c r="U3" s="58"/>
      <c r="V3" s="49"/>
    </row>
    <row r="4" spans="1:23" s="1" customFormat="1" ht="14.25" x14ac:dyDescent="0.2">
      <c r="A4" s="34">
        <f>C44</f>
        <v>14</v>
      </c>
      <c r="B4" s="20">
        <v>40</v>
      </c>
      <c r="C4" s="9">
        <v>1</v>
      </c>
      <c r="D4" s="18" t="s">
        <v>95</v>
      </c>
      <c r="E4" s="9">
        <v>0</v>
      </c>
      <c r="F4" s="9">
        <f t="shared" ref="F4:F18" si="0">IF(C4=0,0,VLOOKUP(D4,$D$52:$E$60,2,FALSE))</f>
        <v>0.28999999999999998</v>
      </c>
      <c r="G4" s="1">
        <v>1</v>
      </c>
      <c r="H4" s="32"/>
      <c r="I4" s="32"/>
      <c r="J4" s="31" t="e">
        <f>VLOOKUP($D$4,Properties!$A$10:$N$14,14,FALSE)*$C$44*($F$44-Properties!$M$17)*30*100+0.72</f>
        <v>#N/A</v>
      </c>
      <c r="K4" s="35"/>
      <c r="L4" s="35"/>
      <c r="M4" s="35"/>
      <c r="N4" s="35"/>
      <c r="O4" s="35"/>
      <c r="P4" s="35"/>
      <c r="R4" s="9" t="s">
        <v>88</v>
      </c>
      <c r="S4" s="45" t="s">
        <v>86</v>
      </c>
      <c r="T4" s="52" t="s">
        <v>89</v>
      </c>
      <c r="U4" s="46" t="s">
        <v>65</v>
      </c>
      <c r="V4" s="50"/>
    </row>
    <row r="5" spans="1:23" s="1" customFormat="1" ht="14.25" x14ac:dyDescent="0.2">
      <c r="A5" s="16">
        <f>IF((A4-1)&gt;0,(A4-1),0)</f>
        <v>13</v>
      </c>
      <c r="B5" s="20">
        <f>B4-1</f>
        <v>39</v>
      </c>
      <c r="C5" s="9">
        <v>1</v>
      </c>
      <c r="D5" s="18" t="s">
        <v>98</v>
      </c>
      <c r="E5" s="9">
        <v>45</v>
      </c>
      <c r="F5" s="9">
        <f t="shared" si="0"/>
        <v>0.14499999999999999</v>
      </c>
      <c r="G5" s="1">
        <v>2</v>
      </c>
      <c r="H5" s="32"/>
      <c r="I5" s="32"/>
      <c r="J5" s="31" t="e">
        <f>VLOOKUP($D$4,Properties!$A$10:$N$14,14,FALSE)*$C$44*($F$44-Properties!$M$17)*30*100+0.72</f>
        <v>#N/A</v>
      </c>
      <c r="K5" s="35"/>
      <c r="L5" s="35"/>
      <c r="M5" s="35"/>
      <c r="N5" s="35"/>
      <c r="O5" s="35"/>
      <c r="P5" s="35"/>
      <c r="R5" s="47">
        <v>1</v>
      </c>
      <c r="S5" s="39">
        <v>2.2040000000000002</v>
      </c>
      <c r="T5" s="40">
        <v>2.1619999999999999</v>
      </c>
      <c r="U5" s="41">
        <v>2.2040000000000002</v>
      </c>
      <c r="V5" s="50"/>
    </row>
    <row r="6" spans="1:23" s="1" customFormat="1" ht="14.25" x14ac:dyDescent="0.2">
      <c r="A6" s="16">
        <f t="shared" ref="A6:A43" si="1">IF((A5-1)&gt;0,(A5-1),0)</f>
        <v>12</v>
      </c>
      <c r="B6" s="20">
        <f t="shared" ref="B6:B43" si="2">B5-1</f>
        <v>38</v>
      </c>
      <c r="C6" s="9">
        <v>1</v>
      </c>
      <c r="D6" s="18" t="s">
        <v>98</v>
      </c>
      <c r="E6" s="9">
        <v>-45</v>
      </c>
      <c r="F6" s="9">
        <f t="shared" si="0"/>
        <v>0.14499999999999999</v>
      </c>
      <c r="G6" s="1">
        <v>3</v>
      </c>
      <c r="H6" s="32"/>
      <c r="I6" s="32"/>
      <c r="J6" s="31" t="e">
        <f>VLOOKUP($D$4,Properties!$A$10:$N$14,14,FALSE)*$C$44*($F$44-Properties!$M$17)*30*100+0.72</f>
        <v>#N/A</v>
      </c>
      <c r="K6" s="35"/>
      <c r="L6" s="35"/>
      <c r="M6" s="35"/>
      <c r="N6" s="35"/>
      <c r="O6" s="35"/>
      <c r="P6" s="35"/>
      <c r="R6" s="48">
        <v>2</v>
      </c>
      <c r="S6" s="42">
        <v>2.2599999999999998</v>
      </c>
      <c r="T6" s="43">
        <v>2.1880000000000002</v>
      </c>
      <c r="U6" s="44">
        <v>2.2599999999999998</v>
      </c>
      <c r="V6" s="50"/>
    </row>
    <row r="7" spans="1:23" s="1" customFormat="1" ht="14.25" x14ac:dyDescent="0.2">
      <c r="A7" s="16">
        <f t="shared" si="1"/>
        <v>11</v>
      </c>
      <c r="B7" s="20">
        <f t="shared" si="2"/>
        <v>37</v>
      </c>
      <c r="C7" s="9">
        <v>1</v>
      </c>
      <c r="D7" s="18" t="s">
        <v>98</v>
      </c>
      <c r="E7" s="9">
        <v>45</v>
      </c>
      <c r="F7" s="9">
        <f t="shared" si="0"/>
        <v>0.14499999999999999</v>
      </c>
      <c r="G7" s="1">
        <v>4</v>
      </c>
      <c r="H7" s="32"/>
      <c r="I7" s="32"/>
      <c r="J7" s="31" t="e">
        <f>VLOOKUP($D$4,Properties!$A$10:$N$14,14,FALSE)*$C$44*($F$44-Properties!$M$17)*30*100+0.72</f>
        <v>#N/A</v>
      </c>
      <c r="K7" s="35"/>
      <c r="L7" s="35"/>
      <c r="M7" s="35"/>
      <c r="N7" s="35"/>
      <c r="O7" s="35"/>
      <c r="P7" s="35"/>
      <c r="R7" s="51"/>
      <c r="S7" s="51"/>
      <c r="T7" s="51"/>
      <c r="U7" s="51"/>
    </row>
    <row r="8" spans="1:23" s="1" customFormat="1" ht="14.25" x14ac:dyDescent="0.2">
      <c r="A8" s="16">
        <f t="shared" si="1"/>
        <v>10</v>
      </c>
      <c r="B8" s="20">
        <f t="shared" si="2"/>
        <v>36</v>
      </c>
      <c r="C8" s="9">
        <v>1</v>
      </c>
      <c r="D8" s="18" t="str">
        <f>D6</f>
        <v>BIAX-SE84LV</v>
      </c>
      <c r="E8" s="9">
        <v>-45</v>
      </c>
      <c r="F8" s="9">
        <f t="shared" si="0"/>
        <v>0.14499999999999999</v>
      </c>
      <c r="G8" s="1">
        <v>5</v>
      </c>
      <c r="H8" s="32"/>
      <c r="I8" s="32"/>
      <c r="J8" s="31" t="e">
        <f>VLOOKUP($D$4,Properties!$A$10:$N$14,14,FALSE)*$C$44*($F$44-Properties!$M$17)*30*100+0.72</f>
        <v>#N/A</v>
      </c>
      <c r="K8" s="35"/>
      <c r="L8" s="35"/>
      <c r="M8" s="35"/>
      <c r="N8" s="35"/>
      <c r="O8" s="35"/>
      <c r="P8" s="35"/>
      <c r="R8" s="32" t="s">
        <v>90</v>
      </c>
      <c r="S8" s="32" t="s">
        <v>91</v>
      </c>
      <c r="T8" s="32" t="s">
        <v>35</v>
      </c>
      <c r="U8" s="32" t="s">
        <v>92</v>
      </c>
      <c r="V8" s="32" t="s">
        <v>37</v>
      </c>
    </row>
    <row r="9" spans="1:23" s="1" customFormat="1" ht="14.25" x14ac:dyDescent="0.2">
      <c r="A9" s="16">
        <f t="shared" si="1"/>
        <v>9</v>
      </c>
      <c r="B9" s="20">
        <f t="shared" si="2"/>
        <v>35</v>
      </c>
      <c r="C9" s="9">
        <v>1</v>
      </c>
      <c r="D9" s="18" t="s">
        <v>98</v>
      </c>
      <c r="E9" s="9">
        <v>45</v>
      </c>
      <c r="F9" s="9">
        <f t="shared" si="0"/>
        <v>0.14499999999999999</v>
      </c>
      <c r="G9" s="1">
        <v>6</v>
      </c>
      <c r="H9" s="32"/>
      <c r="I9" s="32"/>
      <c r="J9" s="31" t="e">
        <f>VLOOKUP($D$4,Properties!$A$10:$N$14,14,FALSE)*$C$44*($F$44-Properties!$M$17)*30*100+0.72</f>
        <v>#N/A</v>
      </c>
      <c r="K9" s="35"/>
      <c r="L9" s="35"/>
      <c r="M9" s="35"/>
      <c r="N9" s="35"/>
      <c r="O9" s="35"/>
      <c r="P9" s="35"/>
      <c r="R9" s="32">
        <v>17</v>
      </c>
      <c r="S9" s="32">
        <v>1</v>
      </c>
      <c r="T9" s="32" t="e">
        <f>#REF!</f>
        <v>#REF!</v>
      </c>
      <c r="U9" s="32" t="e">
        <f>#REF!</f>
        <v>#REF!</v>
      </c>
      <c r="V9" s="32" t="e">
        <f>#REF!</f>
        <v>#REF!</v>
      </c>
      <c r="W9" s="49"/>
    </row>
    <row r="10" spans="1:23" s="1" customFormat="1" ht="14.25" x14ac:dyDescent="0.2">
      <c r="A10" s="16">
        <f t="shared" si="1"/>
        <v>8</v>
      </c>
      <c r="B10" s="20">
        <f t="shared" si="2"/>
        <v>34</v>
      </c>
      <c r="C10" s="9">
        <v>1</v>
      </c>
      <c r="D10" s="18" t="s">
        <v>98</v>
      </c>
      <c r="E10" s="9">
        <f>E8</f>
        <v>-45</v>
      </c>
      <c r="F10" s="9">
        <f t="shared" si="0"/>
        <v>0.14499999999999999</v>
      </c>
      <c r="G10" s="1">
        <v>7</v>
      </c>
      <c r="H10" s="32"/>
      <c r="I10" s="32"/>
      <c r="J10" s="31" t="e">
        <f>VLOOKUP($D$4,Properties!$A$10:$N$14,14,FALSE)*$C$44*($F$44-Properties!$M$17)*30*100+0.72</f>
        <v>#N/A</v>
      </c>
      <c r="K10" s="35"/>
      <c r="L10" s="35"/>
      <c r="M10" s="35"/>
      <c r="N10" s="35"/>
      <c r="O10" s="35"/>
      <c r="P10" s="35"/>
      <c r="R10" s="32" t="e">
        <f>#REF!</f>
        <v>#REF!</v>
      </c>
      <c r="S10" s="32">
        <f>S9</f>
        <v>1</v>
      </c>
      <c r="T10" s="32" t="e">
        <f t="shared" ref="T10:V26" si="3">#REF!</f>
        <v>#REF!</v>
      </c>
      <c r="U10" s="32" t="e">
        <f t="shared" si="3"/>
        <v>#REF!</v>
      </c>
      <c r="V10" s="32" t="e">
        <f t="shared" si="3"/>
        <v>#REF!</v>
      </c>
      <c r="W10" s="49"/>
    </row>
    <row r="11" spans="1:23" s="1" customFormat="1" ht="14.25" x14ac:dyDescent="0.2">
      <c r="A11" s="16">
        <f t="shared" si="1"/>
        <v>7</v>
      </c>
      <c r="B11" s="20">
        <f t="shared" si="2"/>
        <v>33</v>
      </c>
      <c r="C11" s="9">
        <v>1</v>
      </c>
      <c r="D11" s="18" t="s">
        <v>38</v>
      </c>
      <c r="E11" s="9">
        <v>0</v>
      </c>
      <c r="F11" s="9">
        <f t="shared" si="0"/>
        <v>3.1749999999999998</v>
      </c>
      <c r="G11" s="1">
        <v>8</v>
      </c>
      <c r="H11" s="32"/>
      <c r="I11" s="32"/>
      <c r="J11" s="31" t="e">
        <f>VLOOKUP($D$4,Properties!$A$10:$N$14,14,FALSE)*$C$44*($F$44-Properties!$M$17)*30*100+0.72</f>
        <v>#N/A</v>
      </c>
      <c r="K11" s="35"/>
      <c r="L11" s="37"/>
      <c r="M11" s="35"/>
      <c r="N11" s="35"/>
      <c r="O11" s="37"/>
      <c r="P11" s="35"/>
      <c r="R11" s="32" t="e">
        <f t="shared" ref="R11:R24" si="4">#REF!</f>
        <v>#REF!</v>
      </c>
      <c r="S11" s="32">
        <f t="shared" ref="S11:S26" si="5">S10</f>
        <v>1</v>
      </c>
      <c r="T11" s="32" t="e">
        <f t="shared" si="3"/>
        <v>#REF!</v>
      </c>
      <c r="U11" s="32" t="e">
        <f t="shared" si="3"/>
        <v>#REF!</v>
      </c>
      <c r="V11" s="32" t="e">
        <f t="shared" si="3"/>
        <v>#REF!</v>
      </c>
      <c r="W11" s="49"/>
    </row>
    <row r="12" spans="1:23" s="1" customFormat="1" ht="14.25" x14ac:dyDescent="0.2">
      <c r="A12" s="16">
        <f t="shared" si="1"/>
        <v>6</v>
      </c>
      <c r="B12" s="20">
        <f t="shared" si="2"/>
        <v>32</v>
      </c>
      <c r="C12" s="9">
        <v>1</v>
      </c>
      <c r="D12" s="18" t="s">
        <v>98</v>
      </c>
      <c r="E12" s="9">
        <f>E10</f>
        <v>-45</v>
      </c>
      <c r="F12" s="9">
        <f t="shared" si="0"/>
        <v>0.14499999999999999</v>
      </c>
      <c r="G12" s="1">
        <v>9</v>
      </c>
      <c r="H12" s="32"/>
      <c r="I12" s="32"/>
      <c r="J12" s="31" t="e">
        <f>VLOOKUP($D$4,Properties!$A$10:$N$14,14,FALSE)*$C$44*($F$44-Properties!$M$17)*30*100+0.72</f>
        <v>#N/A</v>
      </c>
      <c r="K12" s="35"/>
      <c r="L12" s="37"/>
      <c r="M12" s="35"/>
      <c r="N12" s="35"/>
      <c r="O12" s="37"/>
      <c r="P12" s="35"/>
      <c r="R12" s="32" t="e">
        <f t="shared" si="4"/>
        <v>#REF!</v>
      </c>
      <c r="S12" s="32">
        <f t="shared" si="5"/>
        <v>1</v>
      </c>
      <c r="T12" s="32" t="e">
        <f t="shared" si="3"/>
        <v>#REF!</v>
      </c>
      <c r="U12" s="32" t="e">
        <f t="shared" si="3"/>
        <v>#REF!</v>
      </c>
      <c r="V12" s="32" t="e">
        <f t="shared" si="3"/>
        <v>#REF!</v>
      </c>
      <c r="W12" s="49"/>
    </row>
    <row r="13" spans="1:23" s="1" customFormat="1" ht="14.25" x14ac:dyDescent="0.2">
      <c r="A13" s="16">
        <f t="shared" si="1"/>
        <v>5</v>
      </c>
      <c r="B13" s="20">
        <f t="shared" si="2"/>
        <v>31</v>
      </c>
      <c r="C13" s="9">
        <v>1</v>
      </c>
      <c r="D13" s="18" t="s">
        <v>98</v>
      </c>
      <c r="E13" s="9">
        <f>E9</f>
        <v>45</v>
      </c>
      <c r="F13" s="9">
        <f t="shared" si="0"/>
        <v>0.14499999999999999</v>
      </c>
      <c r="G13" s="1">
        <v>10</v>
      </c>
      <c r="H13" s="32"/>
      <c r="I13" s="32"/>
      <c r="J13" s="31" t="e">
        <f>VLOOKUP($D$4,Properties!$A$10:$N$14,14,FALSE)*$C$44*($F$44-Properties!$M$17)*30*100+0.72</f>
        <v>#N/A</v>
      </c>
      <c r="K13" s="35"/>
      <c r="L13" s="37"/>
      <c r="M13" s="35"/>
      <c r="N13" s="35"/>
      <c r="O13" s="37"/>
      <c r="P13" s="35"/>
      <c r="R13" s="32" t="e">
        <f t="shared" si="4"/>
        <v>#REF!</v>
      </c>
      <c r="S13" s="32">
        <f t="shared" si="5"/>
        <v>1</v>
      </c>
      <c r="T13" s="32" t="e">
        <f t="shared" si="3"/>
        <v>#REF!</v>
      </c>
      <c r="U13" s="32" t="e">
        <f t="shared" si="3"/>
        <v>#REF!</v>
      </c>
      <c r="V13" s="32" t="e">
        <f t="shared" si="3"/>
        <v>#REF!</v>
      </c>
      <c r="W13" s="49"/>
    </row>
    <row r="14" spans="1:23" s="1" customFormat="1" ht="14.25" x14ac:dyDescent="0.2">
      <c r="A14" s="16">
        <f t="shared" si="1"/>
        <v>4</v>
      </c>
      <c r="B14" s="20">
        <f t="shared" si="2"/>
        <v>30</v>
      </c>
      <c r="C14" s="9">
        <v>1</v>
      </c>
      <c r="D14" s="18" t="s">
        <v>98</v>
      </c>
      <c r="E14" s="9">
        <f>E8</f>
        <v>-45</v>
      </c>
      <c r="F14" s="9">
        <f t="shared" si="0"/>
        <v>0.14499999999999999</v>
      </c>
      <c r="G14" s="1">
        <v>11</v>
      </c>
      <c r="H14" s="32"/>
      <c r="I14" s="32"/>
      <c r="J14" s="31" t="e">
        <f>VLOOKUP($D$4,Properties!$A$10:$N$14,14,FALSE)*$C$44*($F$44-Properties!$M$17)*30*100+0.72</f>
        <v>#N/A</v>
      </c>
      <c r="K14" s="35"/>
      <c r="L14" s="37"/>
      <c r="M14" s="35"/>
      <c r="N14" s="35"/>
      <c r="O14" s="37"/>
      <c r="P14" s="35"/>
      <c r="R14" s="32" t="e">
        <f t="shared" si="4"/>
        <v>#REF!</v>
      </c>
      <c r="S14" s="32">
        <f t="shared" si="5"/>
        <v>1</v>
      </c>
      <c r="T14" s="32" t="e">
        <f t="shared" si="3"/>
        <v>#REF!</v>
      </c>
      <c r="U14" s="32" t="e">
        <f t="shared" si="3"/>
        <v>#REF!</v>
      </c>
      <c r="V14" s="32" t="e">
        <f t="shared" si="3"/>
        <v>#REF!</v>
      </c>
      <c r="W14" s="49"/>
    </row>
    <row r="15" spans="1:23" s="1" customFormat="1" ht="14.25" x14ac:dyDescent="0.2">
      <c r="A15" s="16">
        <f t="shared" si="1"/>
        <v>3</v>
      </c>
      <c r="B15" s="20">
        <f t="shared" si="2"/>
        <v>29</v>
      </c>
      <c r="C15" s="9">
        <v>1</v>
      </c>
      <c r="D15" s="18" t="s">
        <v>98</v>
      </c>
      <c r="E15" s="9">
        <f>E7</f>
        <v>45</v>
      </c>
      <c r="F15" s="9">
        <f t="shared" si="0"/>
        <v>0.14499999999999999</v>
      </c>
      <c r="G15" s="1">
        <v>12</v>
      </c>
      <c r="H15" s="32"/>
      <c r="I15" s="32"/>
      <c r="J15" s="31" t="e">
        <f>VLOOKUP($D$4,Properties!$A$10:$N$14,14,FALSE)*$C$44*($F$44-Properties!$M$17)*30*100+0.72</f>
        <v>#N/A</v>
      </c>
      <c r="K15" s="37"/>
      <c r="L15" s="35"/>
      <c r="M15" s="35"/>
      <c r="N15" s="35"/>
      <c r="O15" s="37"/>
      <c r="P15" s="35"/>
      <c r="R15" s="32" t="e">
        <f t="shared" si="4"/>
        <v>#REF!</v>
      </c>
      <c r="S15" s="32">
        <f t="shared" si="5"/>
        <v>1</v>
      </c>
      <c r="T15" s="32" t="e">
        <f t="shared" si="3"/>
        <v>#REF!</v>
      </c>
      <c r="U15" s="32" t="e">
        <f t="shared" si="3"/>
        <v>#REF!</v>
      </c>
      <c r="V15" s="32" t="e">
        <f t="shared" si="3"/>
        <v>#REF!</v>
      </c>
      <c r="W15" s="49"/>
    </row>
    <row r="16" spans="1:23" s="1" customFormat="1" ht="14.25" x14ac:dyDescent="0.2">
      <c r="A16" s="16">
        <f t="shared" si="1"/>
        <v>2</v>
      </c>
      <c r="B16" s="20">
        <f t="shared" si="2"/>
        <v>28</v>
      </c>
      <c r="C16" s="9">
        <v>1</v>
      </c>
      <c r="D16" s="18" t="s">
        <v>98</v>
      </c>
      <c r="E16" s="9">
        <f>E6</f>
        <v>-45</v>
      </c>
      <c r="F16" s="9">
        <f t="shared" si="0"/>
        <v>0.14499999999999999</v>
      </c>
      <c r="H16" s="32"/>
      <c r="I16" s="32"/>
      <c r="J16" s="31" t="e">
        <f>VLOOKUP($D$4,Properties!$A$10:$N$14,14,FALSE)*$C$44*($F$44-Properties!$M$17)*30*100+0.72</f>
        <v>#N/A</v>
      </c>
      <c r="K16" s="35"/>
      <c r="L16" s="35"/>
      <c r="M16" s="35"/>
      <c r="N16" s="35"/>
      <c r="O16" s="35"/>
      <c r="P16" s="35"/>
      <c r="R16" s="32" t="e">
        <f t="shared" si="4"/>
        <v>#REF!</v>
      </c>
      <c r="S16" s="32">
        <f t="shared" si="5"/>
        <v>1</v>
      </c>
      <c r="T16" s="32" t="e">
        <f t="shared" si="3"/>
        <v>#REF!</v>
      </c>
      <c r="U16" s="32" t="e">
        <f t="shared" si="3"/>
        <v>#REF!</v>
      </c>
      <c r="V16" s="32" t="e">
        <f t="shared" si="3"/>
        <v>#REF!</v>
      </c>
      <c r="W16" s="49"/>
    </row>
    <row r="17" spans="1:23" s="1" customFormat="1" x14ac:dyDescent="0.25">
      <c r="A17" s="16">
        <f t="shared" si="1"/>
        <v>1</v>
      </c>
      <c r="B17" s="20">
        <f t="shared" si="2"/>
        <v>27</v>
      </c>
      <c r="C17" s="9">
        <v>1</v>
      </c>
      <c r="D17" s="18" t="s">
        <v>98</v>
      </c>
      <c r="E17" s="9">
        <f>E5</f>
        <v>45</v>
      </c>
      <c r="F17" s="9">
        <f t="shared" si="0"/>
        <v>0.14499999999999999</v>
      </c>
      <c r="H17"/>
      <c r="I17"/>
      <c r="J17" s="31" t="e">
        <f>VLOOKUP($D$4,Properties!$A$10:$N$14,14,FALSE)*$C$44*($F$44-Properties!$M$17)*30*100+0.72</f>
        <v>#N/A</v>
      </c>
      <c r="K17" s="35"/>
      <c r="L17" s="35"/>
      <c r="M17" s="35"/>
      <c r="N17" s="35"/>
      <c r="O17" s="35"/>
      <c r="P17" s="35"/>
      <c r="R17" s="32" t="e">
        <f t="shared" si="4"/>
        <v>#REF!</v>
      </c>
      <c r="S17" s="32">
        <f t="shared" si="5"/>
        <v>1</v>
      </c>
      <c r="T17" s="32" t="e">
        <f t="shared" si="3"/>
        <v>#REF!</v>
      </c>
      <c r="U17" s="32" t="s">
        <v>93</v>
      </c>
      <c r="V17" s="32" t="e">
        <f t="shared" si="3"/>
        <v>#REF!</v>
      </c>
      <c r="W17" s="49"/>
    </row>
    <row r="18" spans="1:23" s="1" customFormat="1" x14ac:dyDescent="0.25">
      <c r="A18" s="16">
        <f t="shared" si="1"/>
        <v>0</v>
      </c>
      <c r="B18" s="20">
        <f t="shared" si="2"/>
        <v>26</v>
      </c>
      <c r="C18" s="9">
        <v>1</v>
      </c>
      <c r="D18" s="18" t="s">
        <v>95</v>
      </c>
      <c r="E18" s="9">
        <f>E4</f>
        <v>0</v>
      </c>
      <c r="F18" s="9">
        <f t="shared" si="0"/>
        <v>0.28999999999999998</v>
      </c>
      <c r="H18"/>
      <c r="I18"/>
      <c r="J18" s="31" t="e">
        <f>VLOOKUP($D$4,Properties!$A$10:$N$14,14,FALSE)*$C$44*($F$44-Properties!$M$17)*30*100+0.72</f>
        <v>#N/A</v>
      </c>
      <c r="K18" s="35"/>
      <c r="L18" s="35"/>
      <c r="M18" s="35"/>
      <c r="N18" s="35"/>
      <c r="O18" s="35"/>
      <c r="P18" s="35"/>
      <c r="R18" s="32" t="e">
        <f t="shared" si="4"/>
        <v>#REF!</v>
      </c>
      <c r="S18" s="32">
        <f t="shared" si="5"/>
        <v>1</v>
      </c>
      <c r="T18" s="32" t="e">
        <f t="shared" si="3"/>
        <v>#REF!</v>
      </c>
      <c r="U18" s="32" t="e">
        <f t="shared" si="3"/>
        <v>#REF!</v>
      </c>
      <c r="V18" s="32" t="e">
        <f t="shared" si="3"/>
        <v>#REF!</v>
      </c>
      <c r="W18" s="49"/>
    </row>
    <row r="19" spans="1:23" s="1" customFormat="1" x14ac:dyDescent="0.25">
      <c r="A19" s="16"/>
      <c r="B19" s="20">
        <f t="shared" si="2"/>
        <v>25</v>
      </c>
      <c r="C19" s="9">
        <v>0</v>
      </c>
      <c r="D19" s="18" t="s">
        <v>98</v>
      </c>
      <c r="E19" s="9"/>
      <c r="F19" s="9">
        <f t="shared" ref="F19:F33" si="6">IF(C20=0,0,VLOOKUP(D19,$D$52:$E$60,2,FALSE))</f>
        <v>0</v>
      </c>
      <c r="H19"/>
      <c r="I19"/>
      <c r="J19" s="31"/>
      <c r="K19" s="35"/>
      <c r="L19" s="35"/>
      <c r="M19" s="35"/>
      <c r="N19" s="35"/>
      <c r="O19" s="35"/>
      <c r="P19" s="35"/>
      <c r="R19" s="32"/>
      <c r="S19" s="32"/>
      <c r="T19" s="32"/>
      <c r="U19" s="32"/>
      <c r="V19" s="32"/>
      <c r="W19" s="49"/>
    </row>
    <row r="20" spans="1:23" s="1" customFormat="1" x14ac:dyDescent="0.25">
      <c r="A20" s="16">
        <f>IF((A18-1)&gt;0,(A18-1),0)</f>
        <v>0</v>
      </c>
      <c r="B20" s="20">
        <f t="shared" si="2"/>
        <v>24</v>
      </c>
      <c r="C20" s="9">
        <v>0</v>
      </c>
      <c r="D20" s="18" t="s">
        <v>98</v>
      </c>
      <c r="E20" s="9"/>
      <c r="F20" s="9">
        <f t="shared" si="6"/>
        <v>0</v>
      </c>
      <c r="H20"/>
      <c r="I20"/>
      <c r="J20" s="31" t="e">
        <f>VLOOKUP($D$4,Properties!$A$10:$N$14,14,FALSE)*$C$44*($F$44-Properties!$M$17)*30*100+0.72</f>
        <v>#N/A</v>
      </c>
      <c r="K20" s="35"/>
      <c r="L20" s="35"/>
      <c r="M20" s="35"/>
      <c r="N20" s="35"/>
      <c r="O20" s="35"/>
      <c r="P20" s="35"/>
      <c r="R20" s="32" t="e">
        <f t="shared" si="4"/>
        <v>#REF!</v>
      </c>
      <c r="S20" s="32">
        <f>S18</f>
        <v>1</v>
      </c>
      <c r="T20" s="32" t="e">
        <f t="shared" si="3"/>
        <v>#REF!</v>
      </c>
      <c r="U20" s="32" t="e">
        <f t="shared" si="3"/>
        <v>#REF!</v>
      </c>
      <c r="V20" s="32" t="e">
        <f t="shared" si="3"/>
        <v>#REF!</v>
      </c>
      <c r="W20" s="49"/>
    </row>
    <row r="21" spans="1:23" s="1" customFormat="1" x14ac:dyDescent="0.25">
      <c r="A21" s="16">
        <f t="shared" si="1"/>
        <v>0</v>
      </c>
      <c r="B21" s="20">
        <f t="shared" si="2"/>
        <v>23</v>
      </c>
      <c r="C21" s="9">
        <v>0</v>
      </c>
      <c r="D21" s="18" t="s">
        <v>95</v>
      </c>
      <c r="E21" s="9"/>
      <c r="F21" s="9">
        <f t="shared" si="6"/>
        <v>0</v>
      </c>
      <c r="H21"/>
      <c r="I21"/>
      <c r="J21" s="31" t="e">
        <f>VLOOKUP($D$4,Properties!$A$10:$N$14,14,FALSE)*$C$44*($F$44-Properties!$M$17)*30*100+0.72</f>
        <v>#N/A</v>
      </c>
      <c r="K21" s="35"/>
      <c r="L21" s="35"/>
      <c r="M21" s="35"/>
      <c r="N21" s="35"/>
      <c r="O21" s="35"/>
      <c r="P21" s="35"/>
      <c r="R21" s="32" t="e">
        <f t="shared" si="4"/>
        <v>#REF!</v>
      </c>
      <c r="S21" s="32">
        <f t="shared" si="5"/>
        <v>1</v>
      </c>
      <c r="T21" s="32" t="e">
        <f t="shared" si="3"/>
        <v>#REF!</v>
      </c>
      <c r="U21" s="32" t="e">
        <f t="shared" si="3"/>
        <v>#REF!</v>
      </c>
      <c r="V21" s="32" t="e">
        <f t="shared" si="3"/>
        <v>#REF!</v>
      </c>
      <c r="W21" s="49"/>
    </row>
    <row r="22" spans="1:23" s="1" customFormat="1" x14ac:dyDescent="0.25">
      <c r="A22" s="16">
        <f t="shared" si="1"/>
        <v>0</v>
      </c>
      <c r="B22" s="20">
        <f t="shared" si="2"/>
        <v>22</v>
      </c>
      <c r="C22" s="9">
        <v>0</v>
      </c>
      <c r="D22" s="18" t="s">
        <v>98</v>
      </c>
      <c r="E22" s="9"/>
      <c r="F22" s="9">
        <f t="shared" si="6"/>
        <v>0</v>
      </c>
      <c r="H22"/>
      <c r="I22"/>
      <c r="J22" s="31" t="e">
        <f>VLOOKUP($D$4,Properties!$A$10:$N$14,14,FALSE)*$C$44*($F$44-Properties!$M$17)*30*100+0.72</f>
        <v>#N/A</v>
      </c>
      <c r="K22" s="35"/>
      <c r="L22" s="35"/>
      <c r="M22" s="35"/>
      <c r="N22" s="35"/>
      <c r="O22" s="35"/>
      <c r="P22" s="35"/>
      <c r="R22" s="32" t="e">
        <f t="shared" si="4"/>
        <v>#REF!</v>
      </c>
      <c r="S22" s="32">
        <f t="shared" si="5"/>
        <v>1</v>
      </c>
      <c r="T22" s="32" t="e">
        <f t="shared" si="3"/>
        <v>#REF!</v>
      </c>
      <c r="U22" s="32" t="e">
        <f t="shared" si="3"/>
        <v>#REF!</v>
      </c>
      <c r="V22" s="32" t="e">
        <f t="shared" si="3"/>
        <v>#REF!</v>
      </c>
      <c r="W22" s="49"/>
    </row>
    <row r="23" spans="1:23" s="1" customFormat="1" x14ac:dyDescent="0.25">
      <c r="A23" s="16">
        <f t="shared" si="1"/>
        <v>0</v>
      </c>
      <c r="B23" s="20">
        <f t="shared" si="2"/>
        <v>21</v>
      </c>
      <c r="C23" s="9">
        <v>0</v>
      </c>
      <c r="D23" s="18" t="s">
        <v>98</v>
      </c>
      <c r="E23" s="9"/>
      <c r="F23" s="9">
        <f t="shared" si="6"/>
        <v>0</v>
      </c>
      <c r="H23"/>
      <c r="I23"/>
      <c r="J23" s="31" t="e">
        <f>VLOOKUP($D$4,Properties!$A$10:$N$14,14,FALSE)*$C$44*($F$44-Properties!$M$17)*30*100+0.72</f>
        <v>#N/A</v>
      </c>
      <c r="K23" s="35"/>
      <c r="L23" s="35"/>
      <c r="M23" s="35"/>
      <c r="N23" s="35"/>
      <c r="O23" s="35"/>
      <c r="P23" s="35"/>
      <c r="R23" s="32" t="e">
        <f t="shared" si="4"/>
        <v>#REF!</v>
      </c>
      <c r="S23" s="32">
        <f t="shared" si="5"/>
        <v>1</v>
      </c>
      <c r="T23" s="32" t="e">
        <f t="shared" si="3"/>
        <v>#REF!</v>
      </c>
      <c r="U23" s="32" t="e">
        <f t="shared" si="3"/>
        <v>#REF!</v>
      </c>
      <c r="V23" s="32" t="e">
        <f t="shared" si="3"/>
        <v>#REF!</v>
      </c>
      <c r="W23" s="49"/>
    </row>
    <row r="24" spans="1:23" s="1" customFormat="1" x14ac:dyDescent="0.25">
      <c r="A24" s="16">
        <f>IF((A23-1)&gt;0,(A23-1),0)</f>
        <v>0</v>
      </c>
      <c r="B24" s="20">
        <f t="shared" si="2"/>
        <v>20</v>
      </c>
      <c r="C24" s="9">
        <v>0</v>
      </c>
      <c r="D24" s="18" t="s">
        <v>95</v>
      </c>
      <c r="E24" s="9"/>
      <c r="F24" s="9">
        <f t="shared" si="6"/>
        <v>0</v>
      </c>
      <c r="H24"/>
      <c r="I24"/>
      <c r="J24" s="31" t="e">
        <f>VLOOKUP($D$4,Properties!$A$10:$N$14,14,FALSE)*$C$44*($F$44-Properties!$M$17)*30*100+0.72</f>
        <v>#N/A</v>
      </c>
      <c r="K24" s="36"/>
      <c r="L24" s="36"/>
      <c r="M24" s="36"/>
      <c r="N24" s="36"/>
      <c r="O24" s="36"/>
      <c r="P24" s="36"/>
      <c r="R24" s="32" t="e">
        <f t="shared" si="4"/>
        <v>#REF!</v>
      </c>
      <c r="S24" s="32">
        <f t="shared" si="5"/>
        <v>1</v>
      </c>
      <c r="T24" s="32" t="e">
        <f t="shared" si="3"/>
        <v>#REF!</v>
      </c>
      <c r="U24" s="32" t="e">
        <f t="shared" si="3"/>
        <v>#REF!</v>
      </c>
      <c r="V24" s="32" t="e">
        <f t="shared" si="3"/>
        <v>#REF!</v>
      </c>
      <c r="W24" s="49"/>
    </row>
    <row r="25" spans="1:23" s="1" customFormat="1" x14ac:dyDescent="0.25">
      <c r="A25" s="16">
        <f t="shared" si="1"/>
        <v>0</v>
      </c>
      <c r="B25" s="20">
        <f t="shared" si="2"/>
        <v>19</v>
      </c>
      <c r="C25" s="9">
        <v>0</v>
      </c>
      <c r="D25" s="18" t="s">
        <v>98</v>
      </c>
      <c r="E25" s="9"/>
      <c r="F25" s="9">
        <f t="shared" si="6"/>
        <v>0</v>
      </c>
      <c r="H25"/>
      <c r="J25" s="31" t="e">
        <f>VLOOKUP($D$4,Properties!$A$10:$N$14,14,FALSE)*$C$44*($F$44-Properties!$M$17)*30*100+0.72</f>
        <v>#N/A</v>
      </c>
      <c r="K25" s="36"/>
      <c r="L25" s="36"/>
      <c r="M25" s="36"/>
      <c r="N25" s="36"/>
      <c r="O25" s="36"/>
      <c r="P25" s="36"/>
      <c r="R25" s="32" t="e">
        <f>#REF!</f>
        <v>#REF!</v>
      </c>
      <c r="S25" s="32">
        <f t="shared" si="5"/>
        <v>1</v>
      </c>
      <c r="T25" s="32" t="e">
        <f t="shared" si="3"/>
        <v>#REF!</v>
      </c>
      <c r="U25" s="32" t="e">
        <f t="shared" si="3"/>
        <v>#REF!</v>
      </c>
      <c r="V25" s="32" t="e">
        <f t="shared" si="3"/>
        <v>#REF!</v>
      </c>
      <c r="W25" s="49"/>
    </row>
    <row r="26" spans="1:23" s="1" customFormat="1" x14ac:dyDescent="0.25">
      <c r="A26" s="16">
        <f t="shared" si="1"/>
        <v>0</v>
      </c>
      <c r="B26" s="20">
        <f t="shared" si="2"/>
        <v>18</v>
      </c>
      <c r="C26" s="9">
        <v>0</v>
      </c>
      <c r="D26" s="18" t="s">
        <v>98</v>
      </c>
      <c r="E26" s="9"/>
      <c r="F26" s="9">
        <f t="shared" si="6"/>
        <v>0</v>
      </c>
      <c r="H26"/>
      <c r="J26" s="31" t="e">
        <f>VLOOKUP($D$4,Properties!$A$10:$N$14,14,FALSE)*$C$44*($F$44-Properties!$M$17)*30*100+0.72</f>
        <v>#N/A</v>
      </c>
      <c r="K26" s="36"/>
      <c r="L26" s="36"/>
      <c r="M26" s="36"/>
      <c r="N26" s="36"/>
      <c r="O26" s="36"/>
      <c r="P26" s="36"/>
      <c r="R26" s="32" t="e">
        <f t="shared" ref="R26" si="7">#REF!</f>
        <v>#REF!</v>
      </c>
      <c r="S26" s="32">
        <f t="shared" si="5"/>
        <v>1</v>
      </c>
      <c r="T26" s="32" t="e">
        <f t="shared" si="3"/>
        <v>#REF!</v>
      </c>
      <c r="U26" s="32" t="e">
        <f t="shared" si="3"/>
        <v>#REF!</v>
      </c>
      <c r="V26" s="32" t="e">
        <f t="shared" si="3"/>
        <v>#REF!</v>
      </c>
      <c r="W26" s="49"/>
    </row>
    <row r="27" spans="1:23" s="1" customFormat="1" x14ac:dyDescent="0.25">
      <c r="A27" s="16">
        <f t="shared" si="1"/>
        <v>0</v>
      </c>
      <c r="B27" s="20">
        <f t="shared" si="2"/>
        <v>17</v>
      </c>
      <c r="C27" s="9">
        <v>0</v>
      </c>
      <c r="D27" s="18" t="s">
        <v>95</v>
      </c>
      <c r="E27" s="9"/>
      <c r="F27" s="9">
        <f t="shared" si="6"/>
        <v>0</v>
      </c>
      <c r="H27"/>
      <c r="J27" s="31" t="e">
        <f>VLOOKUP($D$4,Properties!$A$10:$N$14,14,FALSE)*$C$44*($F$44-Properties!$M$17)*30*100+0.72</f>
        <v>#N/A</v>
      </c>
      <c r="K27" s="36"/>
      <c r="L27" s="36"/>
      <c r="M27" s="36"/>
      <c r="N27" s="36"/>
      <c r="O27" s="36"/>
      <c r="P27" s="36"/>
      <c r="R27" s="49"/>
      <c r="S27" s="49"/>
      <c r="T27" s="49"/>
      <c r="U27" s="49"/>
      <c r="V27" s="49"/>
    </row>
    <row r="28" spans="1:23" s="1" customFormat="1" x14ac:dyDescent="0.25">
      <c r="A28" s="16">
        <f t="shared" si="1"/>
        <v>0</v>
      </c>
      <c r="B28" s="20">
        <f t="shared" si="2"/>
        <v>16</v>
      </c>
      <c r="C28" s="9">
        <v>0</v>
      </c>
      <c r="D28" s="18" t="s">
        <v>98</v>
      </c>
      <c r="E28" s="9"/>
      <c r="F28" s="9">
        <f t="shared" si="6"/>
        <v>0</v>
      </c>
      <c r="H28"/>
      <c r="J28" s="31" t="e">
        <f>VLOOKUP($D$4,Properties!$A$10:$N$14,14,FALSE)*$C$44*($F$44-Properties!$M$17)*30*100+0.72</f>
        <v>#N/A</v>
      </c>
      <c r="K28" s="36"/>
      <c r="L28" s="36"/>
      <c r="M28" s="36"/>
      <c r="N28" s="36"/>
      <c r="O28" s="36"/>
      <c r="P28" s="36"/>
    </row>
    <row r="29" spans="1:23" s="1" customFormat="1" x14ac:dyDescent="0.25">
      <c r="A29" s="16">
        <f t="shared" si="1"/>
        <v>0</v>
      </c>
      <c r="B29" s="20">
        <f t="shared" si="2"/>
        <v>15</v>
      </c>
      <c r="C29" s="9">
        <v>0</v>
      </c>
      <c r="D29" s="18" t="s">
        <v>98</v>
      </c>
      <c r="E29" s="9"/>
      <c r="F29" s="9">
        <f t="shared" si="6"/>
        <v>0</v>
      </c>
      <c r="H29"/>
      <c r="J29" s="31"/>
      <c r="K29" s="36"/>
      <c r="L29" s="36"/>
      <c r="M29" s="36"/>
      <c r="N29" s="36"/>
      <c r="O29" s="36"/>
      <c r="P29" s="36"/>
    </row>
    <row r="30" spans="1:23" s="1" customFormat="1" x14ac:dyDescent="0.25">
      <c r="A30" s="16">
        <f t="shared" si="1"/>
        <v>0</v>
      </c>
      <c r="B30" s="20">
        <f t="shared" si="2"/>
        <v>14</v>
      </c>
      <c r="C30" s="9">
        <v>0</v>
      </c>
      <c r="D30" s="18" t="s">
        <v>95</v>
      </c>
      <c r="E30" s="9"/>
      <c r="F30" s="9">
        <f t="shared" si="6"/>
        <v>0</v>
      </c>
      <c r="H30"/>
      <c r="J30" s="31"/>
      <c r="K30" s="36"/>
      <c r="L30" s="36"/>
      <c r="M30" s="36"/>
      <c r="N30" s="36"/>
      <c r="O30" s="36"/>
      <c r="P30" s="36"/>
    </row>
    <row r="31" spans="1:23" s="1" customFormat="1" x14ac:dyDescent="0.25">
      <c r="A31" s="16">
        <f t="shared" si="1"/>
        <v>0</v>
      </c>
      <c r="B31" s="20">
        <f t="shared" si="2"/>
        <v>13</v>
      </c>
      <c r="C31" s="9">
        <v>0</v>
      </c>
      <c r="D31" s="18" t="s">
        <v>98</v>
      </c>
      <c r="E31" s="9"/>
      <c r="F31" s="9">
        <f t="shared" si="6"/>
        <v>0</v>
      </c>
      <c r="H31"/>
      <c r="J31" s="31"/>
      <c r="K31" s="36"/>
      <c r="L31" s="36"/>
      <c r="M31" s="36"/>
      <c r="N31" s="36"/>
      <c r="O31" s="36"/>
      <c r="P31" s="36"/>
    </row>
    <row r="32" spans="1:23" s="1" customFormat="1" x14ac:dyDescent="0.25">
      <c r="A32" s="16">
        <f t="shared" si="1"/>
        <v>0</v>
      </c>
      <c r="B32" s="20">
        <f t="shared" si="2"/>
        <v>12</v>
      </c>
      <c r="C32" s="9">
        <v>0</v>
      </c>
      <c r="D32" s="18" t="s">
        <v>98</v>
      </c>
      <c r="E32" s="9"/>
      <c r="F32" s="9">
        <f t="shared" si="6"/>
        <v>0</v>
      </c>
      <c r="H32"/>
      <c r="J32" s="31"/>
      <c r="K32" s="36"/>
      <c r="L32" s="36"/>
      <c r="M32" s="36"/>
      <c r="N32" s="36"/>
      <c r="O32" s="36"/>
      <c r="P32" s="36"/>
    </row>
    <row r="33" spans="1:16" s="1" customFormat="1" x14ac:dyDescent="0.25">
      <c r="A33" s="16">
        <f t="shared" si="1"/>
        <v>0</v>
      </c>
      <c r="B33" s="20">
        <f t="shared" si="2"/>
        <v>11</v>
      </c>
      <c r="C33" s="9">
        <v>0</v>
      </c>
      <c r="D33" s="18" t="s">
        <v>95</v>
      </c>
      <c r="E33" s="9"/>
      <c r="F33" s="9">
        <f t="shared" si="6"/>
        <v>0</v>
      </c>
      <c r="H33"/>
      <c r="J33" s="31"/>
      <c r="K33" s="36"/>
      <c r="L33" s="36"/>
      <c r="M33" s="36"/>
      <c r="N33" s="36"/>
      <c r="O33" s="36"/>
      <c r="P33" s="36"/>
    </row>
    <row r="34" spans="1:16" s="1" customFormat="1" x14ac:dyDescent="0.25">
      <c r="A34" s="16">
        <f t="shared" si="1"/>
        <v>0</v>
      </c>
      <c r="B34" s="20">
        <f t="shared" si="2"/>
        <v>10</v>
      </c>
      <c r="C34" s="9">
        <v>0</v>
      </c>
      <c r="D34" s="18" t="s">
        <v>95</v>
      </c>
      <c r="E34" s="9"/>
      <c r="F34" s="9">
        <f t="shared" ref="F34:F43" si="8">IF(C35=0,0,VLOOKUP(D34,$D$52:$E$60,2,FALSE))</f>
        <v>0</v>
      </c>
      <c r="H34"/>
      <c r="J34" s="31"/>
      <c r="K34" s="36"/>
      <c r="L34" s="36"/>
      <c r="M34" s="36"/>
      <c r="N34" s="36"/>
      <c r="O34" s="36"/>
      <c r="P34" s="36"/>
    </row>
    <row r="35" spans="1:16" s="1" customFormat="1" x14ac:dyDescent="0.25">
      <c r="A35" s="16">
        <f t="shared" si="1"/>
        <v>0</v>
      </c>
      <c r="B35" s="20">
        <f t="shared" si="2"/>
        <v>9</v>
      </c>
      <c r="C35" s="9">
        <v>0</v>
      </c>
      <c r="D35" s="18" t="s">
        <v>95</v>
      </c>
      <c r="E35" s="9"/>
      <c r="F35" s="9">
        <f t="shared" si="8"/>
        <v>0</v>
      </c>
      <c r="H35"/>
      <c r="J35" s="31"/>
      <c r="K35" s="36"/>
      <c r="L35" s="36"/>
      <c r="M35" s="36"/>
      <c r="N35" s="36"/>
      <c r="O35" s="36"/>
      <c r="P35" s="36"/>
    </row>
    <row r="36" spans="1:16" s="1" customFormat="1" x14ac:dyDescent="0.25">
      <c r="A36" s="16">
        <f t="shared" si="1"/>
        <v>0</v>
      </c>
      <c r="B36" s="20">
        <f t="shared" si="2"/>
        <v>8</v>
      </c>
      <c r="C36" s="9">
        <v>0</v>
      </c>
      <c r="D36" s="18" t="s">
        <v>95</v>
      </c>
      <c r="E36" s="9"/>
      <c r="F36" s="9">
        <f t="shared" si="8"/>
        <v>0</v>
      </c>
      <c r="H36"/>
      <c r="J36" s="31"/>
      <c r="K36" s="36"/>
      <c r="L36" s="36"/>
      <c r="M36" s="36"/>
      <c r="N36" s="36"/>
      <c r="O36" s="36"/>
      <c r="P36" s="36"/>
    </row>
    <row r="37" spans="1:16" s="1" customFormat="1" x14ac:dyDescent="0.25">
      <c r="A37" s="16">
        <f t="shared" si="1"/>
        <v>0</v>
      </c>
      <c r="B37" s="20">
        <f t="shared" si="2"/>
        <v>7</v>
      </c>
      <c r="C37" s="9">
        <v>0</v>
      </c>
      <c r="D37" s="18" t="s">
        <v>95</v>
      </c>
      <c r="E37" s="9"/>
      <c r="F37" s="9">
        <f t="shared" si="8"/>
        <v>0</v>
      </c>
      <c r="H37"/>
      <c r="J37" s="31"/>
      <c r="K37" s="36"/>
      <c r="L37" s="36"/>
      <c r="M37" s="36"/>
      <c r="N37" s="36"/>
      <c r="O37" s="36"/>
      <c r="P37" s="36"/>
    </row>
    <row r="38" spans="1:16" s="1" customFormat="1" x14ac:dyDescent="0.25">
      <c r="A38" s="16">
        <f t="shared" si="1"/>
        <v>0</v>
      </c>
      <c r="B38" s="20">
        <f t="shared" si="2"/>
        <v>6</v>
      </c>
      <c r="C38" s="9">
        <v>0</v>
      </c>
      <c r="D38" s="18" t="s">
        <v>95</v>
      </c>
      <c r="E38" s="9"/>
      <c r="F38" s="9">
        <f t="shared" si="8"/>
        <v>0</v>
      </c>
      <c r="H38"/>
      <c r="J38" s="31"/>
      <c r="K38" s="36"/>
      <c r="L38" s="36"/>
      <c r="M38" s="36"/>
      <c r="N38" s="36"/>
      <c r="O38" s="36"/>
      <c r="P38" s="36"/>
    </row>
    <row r="39" spans="1:16" s="1" customFormat="1" x14ac:dyDescent="0.25">
      <c r="A39" s="16">
        <f t="shared" si="1"/>
        <v>0</v>
      </c>
      <c r="B39" s="20">
        <f t="shared" si="2"/>
        <v>5</v>
      </c>
      <c r="C39" s="9">
        <v>0</v>
      </c>
      <c r="D39" s="18" t="s">
        <v>95</v>
      </c>
      <c r="E39" s="9"/>
      <c r="F39" s="9">
        <f t="shared" si="8"/>
        <v>0</v>
      </c>
      <c r="H39"/>
      <c r="J39" s="31"/>
      <c r="K39" s="36"/>
      <c r="L39" s="36"/>
      <c r="M39" s="36"/>
      <c r="N39" s="36"/>
      <c r="O39" s="36"/>
      <c r="P39" s="36"/>
    </row>
    <row r="40" spans="1:16" s="1" customFormat="1" x14ac:dyDescent="0.25">
      <c r="A40" s="16">
        <f t="shared" si="1"/>
        <v>0</v>
      </c>
      <c r="B40" s="20">
        <f>B39-1</f>
        <v>4</v>
      </c>
      <c r="C40" s="9">
        <v>0</v>
      </c>
      <c r="D40" s="18" t="s">
        <v>95</v>
      </c>
      <c r="E40" s="9"/>
      <c r="F40" s="9">
        <f t="shared" si="8"/>
        <v>0</v>
      </c>
      <c r="H40"/>
      <c r="J40" s="31"/>
      <c r="K40" s="36"/>
      <c r="L40" s="36"/>
      <c r="M40" s="36"/>
      <c r="N40" s="36"/>
      <c r="O40" s="36"/>
      <c r="P40" s="36"/>
    </row>
    <row r="41" spans="1:16" s="1" customFormat="1" x14ac:dyDescent="0.25">
      <c r="A41" s="16">
        <f t="shared" si="1"/>
        <v>0</v>
      </c>
      <c r="B41" s="20">
        <f t="shared" si="2"/>
        <v>3</v>
      </c>
      <c r="C41" s="9">
        <v>0</v>
      </c>
      <c r="D41" s="18" t="s">
        <v>95</v>
      </c>
      <c r="E41" s="9"/>
      <c r="F41" s="9">
        <f t="shared" si="8"/>
        <v>0</v>
      </c>
      <c r="H41"/>
      <c r="J41" s="31"/>
      <c r="K41" s="36"/>
      <c r="L41" s="36"/>
      <c r="M41" s="36"/>
      <c r="N41" s="36"/>
      <c r="O41" s="36"/>
      <c r="P41" s="36"/>
    </row>
    <row r="42" spans="1:16" s="1" customFormat="1" x14ac:dyDescent="0.25">
      <c r="A42" s="16">
        <f t="shared" si="1"/>
        <v>0</v>
      </c>
      <c r="B42" s="20">
        <f t="shared" si="2"/>
        <v>2</v>
      </c>
      <c r="C42" s="9">
        <v>0</v>
      </c>
      <c r="D42" s="18" t="s">
        <v>95</v>
      </c>
      <c r="E42" s="9"/>
      <c r="F42" s="9">
        <f t="shared" si="8"/>
        <v>0</v>
      </c>
      <c r="H42"/>
      <c r="J42" s="31"/>
      <c r="K42" s="36"/>
      <c r="L42" s="36"/>
      <c r="M42" s="36"/>
      <c r="N42" s="36"/>
      <c r="O42" s="36"/>
      <c r="P42" s="36"/>
    </row>
    <row r="43" spans="1:16" s="1" customFormat="1" x14ac:dyDescent="0.25">
      <c r="A43" s="16">
        <f t="shared" si="1"/>
        <v>0</v>
      </c>
      <c r="B43" s="20">
        <f t="shared" si="2"/>
        <v>1</v>
      </c>
      <c r="C43" s="9">
        <v>0</v>
      </c>
      <c r="D43" s="18" t="s">
        <v>95</v>
      </c>
      <c r="E43" s="9"/>
      <c r="F43" s="9"/>
      <c r="H43"/>
      <c r="J43" s="31"/>
      <c r="K43" s="36"/>
      <c r="L43" s="36"/>
      <c r="M43" s="36"/>
      <c r="N43" s="36"/>
      <c r="O43" s="36"/>
      <c r="P43" s="36"/>
    </row>
    <row r="44" spans="1:16" s="1" customFormat="1" x14ac:dyDescent="0.25">
      <c r="A44" s="16"/>
      <c r="B44" s="32"/>
      <c r="C44" s="24">
        <f>SUM(C4:C43)-1</f>
        <v>14</v>
      </c>
      <c r="D44" s="23" t="s">
        <v>68</v>
      </c>
      <c r="E44" s="32"/>
      <c r="F44" s="27">
        <f>SUM(F4:F20)</f>
        <v>5.4949999999999974</v>
      </c>
      <c r="G44" s="1" t="s">
        <v>94</v>
      </c>
      <c r="H44"/>
      <c r="J44" s="31" t="e">
        <f>VLOOKUP($D$4,Properties!$A$10:$N$14,14,FALSE)*$C$44*($F$44-Properties!$M$17)*30*100+0.72</f>
        <v>#N/A</v>
      </c>
      <c r="K44" s="36"/>
      <c r="L44" s="36"/>
      <c r="M44" s="36"/>
      <c r="N44" s="36"/>
      <c r="O44" s="36"/>
      <c r="P44" s="36"/>
    </row>
    <row r="45" spans="1:16" x14ac:dyDescent="0.25">
      <c r="H45"/>
    </row>
    <row r="46" spans="1:16" s="1" customFormat="1" x14ac:dyDescent="0.25">
      <c r="A46" s="16"/>
      <c r="B46" s="32"/>
      <c r="C46" s="25">
        <v>0</v>
      </c>
      <c r="D46" s="25">
        <v>1</v>
      </c>
      <c r="E46" s="25">
        <v>2</v>
      </c>
      <c r="F46" s="25">
        <v>3</v>
      </c>
      <c r="H46"/>
    </row>
    <row r="47" spans="1:16" x14ac:dyDescent="0.25">
      <c r="H47"/>
    </row>
    <row r="48" spans="1:16" x14ac:dyDescent="0.25">
      <c r="H48"/>
    </row>
    <row r="50" spans="4:6" s="1" customFormat="1" x14ac:dyDescent="0.25">
      <c r="D50" s="7" t="s">
        <v>35</v>
      </c>
      <c r="E50" s="7" t="s">
        <v>37</v>
      </c>
      <c r="F50" s="32"/>
    </row>
    <row r="51" spans="4:6" s="1" customFormat="1" ht="14.25" x14ac:dyDescent="0.2">
      <c r="D51" s="8"/>
      <c r="E51" s="8" t="s">
        <v>23</v>
      </c>
      <c r="F51" s="32"/>
    </row>
    <row r="52" spans="4:6" s="1" customFormat="1" ht="14.25" x14ac:dyDescent="0.2">
      <c r="D52" s="9" t="str">
        <f>Properties!A10</f>
        <v>T300/N5208</v>
      </c>
      <c r="E52" s="9">
        <f>Properties!M10</f>
        <v>0.125</v>
      </c>
      <c r="F52" s="32"/>
    </row>
    <row r="53" spans="4:6" s="1" customFormat="1" ht="14.25" x14ac:dyDescent="0.2">
      <c r="D53" s="9" t="str">
        <f>Properties!A11</f>
        <v>AS/H3501</v>
      </c>
      <c r="E53" s="9">
        <f>Properties!M11</f>
        <v>0.125</v>
      </c>
      <c r="F53" s="32"/>
    </row>
    <row r="54" spans="4:6" s="1" customFormat="1" ht="14.25" x14ac:dyDescent="0.2">
      <c r="D54" s="9" t="str">
        <f>Properties!A12</f>
        <v>E-glass/Epoxy</v>
      </c>
      <c r="E54" s="9">
        <f>Properties!M12</f>
        <v>0.125</v>
      </c>
      <c r="F54" s="32"/>
    </row>
    <row r="55" spans="4:6" s="1" customFormat="1" ht="14.25" x14ac:dyDescent="0.2">
      <c r="D55" s="9" t="str">
        <f>Properties!A13</f>
        <v>Kev49/Epoxy</v>
      </c>
      <c r="E55" s="9">
        <f>Properties!M13</f>
        <v>0.125</v>
      </c>
      <c r="F55" s="32"/>
    </row>
    <row r="56" spans="4:6" s="1" customFormat="1" ht="14.25" x14ac:dyDescent="0.2">
      <c r="D56" s="9" t="str">
        <f>Properties!A14</f>
        <v>AS4/PEEK</v>
      </c>
      <c r="E56" s="9">
        <f>Properties!M14</f>
        <v>0.125</v>
      </c>
      <c r="F56" s="32"/>
    </row>
    <row r="57" spans="4:6" s="1" customFormat="1" ht="14.25" x14ac:dyDescent="0.2">
      <c r="D57" s="9" t="str">
        <f>Properties!A17</f>
        <v>CORE</v>
      </c>
      <c r="E57" s="9">
        <f>Properties!M17</f>
        <v>3.1749999999999998</v>
      </c>
      <c r="F57" s="15" t="s">
        <v>39</v>
      </c>
    </row>
    <row r="58" spans="4:6" s="1" customFormat="1" ht="14.25" x14ac:dyDescent="0.2">
      <c r="D58" s="9" t="s">
        <v>48</v>
      </c>
      <c r="E58" s="9"/>
      <c r="F58" s="32"/>
    </row>
    <row r="59" spans="4:6" x14ac:dyDescent="0.25">
      <c r="D59" s="9" t="str">
        <f>Properties!A15</f>
        <v>SE84LV</v>
      </c>
      <c r="E59" s="9">
        <f>Properties!M15</f>
        <v>0.28999999999999998</v>
      </c>
    </row>
    <row r="60" spans="4:6" x14ac:dyDescent="0.25">
      <c r="D60" s="9" t="str">
        <f>Properties!A16</f>
        <v>BIAX-SE84LV</v>
      </c>
      <c r="E60" s="9">
        <f>Properties!M16</f>
        <v>0.14499999999999999</v>
      </c>
    </row>
  </sheetData>
  <mergeCells count="3">
    <mergeCell ref="K2:M2"/>
    <mergeCell ref="N2:P2"/>
    <mergeCell ref="S3:U3"/>
  </mergeCells>
  <conditionalFormatting sqref="K4:P44">
    <cfRule type="cellIs" dxfId="2" priority="2" operator="lessThan">
      <formula>2</formula>
    </cfRule>
  </conditionalFormatting>
  <dataValidations count="1">
    <dataValidation type="list" allowBlank="1" showInputMessage="1" showErrorMessage="1" sqref="D4:D43">
      <formula1>$D$52:$D$60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workbookViewId="0">
      <selection activeCell="M16" sqref="M16"/>
    </sheetView>
  </sheetViews>
  <sheetFormatPr defaultRowHeight="15" x14ac:dyDescent="0.25"/>
  <cols>
    <col min="1" max="1" width="18" style="1" customWidth="1"/>
    <col min="2" max="2" width="24.7109375" style="1" customWidth="1"/>
    <col min="3" max="3" width="12" style="1" customWidth="1"/>
    <col min="4" max="13" width="9.140625" style="1"/>
    <col min="14" max="14" width="11.140625" style="1" customWidth="1"/>
    <col min="15" max="19" width="9.140625" style="1"/>
  </cols>
  <sheetData>
    <row r="1" spans="1:19" x14ac:dyDescent="0.25">
      <c r="A1" s="1" t="s">
        <v>0</v>
      </c>
    </row>
    <row r="2" spans="1:19" x14ac:dyDescent="0.25">
      <c r="A2" s="1" t="s">
        <v>1</v>
      </c>
    </row>
    <row r="4" spans="1:19" ht="23.25" x14ac:dyDescent="0.35">
      <c r="A4" s="3" t="s">
        <v>2</v>
      </c>
      <c r="F4"/>
      <c r="G4"/>
      <c r="H4"/>
      <c r="I4"/>
      <c r="J4"/>
    </row>
    <row r="6" spans="1:19" s="6" customFormat="1" x14ac:dyDescent="0.25">
      <c r="A6" s="5">
        <v>0</v>
      </c>
      <c r="B6" s="5">
        <f>A6+1</f>
        <v>1</v>
      </c>
      <c r="C6" s="5">
        <f t="shared" ref="C6:M6" si="0">B6+1</f>
        <v>2</v>
      </c>
      <c r="D6" s="5">
        <f t="shared" si="0"/>
        <v>3</v>
      </c>
      <c r="E6" s="5">
        <f t="shared" si="0"/>
        <v>4</v>
      </c>
      <c r="F6" s="5">
        <f t="shared" si="0"/>
        <v>5</v>
      </c>
      <c r="G6" s="5">
        <f t="shared" si="0"/>
        <v>6</v>
      </c>
      <c r="H6" s="5">
        <f t="shared" si="0"/>
        <v>7</v>
      </c>
      <c r="I6" s="5">
        <f t="shared" si="0"/>
        <v>8</v>
      </c>
      <c r="J6" s="5">
        <f t="shared" si="0"/>
        <v>9</v>
      </c>
      <c r="K6" s="5">
        <f t="shared" si="0"/>
        <v>10</v>
      </c>
      <c r="L6" s="5">
        <f t="shared" si="0"/>
        <v>11</v>
      </c>
      <c r="M6" s="5">
        <f t="shared" si="0"/>
        <v>12</v>
      </c>
      <c r="N6" s="5"/>
      <c r="O6" s="5"/>
      <c r="P6" s="5"/>
      <c r="Q6" s="5"/>
      <c r="R6" s="5"/>
      <c r="S6" s="5"/>
    </row>
    <row r="7" spans="1:19" s="6" customFormat="1" x14ac:dyDescent="0.25">
      <c r="A7" s="5"/>
      <c r="B7" s="5"/>
      <c r="C7" s="5"/>
      <c r="D7" s="12" t="s">
        <v>33</v>
      </c>
      <c r="E7" s="13"/>
      <c r="F7" s="13"/>
      <c r="G7" s="14"/>
      <c r="H7" s="12" t="s">
        <v>34</v>
      </c>
      <c r="I7" s="13"/>
      <c r="J7" s="13"/>
      <c r="K7" s="13"/>
      <c r="L7" s="14"/>
      <c r="M7" s="5"/>
      <c r="N7" s="5"/>
      <c r="O7" s="5"/>
      <c r="P7" s="5"/>
      <c r="Q7" s="5"/>
      <c r="R7" s="5"/>
      <c r="S7" s="5"/>
    </row>
    <row r="8" spans="1:19" s="4" customFormat="1" x14ac:dyDescent="0.25">
      <c r="A8" s="7" t="s">
        <v>26</v>
      </c>
      <c r="B8" s="7" t="s">
        <v>27</v>
      </c>
      <c r="C8" s="7" t="s">
        <v>28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12</v>
      </c>
      <c r="I8" s="7" t="s">
        <v>13</v>
      </c>
      <c r="J8" s="7" t="s">
        <v>18</v>
      </c>
      <c r="K8" s="7" t="s">
        <v>19</v>
      </c>
      <c r="L8" s="7" t="s">
        <v>20</v>
      </c>
      <c r="M8" s="7" t="s">
        <v>21</v>
      </c>
      <c r="N8" s="17" t="s">
        <v>70</v>
      </c>
      <c r="O8" s="23" t="s">
        <v>74</v>
      </c>
      <c r="P8" s="2"/>
      <c r="Q8" s="2"/>
      <c r="R8" s="2"/>
      <c r="S8" s="2"/>
    </row>
    <row r="9" spans="1:19" s="4" customFormat="1" x14ac:dyDescent="0.25">
      <c r="A9" s="8"/>
      <c r="B9" s="8"/>
      <c r="C9" s="8"/>
      <c r="D9" s="8" t="s">
        <v>22</v>
      </c>
      <c r="E9" s="8" t="s">
        <v>22</v>
      </c>
      <c r="F9" s="8" t="s">
        <v>22</v>
      </c>
      <c r="G9" s="8" t="s">
        <v>24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23</v>
      </c>
      <c r="N9" s="8" t="s">
        <v>73</v>
      </c>
      <c r="O9" s="2" t="s">
        <v>72</v>
      </c>
      <c r="P9" s="2"/>
      <c r="Q9" s="2"/>
      <c r="R9" s="2"/>
      <c r="S9" s="2"/>
    </row>
    <row r="10" spans="1:19" s="4" customFormat="1" x14ac:dyDescent="0.25">
      <c r="A10" s="9" t="s">
        <v>3</v>
      </c>
      <c r="B10" s="9" t="s">
        <v>8</v>
      </c>
      <c r="C10" s="9" t="s">
        <v>29</v>
      </c>
      <c r="D10" s="10">
        <v>181</v>
      </c>
      <c r="E10" s="11">
        <v>10.3</v>
      </c>
      <c r="F10" s="11">
        <v>7.17</v>
      </c>
      <c r="G10" s="11">
        <v>0.28000000000000003</v>
      </c>
      <c r="H10" s="9">
        <v>1500</v>
      </c>
      <c r="I10" s="9">
        <v>1500</v>
      </c>
      <c r="J10" s="9">
        <v>40</v>
      </c>
      <c r="K10" s="9">
        <v>246</v>
      </c>
      <c r="L10" s="9">
        <v>68</v>
      </c>
      <c r="M10" s="19">
        <v>0.125</v>
      </c>
      <c r="N10" s="9">
        <v>1.6000000000000001E-3</v>
      </c>
      <c r="O10" s="2">
        <v>1.6</v>
      </c>
      <c r="P10"/>
      <c r="Q10"/>
      <c r="R10" s="2"/>
      <c r="S10" s="2"/>
    </row>
    <row r="11" spans="1:19" s="4" customFormat="1" x14ac:dyDescent="0.25">
      <c r="A11" s="9" t="s">
        <v>6</v>
      </c>
      <c r="B11" s="26" t="s">
        <v>8</v>
      </c>
      <c r="C11" s="26" t="s">
        <v>29</v>
      </c>
      <c r="D11" s="10">
        <v>138</v>
      </c>
      <c r="E11" s="11">
        <v>8.9600000000000009</v>
      </c>
      <c r="F11" s="11">
        <v>7.1</v>
      </c>
      <c r="G11" s="11">
        <v>0.3</v>
      </c>
      <c r="H11" s="9">
        <v>1447</v>
      </c>
      <c r="I11" s="9">
        <v>1447</v>
      </c>
      <c r="J11" s="9">
        <v>51.7</v>
      </c>
      <c r="K11" s="9">
        <v>206</v>
      </c>
      <c r="L11" s="9">
        <v>93</v>
      </c>
      <c r="M11" s="19">
        <v>0.125</v>
      </c>
      <c r="N11" s="9">
        <f>O11/(10^3)</f>
        <v>1.6000000000000001E-3</v>
      </c>
      <c r="O11" s="2">
        <v>1.6</v>
      </c>
      <c r="P11"/>
      <c r="Q11"/>
      <c r="R11" s="2"/>
      <c r="S11" s="2"/>
    </row>
    <row r="12" spans="1:19" s="4" customFormat="1" x14ac:dyDescent="0.25">
      <c r="A12" s="9" t="s">
        <v>4</v>
      </c>
      <c r="B12" s="9" t="s">
        <v>9</v>
      </c>
      <c r="C12" s="9" t="s">
        <v>30</v>
      </c>
      <c r="D12" s="10">
        <v>38.6</v>
      </c>
      <c r="E12" s="11">
        <v>8.27</v>
      </c>
      <c r="F12" s="11">
        <v>4.1399999999999997</v>
      </c>
      <c r="G12" s="11">
        <v>0.26</v>
      </c>
      <c r="H12" s="9">
        <v>1062</v>
      </c>
      <c r="I12" s="9">
        <v>610</v>
      </c>
      <c r="J12" s="9">
        <v>31</v>
      </c>
      <c r="K12" s="9">
        <v>118</v>
      </c>
      <c r="L12" s="9">
        <v>72</v>
      </c>
      <c r="M12" s="19">
        <v>0.125</v>
      </c>
      <c r="N12" s="9">
        <f t="shared" ref="N12:N14" si="1">O12/(10^3)</f>
        <v>1.8E-3</v>
      </c>
      <c r="O12" s="2">
        <v>1.8</v>
      </c>
      <c r="P12"/>
      <c r="Q12"/>
      <c r="R12" s="2"/>
      <c r="S12" s="2"/>
    </row>
    <row r="13" spans="1:19" s="4" customFormat="1" x14ac:dyDescent="0.25">
      <c r="A13" s="9" t="s">
        <v>5</v>
      </c>
      <c r="B13" s="9" t="s">
        <v>10</v>
      </c>
      <c r="C13" s="9" t="s">
        <v>31</v>
      </c>
      <c r="D13" s="10">
        <v>76</v>
      </c>
      <c r="E13" s="11">
        <v>5.5</v>
      </c>
      <c r="F13" s="11">
        <v>2.2999999999999998</v>
      </c>
      <c r="G13" s="11">
        <v>0.34</v>
      </c>
      <c r="H13" s="9">
        <v>1400</v>
      </c>
      <c r="I13" s="9">
        <v>235</v>
      </c>
      <c r="J13" s="9">
        <v>12</v>
      </c>
      <c r="K13" s="9">
        <v>53</v>
      </c>
      <c r="L13" s="9">
        <v>34</v>
      </c>
      <c r="M13" s="19">
        <v>0.125</v>
      </c>
      <c r="N13" s="9">
        <f t="shared" si="1"/>
        <v>1.4599999999999999E-3</v>
      </c>
      <c r="O13" s="2">
        <v>1.46</v>
      </c>
      <c r="P13"/>
      <c r="Q13"/>
      <c r="R13" s="2"/>
      <c r="S13" s="2"/>
    </row>
    <row r="14" spans="1:19" s="4" customFormat="1" x14ac:dyDescent="0.25">
      <c r="A14" s="9" t="s">
        <v>7</v>
      </c>
      <c r="B14" s="9" t="s">
        <v>11</v>
      </c>
      <c r="C14" s="9" t="s">
        <v>32</v>
      </c>
      <c r="D14" s="10">
        <v>134</v>
      </c>
      <c r="E14" s="11">
        <v>8.9</v>
      </c>
      <c r="F14" s="11">
        <v>5.0999999999999996</v>
      </c>
      <c r="G14" s="11">
        <v>0.28000000000000003</v>
      </c>
      <c r="H14" s="9">
        <v>2130</v>
      </c>
      <c r="I14" s="9">
        <v>1100</v>
      </c>
      <c r="J14" s="9">
        <v>80</v>
      </c>
      <c r="K14" s="9">
        <v>200</v>
      </c>
      <c r="L14" s="9">
        <v>160</v>
      </c>
      <c r="M14" s="21">
        <v>0.125</v>
      </c>
      <c r="N14" s="9">
        <f t="shared" si="1"/>
        <v>1.6000000000000001E-3</v>
      </c>
      <c r="O14" s="2">
        <v>1.6</v>
      </c>
      <c r="P14"/>
      <c r="Q14"/>
      <c r="R14" s="2"/>
      <c r="S14" s="2"/>
    </row>
    <row r="15" spans="1:19" s="4" customFormat="1" x14ac:dyDescent="0.25">
      <c r="A15" s="53" t="s">
        <v>95</v>
      </c>
      <c r="B15" s="53" t="s">
        <v>97</v>
      </c>
      <c r="C15" s="53" t="s">
        <v>29</v>
      </c>
      <c r="D15" s="53">
        <v>131</v>
      </c>
      <c r="E15" s="55">
        <v>8.1999999999999993</v>
      </c>
      <c r="F15" s="55">
        <v>4.3</v>
      </c>
      <c r="G15" s="55">
        <v>0.78</v>
      </c>
      <c r="H15" s="53">
        <v>2887</v>
      </c>
      <c r="I15" s="53">
        <v>1256</v>
      </c>
      <c r="J15" s="55">
        <v>53</v>
      </c>
      <c r="K15" s="55">
        <v>202</v>
      </c>
      <c r="L15" s="55">
        <v>77</v>
      </c>
      <c r="M15" s="21">
        <v>0.28999999999999998</v>
      </c>
      <c r="N15" s="54">
        <v>1.8400000000000001E-3</v>
      </c>
      <c r="O15" s="32">
        <v>1.84</v>
      </c>
      <c r="P15" s="23" t="s">
        <v>96</v>
      </c>
      <c r="Q15" s="32"/>
      <c r="R15" s="32"/>
      <c r="S15" s="32"/>
    </row>
    <row r="16" spans="1:19" s="4" customFormat="1" x14ac:dyDescent="0.25">
      <c r="A16" s="53" t="s">
        <v>98</v>
      </c>
      <c r="B16" s="53" t="str">
        <f>B15</f>
        <v>Low-temp-epoxy-prepreg</v>
      </c>
      <c r="C16" s="53" t="s">
        <v>29</v>
      </c>
      <c r="D16" s="53">
        <f>D15</f>
        <v>131</v>
      </c>
      <c r="E16" s="55">
        <f t="shared" ref="E16:L16" si="2">E15</f>
        <v>8.1999999999999993</v>
      </c>
      <c r="F16" s="55">
        <f t="shared" si="2"/>
        <v>4.3</v>
      </c>
      <c r="G16" s="55">
        <f t="shared" si="2"/>
        <v>0.78</v>
      </c>
      <c r="H16" s="53">
        <f t="shared" si="2"/>
        <v>2887</v>
      </c>
      <c r="I16" s="53">
        <f t="shared" si="2"/>
        <v>1256</v>
      </c>
      <c r="J16" s="55">
        <f t="shared" si="2"/>
        <v>53</v>
      </c>
      <c r="K16" s="55">
        <f t="shared" si="2"/>
        <v>202</v>
      </c>
      <c r="L16" s="55">
        <f t="shared" si="2"/>
        <v>77</v>
      </c>
      <c r="M16" s="53">
        <f>M15/2</f>
        <v>0.14499999999999999</v>
      </c>
      <c r="N16" s="56"/>
      <c r="O16" s="32"/>
      <c r="P16" s="23"/>
      <c r="Q16" s="32"/>
      <c r="R16" s="32"/>
      <c r="S16" s="32"/>
    </row>
    <row r="17" spans="1:19" s="4" customFormat="1" x14ac:dyDescent="0.25">
      <c r="A17" s="9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9">
        <f>CONVERT((1/8),"in","m")*1000</f>
        <v>3.1749999999999998</v>
      </c>
      <c r="N17" s="15" t="s">
        <v>39</v>
      </c>
      <c r="O17" s="2"/>
      <c r="P17" s="2"/>
      <c r="Q17" s="2"/>
      <c r="R17" s="2"/>
      <c r="S17" s="2"/>
    </row>
    <row r="18" spans="1:19" s="4" customFormat="1" x14ac:dyDescent="0.25">
      <c r="A18" s="2"/>
      <c r="B18" s="2"/>
      <c r="C18" s="2"/>
      <c r="D18" s="25">
        <v>4</v>
      </c>
      <c r="E18" s="25">
        <f>D18+1</f>
        <v>5</v>
      </c>
      <c r="F18" s="25">
        <f t="shared" ref="F18:L18" si="3">E18+1</f>
        <v>6</v>
      </c>
      <c r="G18" s="25">
        <f t="shared" si="3"/>
        <v>7</v>
      </c>
      <c r="H18" s="25">
        <f t="shared" si="3"/>
        <v>8</v>
      </c>
      <c r="I18" s="25">
        <f t="shared" si="3"/>
        <v>9</v>
      </c>
      <c r="J18" s="25">
        <f t="shared" si="3"/>
        <v>10</v>
      </c>
      <c r="K18" s="25">
        <f t="shared" si="3"/>
        <v>11</v>
      </c>
      <c r="L18" s="25">
        <f t="shared" si="3"/>
        <v>12</v>
      </c>
      <c r="M18" s="2"/>
      <c r="N18" s="2"/>
      <c r="O18" s="2"/>
      <c r="P18" s="23"/>
      <c r="Q18" s="2"/>
      <c r="R18" s="2"/>
      <c r="S18" s="2"/>
    </row>
    <row r="19" spans="1:19" s="4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s="4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50</v>
      </c>
      <c r="N20" s="2" t="s">
        <v>51</v>
      </c>
      <c r="O20" s="2" t="s">
        <v>52</v>
      </c>
      <c r="P20" s="2" t="s">
        <v>53</v>
      </c>
      <c r="Q20" s="2" t="s">
        <v>54</v>
      </c>
      <c r="R20" s="2" t="s">
        <v>55</v>
      </c>
      <c r="S20" s="2"/>
    </row>
    <row r="21" spans="1:19" s="4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5">
        <v>13</v>
      </c>
      <c r="N21" s="25">
        <f>M21+1</f>
        <v>14</v>
      </c>
      <c r="O21" s="25">
        <f t="shared" ref="O21:R21" si="4">N21+1</f>
        <v>15</v>
      </c>
      <c r="P21" s="25">
        <f t="shared" si="4"/>
        <v>16</v>
      </c>
      <c r="Q21" s="25">
        <f t="shared" si="4"/>
        <v>17</v>
      </c>
      <c r="R21" s="25">
        <f t="shared" si="4"/>
        <v>18</v>
      </c>
      <c r="S21" s="2"/>
    </row>
    <row r="22" spans="1:19" s="4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s="4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s="4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opLeftCell="A7" zoomScaleNormal="100" workbookViewId="0">
      <selection activeCell="D14" sqref="D14"/>
    </sheetView>
  </sheetViews>
  <sheetFormatPr defaultRowHeight="15" x14ac:dyDescent="0.25"/>
  <cols>
    <col min="1" max="1" width="15.7109375" style="16" customWidth="1"/>
    <col min="2" max="2" width="8" style="2" customWidth="1"/>
    <col min="3" max="3" width="9.140625" style="2"/>
    <col min="4" max="4" width="15.28515625" style="2" customWidth="1"/>
    <col min="5" max="5" width="17.42578125" style="2" customWidth="1"/>
    <col min="6" max="6" width="20" style="2" customWidth="1"/>
    <col min="7" max="7" width="9.140625" style="1"/>
    <col min="8" max="8" width="23.28515625" style="1" customWidth="1"/>
    <col min="9" max="9" width="12.28515625" style="1" customWidth="1"/>
    <col min="10" max="10" width="10.85546875" style="1" bestFit="1" customWidth="1"/>
    <col min="11" max="11" width="12.42578125" style="1" customWidth="1"/>
    <col min="12" max="12" width="12.140625" style="1" customWidth="1"/>
    <col min="13" max="13" width="12" style="1" customWidth="1"/>
    <col min="14" max="14" width="11.140625" style="1" customWidth="1"/>
    <col min="15" max="15" width="10" style="1" customWidth="1"/>
    <col min="16" max="16" width="10.140625" style="1" customWidth="1"/>
    <col min="17" max="17" width="9.140625" style="1"/>
    <col min="18" max="18" width="11.85546875" customWidth="1"/>
    <col min="19" max="19" width="16.140625" customWidth="1"/>
    <col min="20" max="20" width="13.140625" customWidth="1"/>
    <col min="21" max="21" width="13.28515625" customWidth="1"/>
    <col min="22" max="22" width="11.42578125" customWidth="1"/>
  </cols>
  <sheetData>
    <row r="1" spans="1:23" s="1" customFormat="1" ht="14.25" x14ac:dyDescent="0.2">
      <c r="A1" s="28" t="s">
        <v>57</v>
      </c>
      <c r="B1" s="2"/>
      <c r="C1" s="15" t="s">
        <v>47</v>
      </c>
      <c r="D1" s="2"/>
      <c r="E1" s="2"/>
      <c r="F1" s="2"/>
    </row>
    <row r="2" spans="1:23" s="1" customFormat="1" x14ac:dyDescent="0.25">
      <c r="A2" s="16"/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  <c r="K2" s="57" t="s">
        <v>66</v>
      </c>
      <c r="L2" s="57"/>
      <c r="M2" s="57"/>
      <c r="N2" s="57" t="s">
        <v>67</v>
      </c>
      <c r="O2" s="57"/>
      <c r="P2" s="57"/>
    </row>
    <row r="3" spans="1:23" s="1" customFormat="1" ht="14.25" x14ac:dyDescent="0.2">
      <c r="A3" s="16"/>
      <c r="B3" s="8"/>
      <c r="C3" s="22"/>
      <c r="D3" s="22"/>
      <c r="E3" s="22" t="s">
        <v>40</v>
      </c>
      <c r="F3" s="22" t="s">
        <v>23</v>
      </c>
      <c r="H3" s="2" t="s">
        <v>62</v>
      </c>
      <c r="I3" s="32" t="s">
        <v>35</v>
      </c>
      <c r="J3" s="2" t="s">
        <v>69</v>
      </c>
      <c r="K3" s="2" t="s">
        <v>63</v>
      </c>
      <c r="L3" s="2" t="s">
        <v>64</v>
      </c>
      <c r="M3" s="2" t="s">
        <v>65</v>
      </c>
      <c r="N3" s="2" t="s">
        <v>63</v>
      </c>
      <c r="O3" s="2" t="s">
        <v>64</v>
      </c>
      <c r="P3" s="2" t="s">
        <v>65</v>
      </c>
      <c r="R3" s="32"/>
      <c r="S3" s="58" t="s">
        <v>87</v>
      </c>
      <c r="T3" s="58"/>
      <c r="U3" s="58"/>
      <c r="V3" s="49"/>
    </row>
    <row r="4" spans="1:23" s="1" customFormat="1" ht="14.25" x14ac:dyDescent="0.2">
      <c r="A4" s="34" t="s">
        <v>76</v>
      </c>
      <c r="B4" s="20">
        <v>25</v>
      </c>
      <c r="C4" s="9">
        <v>1</v>
      </c>
      <c r="D4" s="18" t="s">
        <v>3</v>
      </c>
      <c r="E4" s="9">
        <v>0</v>
      </c>
      <c r="F4" s="9">
        <f t="shared" ref="F4:F27" si="0">IF(C4=0,0,VLOOKUP(D4,$D$37:$E$43,2,FALSE))</f>
        <v>0.125</v>
      </c>
      <c r="G4" s="1">
        <v>1</v>
      </c>
      <c r="H4" s="2" t="s">
        <v>71</v>
      </c>
      <c r="I4" s="32" t="s">
        <v>6</v>
      </c>
      <c r="J4" s="33">
        <v>154.32</v>
      </c>
      <c r="K4" s="35">
        <v>2.1110000000000002</v>
      </c>
      <c r="L4" s="35">
        <v>2.0640000000000001</v>
      </c>
      <c r="M4" s="35">
        <v>2.1110000000000002</v>
      </c>
      <c r="N4" s="35">
        <v>2.1440000000000001</v>
      </c>
      <c r="O4" s="35">
        <v>2.069</v>
      </c>
      <c r="P4" s="35">
        <v>2.1440000000000001</v>
      </c>
      <c r="R4" s="9" t="s">
        <v>88</v>
      </c>
      <c r="S4" s="45" t="s">
        <v>86</v>
      </c>
      <c r="T4" s="38" t="s">
        <v>89</v>
      </c>
      <c r="U4" s="46" t="s">
        <v>65</v>
      </c>
      <c r="V4" s="50"/>
    </row>
    <row r="5" spans="1:23" s="1" customFormat="1" ht="14.25" x14ac:dyDescent="0.2">
      <c r="A5" s="16">
        <f t="shared" ref="A5:A17" si="1">A6+1</f>
        <v>16</v>
      </c>
      <c r="B5" s="20">
        <f t="shared" ref="B5:B28" si="2">B4-1</f>
        <v>24</v>
      </c>
      <c r="C5" s="9">
        <v>1</v>
      </c>
      <c r="D5" s="18" t="str">
        <f>$D$4</f>
        <v>T300/N5208</v>
      </c>
      <c r="E5" s="9">
        <v>10</v>
      </c>
      <c r="F5" s="9">
        <f t="shared" si="0"/>
        <v>0.125</v>
      </c>
      <c r="G5" s="1">
        <v>2</v>
      </c>
      <c r="H5" s="2" t="s">
        <v>75</v>
      </c>
      <c r="I5" s="32" t="s">
        <v>6</v>
      </c>
      <c r="J5" s="33">
        <v>154.32</v>
      </c>
      <c r="K5" s="35">
        <v>2.169</v>
      </c>
      <c r="L5" s="35">
        <v>2.0089999999999999</v>
      </c>
      <c r="M5" s="35">
        <v>2.1520000000000001</v>
      </c>
      <c r="N5" s="35">
        <v>2.2170000000000001</v>
      </c>
      <c r="O5" s="35">
        <v>2.0019999999999998</v>
      </c>
      <c r="P5" s="35">
        <v>2.1539999999999999</v>
      </c>
      <c r="R5" s="47">
        <v>1</v>
      </c>
      <c r="S5" s="39">
        <v>2.2040000000000002</v>
      </c>
      <c r="T5" s="40">
        <v>2.1619999999999999</v>
      </c>
      <c r="U5" s="41">
        <v>2.2040000000000002</v>
      </c>
      <c r="V5" s="50"/>
    </row>
    <row r="6" spans="1:23" s="1" customFormat="1" ht="14.25" x14ac:dyDescent="0.2">
      <c r="A6" s="16">
        <f t="shared" si="1"/>
        <v>15</v>
      </c>
      <c r="B6" s="20">
        <f t="shared" si="2"/>
        <v>23</v>
      </c>
      <c r="C6" s="9">
        <v>1</v>
      </c>
      <c r="D6" s="18" t="str">
        <f t="shared" ref="D6:D20" si="3">$D$4</f>
        <v>T300/N5208</v>
      </c>
      <c r="E6" s="9">
        <v>17</v>
      </c>
      <c r="F6" s="9">
        <f t="shared" si="0"/>
        <v>0.125</v>
      </c>
      <c r="G6" s="1">
        <v>3</v>
      </c>
      <c r="H6" s="2" t="s">
        <v>77</v>
      </c>
      <c r="I6" s="32" t="s">
        <v>6</v>
      </c>
      <c r="J6" s="33">
        <v>154.32</v>
      </c>
      <c r="K6" s="35">
        <v>2.1360000000000001</v>
      </c>
      <c r="L6" s="35">
        <v>1.86</v>
      </c>
      <c r="M6" s="35">
        <v>1.9</v>
      </c>
      <c r="N6" s="35">
        <v>2.0720000000000001</v>
      </c>
      <c r="O6" s="35">
        <v>1.835</v>
      </c>
      <c r="P6" s="35">
        <v>1.87</v>
      </c>
      <c r="R6" s="48">
        <v>2</v>
      </c>
      <c r="S6" s="42">
        <v>2.2599999999999998</v>
      </c>
      <c r="T6" s="43">
        <v>2.1880000000000002</v>
      </c>
      <c r="U6" s="44">
        <v>2.2599999999999998</v>
      </c>
      <c r="V6" s="50"/>
    </row>
    <row r="7" spans="1:23" s="1" customFormat="1" ht="14.25" x14ac:dyDescent="0.2">
      <c r="A7" s="16">
        <f t="shared" si="1"/>
        <v>14</v>
      </c>
      <c r="B7" s="20">
        <f t="shared" si="2"/>
        <v>22</v>
      </c>
      <c r="C7" s="9">
        <v>1</v>
      </c>
      <c r="D7" s="18" t="str">
        <f t="shared" si="3"/>
        <v>T300/N5208</v>
      </c>
      <c r="E7" s="9">
        <v>-17</v>
      </c>
      <c r="F7" s="9">
        <f t="shared" si="0"/>
        <v>0.125</v>
      </c>
      <c r="G7" s="1">
        <v>4</v>
      </c>
      <c r="H7" s="2" t="s">
        <v>78</v>
      </c>
      <c r="I7" s="32" t="s">
        <v>6</v>
      </c>
      <c r="J7" s="33">
        <v>154.32</v>
      </c>
      <c r="K7" s="35">
        <v>2.202</v>
      </c>
      <c r="L7" s="35">
        <v>2.0310000000000001</v>
      </c>
      <c r="M7" s="35">
        <v>2.202</v>
      </c>
      <c r="N7" s="35">
        <v>2.2559999999999998</v>
      </c>
      <c r="O7" s="35">
        <v>2.0329999999999999</v>
      </c>
      <c r="P7" s="35">
        <v>2.2450000000000001</v>
      </c>
      <c r="R7" s="51"/>
      <c r="S7" s="51"/>
      <c r="T7" s="51"/>
      <c r="U7" s="51"/>
    </row>
    <row r="8" spans="1:23" s="1" customFormat="1" ht="14.25" x14ac:dyDescent="0.2">
      <c r="A8" s="16">
        <f t="shared" si="1"/>
        <v>13</v>
      </c>
      <c r="B8" s="20">
        <f t="shared" si="2"/>
        <v>21</v>
      </c>
      <c r="C8" s="9">
        <v>1</v>
      </c>
      <c r="D8" s="18" t="str">
        <f t="shared" si="3"/>
        <v>T300/N5208</v>
      </c>
      <c r="E8" s="9">
        <v>37</v>
      </c>
      <c r="F8" s="9">
        <f t="shared" si="0"/>
        <v>0.125</v>
      </c>
      <c r="G8" s="1">
        <v>5</v>
      </c>
      <c r="H8" s="2" t="s">
        <v>79</v>
      </c>
      <c r="I8" s="32" t="s">
        <v>6</v>
      </c>
      <c r="J8" s="33">
        <v>154.32</v>
      </c>
      <c r="K8" s="35">
        <v>2.262</v>
      </c>
      <c r="L8" s="35">
        <v>1.9570000000000001</v>
      </c>
      <c r="M8" s="35">
        <v>2.2120000000000002</v>
      </c>
      <c r="N8" s="35">
        <v>2.3170000000000002</v>
      </c>
      <c r="O8" s="35">
        <v>1.9419999999999999</v>
      </c>
      <c r="P8" s="35">
        <v>2.1739999999999999</v>
      </c>
      <c r="R8" s="32" t="s">
        <v>90</v>
      </c>
      <c r="S8" s="32" t="s">
        <v>91</v>
      </c>
      <c r="T8" s="32" t="s">
        <v>35</v>
      </c>
      <c r="U8" s="32" t="s">
        <v>92</v>
      </c>
      <c r="V8" s="32" t="s">
        <v>37</v>
      </c>
    </row>
    <row r="9" spans="1:23" s="1" customFormat="1" ht="14.25" x14ac:dyDescent="0.2">
      <c r="A9" s="16">
        <f t="shared" si="1"/>
        <v>12</v>
      </c>
      <c r="B9" s="20">
        <f t="shared" si="2"/>
        <v>20</v>
      </c>
      <c r="C9" s="9">
        <v>1</v>
      </c>
      <c r="D9" s="18" t="str">
        <f t="shared" si="3"/>
        <v>T300/N5208</v>
      </c>
      <c r="E9" s="9">
        <v>-37</v>
      </c>
      <c r="F9" s="9">
        <f t="shared" si="0"/>
        <v>0.125</v>
      </c>
      <c r="G9" s="1">
        <v>6</v>
      </c>
      <c r="H9" s="2" t="s">
        <v>80</v>
      </c>
      <c r="I9" s="32" t="s">
        <v>6</v>
      </c>
      <c r="J9" s="33">
        <v>154.32</v>
      </c>
      <c r="K9" s="35">
        <v>2.1760000000000002</v>
      </c>
      <c r="L9" s="35">
        <v>2.0419999999999998</v>
      </c>
      <c r="M9" s="35">
        <v>2.1760000000000002</v>
      </c>
      <c r="N9" s="35">
        <v>2.2290000000000001</v>
      </c>
      <c r="O9" s="35">
        <v>2.0489999999999999</v>
      </c>
      <c r="P9" s="35">
        <v>2.2290000000000001</v>
      </c>
      <c r="R9" s="32">
        <v>17</v>
      </c>
      <c r="S9" s="32">
        <v>1</v>
      </c>
      <c r="T9" s="32" t="e">
        <f>#REF!</f>
        <v>#REF!</v>
      </c>
      <c r="U9" s="32" t="e">
        <f>#REF!</f>
        <v>#REF!</v>
      </c>
      <c r="V9" s="32" t="e">
        <f>#REF!</f>
        <v>#REF!</v>
      </c>
      <c r="W9" s="49"/>
    </row>
    <row r="10" spans="1:23" s="1" customFormat="1" ht="14.25" x14ac:dyDescent="0.2">
      <c r="A10" s="16">
        <f t="shared" si="1"/>
        <v>11</v>
      </c>
      <c r="B10" s="20">
        <f t="shared" si="2"/>
        <v>19</v>
      </c>
      <c r="C10" s="9">
        <v>1</v>
      </c>
      <c r="D10" s="18" t="str">
        <f t="shared" si="3"/>
        <v>T300/N5208</v>
      </c>
      <c r="E10" s="9">
        <v>35</v>
      </c>
      <c r="F10" s="9">
        <f t="shared" si="0"/>
        <v>0.125</v>
      </c>
      <c r="G10" s="1">
        <v>7</v>
      </c>
      <c r="H10" s="2" t="s">
        <v>81</v>
      </c>
      <c r="I10" s="32" t="s">
        <v>6</v>
      </c>
      <c r="J10" s="33">
        <v>154.32</v>
      </c>
      <c r="K10" s="35">
        <v>2.0870000000000002</v>
      </c>
      <c r="L10" s="35">
        <v>2.073</v>
      </c>
      <c r="M10" s="35">
        <v>2.0870000000000002</v>
      </c>
      <c r="N10" s="35">
        <v>2.1419999999999999</v>
      </c>
      <c r="O10" s="35">
        <v>2.109</v>
      </c>
      <c r="P10" s="35">
        <v>2.1419999999999999</v>
      </c>
      <c r="R10" s="32" t="e">
        <f>#REF!</f>
        <v>#REF!</v>
      </c>
      <c r="S10" s="32">
        <f>S9</f>
        <v>1</v>
      </c>
      <c r="T10" s="32" t="e">
        <f t="shared" ref="T10:V25" si="4">#REF!</f>
        <v>#REF!</v>
      </c>
      <c r="U10" s="32" t="e">
        <f t="shared" si="4"/>
        <v>#REF!</v>
      </c>
      <c r="V10" s="32" t="e">
        <f t="shared" si="4"/>
        <v>#REF!</v>
      </c>
      <c r="W10" s="49"/>
    </row>
    <row r="11" spans="1:23" s="1" customFormat="1" ht="14.25" x14ac:dyDescent="0.2">
      <c r="A11" s="16">
        <f t="shared" si="1"/>
        <v>10</v>
      </c>
      <c r="B11" s="20">
        <f t="shared" si="2"/>
        <v>18</v>
      </c>
      <c r="C11" s="9">
        <v>1</v>
      </c>
      <c r="D11" s="18" t="str">
        <f t="shared" si="3"/>
        <v>T300/N5208</v>
      </c>
      <c r="E11" s="9">
        <v>13</v>
      </c>
      <c r="F11" s="9">
        <f t="shared" si="0"/>
        <v>0.125</v>
      </c>
      <c r="G11" s="1">
        <v>8</v>
      </c>
      <c r="H11" s="2" t="s">
        <v>82</v>
      </c>
      <c r="I11" s="32" t="s">
        <v>3</v>
      </c>
      <c r="J11" s="33">
        <v>154.32</v>
      </c>
      <c r="K11" s="35">
        <v>2.2559999999999998</v>
      </c>
      <c r="L11" s="37">
        <v>2.0950000000000002</v>
      </c>
      <c r="M11" s="35">
        <v>2.2559999999999998</v>
      </c>
      <c r="N11" s="35">
        <v>2.3140000000000001</v>
      </c>
      <c r="O11" s="37">
        <v>2.105</v>
      </c>
      <c r="P11" s="35">
        <v>2.3140000000000001</v>
      </c>
      <c r="R11" s="32" t="e">
        <f t="shared" ref="R11:R23" si="5">#REF!</f>
        <v>#REF!</v>
      </c>
      <c r="S11" s="32">
        <f t="shared" ref="S11:S25" si="6">S10</f>
        <v>1</v>
      </c>
      <c r="T11" s="32" t="e">
        <f t="shared" si="4"/>
        <v>#REF!</v>
      </c>
      <c r="U11" s="32" t="e">
        <f t="shared" si="4"/>
        <v>#REF!</v>
      </c>
      <c r="V11" s="32" t="e">
        <f t="shared" si="4"/>
        <v>#REF!</v>
      </c>
      <c r="W11" s="49"/>
    </row>
    <row r="12" spans="1:23" s="1" customFormat="1" ht="14.25" x14ac:dyDescent="0.2">
      <c r="A12" s="16">
        <f t="shared" si="1"/>
        <v>9</v>
      </c>
      <c r="B12" s="20">
        <f t="shared" si="2"/>
        <v>17</v>
      </c>
      <c r="C12" s="9">
        <v>1</v>
      </c>
      <c r="D12" s="18" t="s">
        <v>38</v>
      </c>
      <c r="E12" s="9">
        <v>0</v>
      </c>
      <c r="F12" s="9">
        <f t="shared" si="0"/>
        <v>3.1749999999999998</v>
      </c>
      <c r="G12" s="1">
        <v>9</v>
      </c>
      <c r="H12" s="2" t="s">
        <v>83</v>
      </c>
      <c r="I12" s="32" t="s">
        <v>3</v>
      </c>
      <c r="J12" s="33">
        <v>154.32</v>
      </c>
      <c r="K12" s="35">
        <v>2.242</v>
      </c>
      <c r="L12" s="37">
        <v>2.1040000000000001</v>
      </c>
      <c r="M12" s="35">
        <v>2.242</v>
      </c>
      <c r="N12" s="35">
        <v>2.3010000000000002</v>
      </c>
      <c r="O12" s="37">
        <v>2.121</v>
      </c>
      <c r="P12" s="35">
        <v>2.3010000000000002</v>
      </c>
      <c r="R12" s="32" t="e">
        <f t="shared" si="5"/>
        <v>#REF!</v>
      </c>
      <c r="S12" s="32">
        <f t="shared" si="6"/>
        <v>1</v>
      </c>
      <c r="T12" s="32" t="e">
        <f t="shared" si="4"/>
        <v>#REF!</v>
      </c>
      <c r="U12" s="32" t="e">
        <f t="shared" si="4"/>
        <v>#REF!</v>
      </c>
      <c r="V12" s="32" t="e">
        <f t="shared" si="4"/>
        <v>#REF!</v>
      </c>
      <c r="W12" s="49"/>
    </row>
    <row r="13" spans="1:23" s="1" customFormat="1" ht="14.25" x14ac:dyDescent="0.2">
      <c r="A13" s="16">
        <f t="shared" si="1"/>
        <v>8</v>
      </c>
      <c r="B13" s="20">
        <f t="shared" si="2"/>
        <v>16</v>
      </c>
      <c r="C13" s="9">
        <v>1</v>
      </c>
      <c r="D13" s="18" t="str">
        <f t="shared" si="3"/>
        <v>T300/N5208</v>
      </c>
      <c r="E13" s="9">
        <f>E11</f>
        <v>13</v>
      </c>
      <c r="F13" s="9">
        <f t="shared" si="0"/>
        <v>0.125</v>
      </c>
      <c r="G13" s="1">
        <v>10</v>
      </c>
      <c r="H13" s="2" t="s">
        <v>84</v>
      </c>
      <c r="I13" s="32" t="s">
        <v>3</v>
      </c>
      <c r="J13" s="33">
        <v>154.32</v>
      </c>
      <c r="K13" s="35">
        <v>2.254</v>
      </c>
      <c r="L13" s="37">
        <v>2.121</v>
      </c>
      <c r="M13" s="35">
        <v>2.254</v>
      </c>
      <c r="N13" s="35">
        <v>2.3130000000000002</v>
      </c>
      <c r="O13" s="37">
        <v>2.1389999999999998</v>
      </c>
      <c r="P13" s="35">
        <v>2.3130000000000002</v>
      </c>
      <c r="R13" s="32" t="e">
        <f t="shared" si="5"/>
        <v>#REF!</v>
      </c>
      <c r="S13" s="32">
        <f t="shared" si="6"/>
        <v>1</v>
      </c>
      <c r="T13" s="32" t="e">
        <f t="shared" si="4"/>
        <v>#REF!</v>
      </c>
      <c r="U13" s="32" t="e">
        <f t="shared" si="4"/>
        <v>#REF!</v>
      </c>
      <c r="V13" s="32" t="e">
        <f t="shared" si="4"/>
        <v>#REF!</v>
      </c>
      <c r="W13" s="49"/>
    </row>
    <row r="14" spans="1:23" s="1" customFormat="1" ht="14.25" x14ac:dyDescent="0.2">
      <c r="A14" s="16">
        <f t="shared" si="1"/>
        <v>7</v>
      </c>
      <c r="B14" s="20">
        <f t="shared" si="2"/>
        <v>15</v>
      </c>
      <c r="C14" s="9">
        <v>1</v>
      </c>
      <c r="D14" s="18" t="str">
        <f t="shared" si="3"/>
        <v>T300/N5208</v>
      </c>
      <c r="E14" s="9">
        <f>E10</f>
        <v>35</v>
      </c>
      <c r="F14" s="9">
        <f t="shared" si="0"/>
        <v>0.125</v>
      </c>
      <c r="G14" s="1">
        <v>11</v>
      </c>
      <c r="H14" s="32" t="s">
        <v>84</v>
      </c>
      <c r="I14" s="32" t="s">
        <v>6</v>
      </c>
      <c r="J14" s="33">
        <v>154.32</v>
      </c>
      <c r="K14" s="35">
        <v>2.1930000000000001</v>
      </c>
      <c r="L14" s="37">
        <v>2.1179999999999999</v>
      </c>
      <c r="M14" s="35">
        <v>2.1930000000000001</v>
      </c>
      <c r="N14" s="35">
        <v>2.2490000000000001</v>
      </c>
      <c r="O14" s="37">
        <v>2.1440000000000001</v>
      </c>
      <c r="P14" s="35">
        <v>2.2490000000000001</v>
      </c>
      <c r="R14" s="32" t="e">
        <f t="shared" si="5"/>
        <v>#REF!</v>
      </c>
      <c r="S14" s="32">
        <f t="shared" si="6"/>
        <v>1</v>
      </c>
      <c r="T14" s="32" t="e">
        <f t="shared" si="4"/>
        <v>#REF!</v>
      </c>
      <c r="U14" s="32" t="e">
        <f t="shared" si="4"/>
        <v>#REF!</v>
      </c>
      <c r="V14" s="32" t="e">
        <f t="shared" si="4"/>
        <v>#REF!</v>
      </c>
      <c r="W14" s="49"/>
    </row>
    <row r="15" spans="1:23" s="1" customFormat="1" ht="14.25" x14ac:dyDescent="0.2">
      <c r="A15" s="16">
        <f t="shared" si="1"/>
        <v>6</v>
      </c>
      <c r="B15" s="20">
        <f t="shared" si="2"/>
        <v>14</v>
      </c>
      <c r="C15" s="9">
        <v>1</v>
      </c>
      <c r="D15" s="18" t="str">
        <f t="shared" si="3"/>
        <v>T300/N5208</v>
      </c>
      <c r="E15" s="9">
        <f>E9</f>
        <v>-37</v>
      </c>
      <c r="F15" s="9">
        <f t="shared" si="0"/>
        <v>0.125</v>
      </c>
      <c r="G15" s="1">
        <v>12</v>
      </c>
      <c r="H15" s="2" t="s">
        <v>85</v>
      </c>
      <c r="I15" s="32" t="s">
        <v>3</v>
      </c>
      <c r="J15" s="33">
        <v>154.32</v>
      </c>
      <c r="K15" s="37">
        <v>2.1360000000000001</v>
      </c>
      <c r="L15" s="35">
        <v>2.1480000000000001</v>
      </c>
      <c r="M15" s="35">
        <v>2.1360000000000001</v>
      </c>
      <c r="N15" s="35">
        <v>2.19</v>
      </c>
      <c r="O15" s="37">
        <v>2.1749999999999998</v>
      </c>
      <c r="P15" s="35">
        <v>2.19</v>
      </c>
      <c r="R15" s="32" t="e">
        <f t="shared" si="5"/>
        <v>#REF!</v>
      </c>
      <c r="S15" s="32">
        <f t="shared" si="6"/>
        <v>1</v>
      </c>
      <c r="T15" s="32" t="e">
        <f t="shared" si="4"/>
        <v>#REF!</v>
      </c>
      <c r="U15" s="32" t="e">
        <f t="shared" si="4"/>
        <v>#REF!</v>
      </c>
      <c r="V15" s="32" t="e">
        <f t="shared" si="4"/>
        <v>#REF!</v>
      </c>
      <c r="W15" s="49"/>
    </row>
    <row r="16" spans="1:23" s="1" customFormat="1" ht="14.25" x14ac:dyDescent="0.2">
      <c r="A16" s="16">
        <f t="shared" si="1"/>
        <v>5</v>
      </c>
      <c r="B16" s="20">
        <f t="shared" si="2"/>
        <v>13</v>
      </c>
      <c r="C16" s="9">
        <v>1</v>
      </c>
      <c r="D16" s="18" t="str">
        <f t="shared" si="3"/>
        <v>T300/N5208</v>
      </c>
      <c r="E16" s="9">
        <f>E8</f>
        <v>37</v>
      </c>
      <c r="F16" s="9">
        <f t="shared" si="0"/>
        <v>0.125</v>
      </c>
      <c r="H16" s="2"/>
      <c r="I16" s="32"/>
      <c r="J16" s="31">
        <f>VLOOKUP($D$4,Properties!$A$10:$N$14,14,FALSE)*$C$29*($F$29-Properties!$M$17)*30*100+0.72</f>
        <v>-89.519999999999982</v>
      </c>
      <c r="K16" s="35"/>
      <c r="L16" s="35"/>
      <c r="M16" s="35"/>
      <c r="N16" s="35"/>
      <c r="O16" s="35"/>
      <c r="P16" s="35"/>
      <c r="R16" s="32" t="e">
        <f t="shared" si="5"/>
        <v>#REF!</v>
      </c>
      <c r="S16" s="32">
        <f t="shared" si="6"/>
        <v>1</v>
      </c>
      <c r="T16" s="32" t="e">
        <f t="shared" si="4"/>
        <v>#REF!</v>
      </c>
      <c r="U16" s="32" t="e">
        <f t="shared" si="4"/>
        <v>#REF!</v>
      </c>
      <c r="V16" s="32" t="e">
        <f t="shared" si="4"/>
        <v>#REF!</v>
      </c>
      <c r="W16" s="49"/>
    </row>
    <row r="17" spans="1:23" s="1" customFormat="1" x14ac:dyDescent="0.25">
      <c r="A17" s="16">
        <f t="shared" si="1"/>
        <v>4</v>
      </c>
      <c r="B17" s="20">
        <f t="shared" si="2"/>
        <v>12</v>
      </c>
      <c r="C17" s="9">
        <v>1</v>
      </c>
      <c r="D17" s="18" t="str">
        <f t="shared" si="3"/>
        <v>T300/N5208</v>
      </c>
      <c r="E17" s="9">
        <f>E7</f>
        <v>-17</v>
      </c>
      <c r="F17" s="9">
        <f t="shared" si="0"/>
        <v>0.125</v>
      </c>
      <c r="H17"/>
      <c r="I17" s="32"/>
      <c r="J17" s="31">
        <f>VLOOKUP($D$4,Properties!$A$10:$N$14,14,FALSE)*$C$29*($F$29-Properties!$M$17)*30*100+0.72</f>
        <v>-89.519999999999982</v>
      </c>
      <c r="K17" s="35"/>
      <c r="L17" s="35"/>
      <c r="M17" s="35"/>
      <c r="N17" s="35"/>
      <c r="O17" s="35"/>
      <c r="P17" s="35"/>
      <c r="R17" s="32" t="e">
        <f t="shared" si="5"/>
        <v>#REF!</v>
      </c>
      <c r="S17" s="32">
        <f t="shared" si="6"/>
        <v>1</v>
      </c>
      <c r="T17" s="32" t="e">
        <f t="shared" si="4"/>
        <v>#REF!</v>
      </c>
      <c r="U17" s="32" t="s">
        <v>93</v>
      </c>
      <c r="V17" s="32" t="e">
        <f t="shared" si="4"/>
        <v>#REF!</v>
      </c>
      <c r="W17" s="49"/>
    </row>
    <row r="18" spans="1:23" s="1" customFormat="1" x14ac:dyDescent="0.25">
      <c r="A18" s="16">
        <f>A19+1</f>
        <v>3</v>
      </c>
      <c r="B18" s="20">
        <f t="shared" si="2"/>
        <v>11</v>
      </c>
      <c r="C18" s="9">
        <v>1</v>
      </c>
      <c r="D18" s="18" t="str">
        <f t="shared" si="3"/>
        <v>T300/N5208</v>
      </c>
      <c r="E18" s="9">
        <f>E6</f>
        <v>17</v>
      </c>
      <c r="F18" s="9">
        <f t="shared" si="0"/>
        <v>0.125</v>
      </c>
      <c r="H18">
        <f>J15-0.72</f>
        <v>153.6</v>
      </c>
      <c r="I18" s="32"/>
      <c r="J18" s="31">
        <f>VLOOKUP($D$4,Properties!$A$10:$N$14,14,FALSE)*$C$29*($F$29-Properties!$M$17)*30*100+0.72</f>
        <v>-89.519999999999982</v>
      </c>
      <c r="K18" s="35"/>
      <c r="L18" s="35"/>
      <c r="M18" s="35"/>
      <c r="N18" s="35"/>
      <c r="O18" s="35"/>
      <c r="P18" s="35"/>
      <c r="R18" s="32" t="e">
        <f t="shared" si="5"/>
        <v>#REF!</v>
      </c>
      <c r="S18" s="32">
        <f t="shared" si="6"/>
        <v>1</v>
      </c>
      <c r="T18" s="32" t="e">
        <f t="shared" si="4"/>
        <v>#REF!</v>
      </c>
      <c r="U18" s="32" t="e">
        <f t="shared" si="4"/>
        <v>#REF!</v>
      </c>
      <c r="V18" s="32" t="e">
        <f t="shared" si="4"/>
        <v>#REF!</v>
      </c>
      <c r="W18" s="49"/>
    </row>
    <row r="19" spans="1:23" s="1" customFormat="1" x14ac:dyDescent="0.25">
      <c r="A19" s="16">
        <f>A20+1</f>
        <v>2</v>
      </c>
      <c r="B19" s="20">
        <f t="shared" si="2"/>
        <v>10</v>
      </c>
      <c r="C19" s="9">
        <v>1</v>
      </c>
      <c r="D19" s="18" t="str">
        <f t="shared" si="3"/>
        <v>T300/N5208</v>
      </c>
      <c r="E19" s="9">
        <f>E5</f>
        <v>10</v>
      </c>
      <c r="F19" s="9">
        <f t="shared" si="0"/>
        <v>0.125</v>
      </c>
      <c r="H19"/>
      <c r="I19" s="32"/>
      <c r="J19" s="31">
        <f>VLOOKUP($D$4,Properties!$A$10:$N$14,14,FALSE)*$C$29*($F$29-Properties!$M$17)*30*100+0.72</f>
        <v>-89.519999999999982</v>
      </c>
      <c r="K19" s="35"/>
      <c r="L19" s="35"/>
      <c r="M19" s="35"/>
      <c r="N19" s="35"/>
      <c r="O19" s="35"/>
      <c r="P19" s="35"/>
      <c r="R19" s="32" t="e">
        <f t="shared" si="5"/>
        <v>#REF!</v>
      </c>
      <c r="S19" s="32">
        <f t="shared" si="6"/>
        <v>1</v>
      </c>
      <c r="T19" s="32" t="e">
        <f t="shared" si="4"/>
        <v>#REF!</v>
      </c>
      <c r="U19" s="32" t="e">
        <f t="shared" si="4"/>
        <v>#REF!</v>
      </c>
      <c r="V19" s="32" t="e">
        <f t="shared" si="4"/>
        <v>#REF!</v>
      </c>
      <c r="W19" s="49"/>
    </row>
    <row r="20" spans="1:23" s="1" customFormat="1" x14ac:dyDescent="0.25">
      <c r="A20" s="16">
        <v>1</v>
      </c>
      <c r="B20" s="20">
        <f t="shared" si="2"/>
        <v>9</v>
      </c>
      <c r="C20" s="9">
        <v>1</v>
      </c>
      <c r="D20" s="18" t="str">
        <f t="shared" si="3"/>
        <v>T300/N5208</v>
      </c>
      <c r="E20" s="9">
        <f>E4</f>
        <v>0</v>
      </c>
      <c r="F20" s="9">
        <f t="shared" si="0"/>
        <v>0.125</v>
      </c>
      <c r="H20">
        <f>30*100*F29*1.6/(10^3)</f>
        <v>9.6</v>
      </c>
      <c r="I20" s="32"/>
      <c r="J20" s="31">
        <f>VLOOKUP($D$4,Properties!$A$10:$N$14,14,FALSE)*$C$29*($F$29-Properties!$M$17)*30*100+0.72</f>
        <v>-89.519999999999982</v>
      </c>
      <c r="K20" s="35"/>
      <c r="L20" s="35"/>
      <c r="M20" s="35"/>
      <c r="N20" s="35"/>
      <c r="O20" s="35"/>
      <c r="P20" s="35"/>
      <c r="R20" s="32" t="e">
        <f t="shared" si="5"/>
        <v>#REF!</v>
      </c>
      <c r="S20" s="32">
        <f t="shared" si="6"/>
        <v>1</v>
      </c>
      <c r="T20" s="32" t="e">
        <f t="shared" si="4"/>
        <v>#REF!</v>
      </c>
      <c r="U20" s="32" t="e">
        <f t="shared" si="4"/>
        <v>#REF!</v>
      </c>
      <c r="V20" s="32" t="e">
        <f t="shared" si="4"/>
        <v>#REF!</v>
      </c>
      <c r="W20" s="49"/>
    </row>
    <row r="21" spans="1:23" s="1" customFormat="1" x14ac:dyDescent="0.25">
      <c r="A21" s="16"/>
      <c r="B21" s="20">
        <f t="shared" si="2"/>
        <v>8</v>
      </c>
      <c r="C21" s="9">
        <v>0</v>
      </c>
      <c r="D21" s="18" t="s">
        <v>48</v>
      </c>
      <c r="E21" s="9"/>
      <c r="F21" s="9">
        <f t="shared" si="0"/>
        <v>0</v>
      </c>
      <c r="H21">
        <f>H20+0.72</f>
        <v>10.32</v>
      </c>
      <c r="I21" s="32"/>
      <c r="J21" s="31">
        <f>VLOOKUP($D$4,Properties!$A$10:$N$14,14,FALSE)*$C$29*($F$29-Properties!$M$17)*30*100+0.72</f>
        <v>-89.519999999999982</v>
      </c>
      <c r="K21" s="35"/>
      <c r="L21" s="35"/>
      <c r="M21" s="35"/>
      <c r="N21" s="35"/>
      <c r="O21" s="35"/>
      <c r="P21" s="35"/>
      <c r="R21" s="32" t="e">
        <f t="shared" si="5"/>
        <v>#REF!</v>
      </c>
      <c r="S21" s="32">
        <f t="shared" si="6"/>
        <v>1</v>
      </c>
      <c r="T21" s="32" t="e">
        <f t="shared" si="4"/>
        <v>#REF!</v>
      </c>
      <c r="U21" s="32" t="e">
        <f t="shared" si="4"/>
        <v>#REF!</v>
      </c>
      <c r="V21" s="32" t="e">
        <f t="shared" si="4"/>
        <v>#REF!</v>
      </c>
      <c r="W21" s="49"/>
    </row>
    <row r="22" spans="1:23" s="1" customFormat="1" x14ac:dyDescent="0.25">
      <c r="A22" s="16"/>
      <c r="B22" s="20">
        <f t="shared" si="2"/>
        <v>7</v>
      </c>
      <c r="C22" s="9">
        <v>0</v>
      </c>
      <c r="D22" s="18" t="s">
        <v>48</v>
      </c>
      <c r="E22" s="9"/>
      <c r="F22" s="9">
        <f t="shared" si="0"/>
        <v>0</v>
      </c>
      <c r="H22"/>
      <c r="I22" s="32"/>
      <c r="J22" s="31">
        <f>VLOOKUP($D$4,Properties!$A$10:$N$14,14,FALSE)*$C$29*($F$29-Properties!$M$17)*30*100+0.72</f>
        <v>-89.519999999999982</v>
      </c>
      <c r="K22" s="35"/>
      <c r="L22" s="35"/>
      <c r="M22" s="35"/>
      <c r="N22" s="35"/>
      <c r="O22" s="35"/>
      <c r="P22" s="35"/>
      <c r="R22" s="32" t="e">
        <f t="shared" si="5"/>
        <v>#REF!</v>
      </c>
      <c r="S22" s="32">
        <f t="shared" si="6"/>
        <v>1</v>
      </c>
      <c r="T22" s="32" t="e">
        <f t="shared" si="4"/>
        <v>#REF!</v>
      </c>
      <c r="U22" s="32" t="e">
        <f t="shared" si="4"/>
        <v>#REF!</v>
      </c>
      <c r="V22" s="32" t="e">
        <f t="shared" si="4"/>
        <v>#REF!</v>
      </c>
      <c r="W22" s="49"/>
    </row>
    <row r="23" spans="1:23" s="1" customFormat="1" x14ac:dyDescent="0.25">
      <c r="A23" s="16"/>
      <c r="B23" s="20">
        <f t="shared" si="2"/>
        <v>6</v>
      </c>
      <c r="C23" s="9">
        <v>0</v>
      </c>
      <c r="D23" s="18" t="s">
        <v>48</v>
      </c>
      <c r="E23" s="9"/>
      <c r="F23" s="9">
        <f t="shared" si="0"/>
        <v>0</v>
      </c>
      <c r="H23"/>
      <c r="J23" s="31">
        <f>VLOOKUP($D$4,Properties!$A$10:$N$14,14,FALSE)*$C$29*($F$29-Properties!$M$17)*30*100+0.72</f>
        <v>-89.519999999999982</v>
      </c>
      <c r="K23" s="36"/>
      <c r="L23" s="36"/>
      <c r="M23" s="36"/>
      <c r="N23" s="36"/>
      <c r="O23" s="36"/>
      <c r="P23" s="36"/>
      <c r="R23" s="32" t="e">
        <f t="shared" si="5"/>
        <v>#REF!</v>
      </c>
      <c r="S23" s="32">
        <f t="shared" si="6"/>
        <v>1</v>
      </c>
      <c r="T23" s="32" t="e">
        <f t="shared" si="4"/>
        <v>#REF!</v>
      </c>
      <c r="U23" s="32" t="e">
        <f t="shared" si="4"/>
        <v>#REF!</v>
      </c>
      <c r="V23" s="32" t="e">
        <f t="shared" si="4"/>
        <v>#REF!</v>
      </c>
      <c r="W23" s="49"/>
    </row>
    <row r="24" spans="1:23" s="1" customFormat="1" x14ac:dyDescent="0.25">
      <c r="A24" s="16"/>
      <c r="B24" s="20">
        <f t="shared" si="2"/>
        <v>5</v>
      </c>
      <c r="C24" s="9">
        <v>0</v>
      </c>
      <c r="D24" s="18" t="s">
        <v>48</v>
      </c>
      <c r="E24" s="9"/>
      <c r="F24" s="9">
        <f t="shared" si="0"/>
        <v>0</v>
      </c>
      <c r="H24"/>
      <c r="J24" s="31">
        <f>VLOOKUP($D$4,Properties!$A$10:$N$14,14,FALSE)*$C$29*($F$29-Properties!$M$17)*30*100+0.72</f>
        <v>-89.519999999999982</v>
      </c>
      <c r="K24" s="36"/>
      <c r="L24" s="36"/>
      <c r="M24" s="36"/>
      <c r="N24" s="36"/>
      <c r="O24" s="36"/>
      <c r="P24" s="36"/>
      <c r="R24" s="32" t="e">
        <f>#REF!</f>
        <v>#REF!</v>
      </c>
      <c r="S24" s="32">
        <f t="shared" si="6"/>
        <v>1</v>
      </c>
      <c r="T24" s="32" t="e">
        <f t="shared" si="4"/>
        <v>#REF!</v>
      </c>
      <c r="U24" s="32" t="e">
        <f t="shared" si="4"/>
        <v>#REF!</v>
      </c>
      <c r="V24" s="32" t="e">
        <f t="shared" si="4"/>
        <v>#REF!</v>
      </c>
      <c r="W24" s="49"/>
    </row>
    <row r="25" spans="1:23" s="1" customFormat="1" x14ac:dyDescent="0.25">
      <c r="A25" s="16"/>
      <c r="B25" s="20">
        <f t="shared" si="2"/>
        <v>4</v>
      </c>
      <c r="C25" s="9">
        <f t="shared" ref="C25" si="7">C24</f>
        <v>0</v>
      </c>
      <c r="D25" s="18" t="s">
        <v>48</v>
      </c>
      <c r="E25" s="9"/>
      <c r="F25" s="9">
        <f t="shared" si="0"/>
        <v>0</v>
      </c>
      <c r="H25"/>
      <c r="J25" s="31">
        <f>VLOOKUP($D$4,Properties!$A$10:$N$14,14,FALSE)*$C$29*($F$29-Properties!$M$17)*30*100+0.72</f>
        <v>-89.519999999999982</v>
      </c>
      <c r="K25" s="36"/>
      <c r="L25" s="36"/>
      <c r="M25" s="36"/>
      <c r="N25" s="36"/>
      <c r="O25" s="36"/>
      <c r="P25" s="36"/>
      <c r="R25" s="32" t="e">
        <f t="shared" ref="R25" si="8">#REF!</f>
        <v>#REF!</v>
      </c>
      <c r="S25" s="32">
        <f t="shared" si="6"/>
        <v>1</v>
      </c>
      <c r="T25" s="32" t="e">
        <f t="shared" si="4"/>
        <v>#REF!</v>
      </c>
      <c r="U25" s="32" t="e">
        <f t="shared" si="4"/>
        <v>#REF!</v>
      </c>
      <c r="V25" s="32" t="e">
        <f t="shared" si="4"/>
        <v>#REF!</v>
      </c>
      <c r="W25" s="49"/>
    </row>
    <row r="26" spans="1:23" s="1" customFormat="1" x14ac:dyDescent="0.25">
      <c r="A26" s="16"/>
      <c r="B26" s="20">
        <f t="shared" si="2"/>
        <v>3</v>
      </c>
      <c r="C26" s="9">
        <v>0</v>
      </c>
      <c r="D26" s="18" t="s">
        <v>48</v>
      </c>
      <c r="E26" s="9"/>
      <c r="F26" s="9">
        <f t="shared" si="0"/>
        <v>0</v>
      </c>
      <c r="H26"/>
      <c r="J26" s="31">
        <f>VLOOKUP($D$4,Properties!$A$10:$N$14,14,FALSE)*$C$29*($F$29-Properties!$M$17)*30*100+0.72</f>
        <v>-89.519999999999982</v>
      </c>
      <c r="K26" s="36"/>
      <c r="L26" s="36"/>
      <c r="M26" s="36"/>
      <c r="N26" s="36"/>
      <c r="O26" s="36"/>
      <c r="P26" s="36"/>
      <c r="R26" s="49"/>
      <c r="S26" s="49"/>
      <c r="T26" s="49"/>
      <c r="U26" s="49"/>
      <c r="V26" s="49"/>
    </row>
    <row r="27" spans="1:23" s="1" customFormat="1" x14ac:dyDescent="0.25">
      <c r="A27" s="16" t="s">
        <v>41</v>
      </c>
      <c r="B27" s="20">
        <f t="shared" si="2"/>
        <v>2</v>
      </c>
      <c r="C27" s="9">
        <v>0</v>
      </c>
      <c r="D27" s="18" t="s">
        <v>48</v>
      </c>
      <c r="E27" s="9"/>
      <c r="F27" s="9">
        <f t="shared" si="0"/>
        <v>0</v>
      </c>
      <c r="H27"/>
      <c r="J27" s="31">
        <f>VLOOKUP($D$4,Properties!$A$10:$N$14,14,FALSE)*$C$29*($F$29-Properties!$M$17)*30*100+0.72</f>
        <v>-89.519999999999982</v>
      </c>
      <c r="K27" s="36"/>
      <c r="L27" s="36"/>
      <c r="M27" s="36"/>
      <c r="N27" s="36"/>
      <c r="O27" s="36"/>
      <c r="P27" s="36"/>
    </row>
    <row r="28" spans="1:23" s="1" customFormat="1" x14ac:dyDescent="0.25">
      <c r="A28" s="16"/>
      <c r="B28" s="20">
        <f t="shared" si="2"/>
        <v>1</v>
      </c>
      <c r="C28" s="9">
        <v>0</v>
      </c>
      <c r="D28" s="18" t="s">
        <v>48</v>
      </c>
      <c r="E28" s="9"/>
      <c r="F28" s="9">
        <v>0</v>
      </c>
      <c r="H28"/>
      <c r="J28" s="31">
        <f>VLOOKUP($D$4,Properties!$A$10:$N$14,14,FALSE)*$C$29*($F$29-Properties!$M$17)*30*100+0.72</f>
        <v>-89.519999999999982</v>
      </c>
      <c r="K28" s="36"/>
      <c r="L28" s="36"/>
      <c r="M28" s="36"/>
      <c r="N28" s="36"/>
      <c r="O28" s="36"/>
      <c r="P28" s="36"/>
    </row>
    <row r="29" spans="1:23" s="1" customFormat="1" x14ac:dyDescent="0.25">
      <c r="A29" s="16"/>
      <c r="B29" s="2"/>
      <c r="C29" s="24">
        <f>SUM(C4:C27)-1</f>
        <v>16</v>
      </c>
      <c r="D29" s="23" t="s">
        <v>68</v>
      </c>
      <c r="E29" s="2"/>
      <c r="F29" s="27">
        <f t="array" ref="F29">SUM(C4:C27*F4:F27)-F12</f>
        <v>2</v>
      </c>
      <c r="G29" s="1" t="s">
        <v>94</v>
      </c>
      <c r="H29"/>
      <c r="J29" s="31">
        <f>VLOOKUP($D$4,Properties!$A$10:$N$14,14,FALSE)*$C$29*($F$29-Properties!$M$17)*30*100+0.72</f>
        <v>-89.519999999999982</v>
      </c>
      <c r="K29" s="36"/>
      <c r="L29" s="36"/>
      <c r="M29" s="36"/>
      <c r="N29" s="36"/>
      <c r="O29" s="36"/>
      <c r="P29" s="36"/>
    </row>
    <row r="30" spans="1:23" x14ac:dyDescent="0.25">
      <c r="H30"/>
    </row>
    <row r="31" spans="1:23" s="1" customFormat="1" x14ac:dyDescent="0.25">
      <c r="A31" s="16"/>
      <c r="B31" s="2"/>
      <c r="C31" s="25">
        <v>0</v>
      </c>
      <c r="D31" s="25">
        <v>1</v>
      </c>
      <c r="E31" s="25">
        <v>2</v>
      </c>
      <c r="F31" s="25">
        <v>3</v>
      </c>
      <c r="H31"/>
    </row>
    <row r="32" spans="1:23" x14ac:dyDescent="0.25">
      <c r="H32"/>
    </row>
    <row r="33" spans="4:8" x14ac:dyDescent="0.25">
      <c r="H33"/>
    </row>
    <row r="35" spans="4:8" s="1" customFormat="1" x14ac:dyDescent="0.25">
      <c r="D35" s="7" t="s">
        <v>35</v>
      </c>
      <c r="E35" s="7" t="s">
        <v>37</v>
      </c>
      <c r="F35" s="2"/>
    </row>
    <row r="36" spans="4:8" s="1" customFormat="1" ht="14.25" x14ac:dyDescent="0.2">
      <c r="D36" s="8"/>
      <c r="E36" s="8" t="s">
        <v>23</v>
      </c>
      <c r="F36" s="2"/>
    </row>
    <row r="37" spans="4:8" s="1" customFormat="1" ht="14.25" x14ac:dyDescent="0.2">
      <c r="D37" s="9" t="str">
        <f>Properties!A10</f>
        <v>T300/N5208</v>
      </c>
      <c r="E37" s="9">
        <f>Properties!M10</f>
        <v>0.125</v>
      </c>
      <c r="F37" s="2"/>
    </row>
    <row r="38" spans="4:8" s="1" customFormat="1" ht="14.25" x14ac:dyDescent="0.2">
      <c r="D38" s="9" t="str">
        <f>Properties!A11</f>
        <v>AS/H3501</v>
      </c>
      <c r="E38" s="9">
        <f>Properties!M11</f>
        <v>0.125</v>
      </c>
      <c r="F38" s="2"/>
    </row>
    <row r="39" spans="4:8" s="1" customFormat="1" ht="14.25" x14ac:dyDescent="0.2">
      <c r="D39" s="9" t="str">
        <f>Properties!A12</f>
        <v>E-glass/Epoxy</v>
      </c>
      <c r="E39" s="9">
        <f>Properties!M12</f>
        <v>0.125</v>
      </c>
      <c r="F39" s="2"/>
    </row>
    <row r="40" spans="4:8" s="1" customFormat="1" ht="14.25" x14ac:dyDescent="0.2">
      <c r="D40" s="9" t="str">
        <f>Properties!A13</f>
        <v>Kev49/Epoxy</v>
      </c>
      <c r="E40" s="9">
        <f>Properties!M13</f>
        <v>0.125</v>
      </c>
      <c r="F40" s="2"/>
    </row>
    <row r="41" spans="4:8" s="1" customFormat="1" ht="14.25" x14ac:dyDescent="0.2">
      <c r="D41" s="9" t="str">
        <f>Properties!A14</f>
        <v>AS4/PEEK</v>
      </c>
      <c r="E41" s="9">
        <f>Properties!M14</f>
        <v>0.125</v>
      </c>
      <c r="F41" s="2"/>
    </row>
    <row r="42" spans="4:8" s="1" customFormat="1" ht="14.25" x14ac:dyDescent="0.2">
      <c r="D42" s="9" t="str">
        <f>Properties!A17</f>
        <v>CORE</v>
      </c>
      <c r="E42" s="9">
        <f>Properties!M17</f>
        <v>3.1749999999999998</v>
      </c>
      <c r="F42" s="15" t="s">
        <v>39</v>
      </c>
    </row>
    <row r="43" spans="4:8" s="1" customFormat="1" ht="14.25" x14ac:dyDescent="0.2">
      <c r="D43" s="9" t="s">
        <v>48</v>
      </c>
      <c r="E43" s="9"/>
      <c r="F43" s="2"/>
    </row>
  </sheetData>
  <mergeCells count="3">
    <mergeCell ref="K2:M2"/>
    <mergeCell ref="N2:P2"/>
    <mergeCell ref="S3:U3"/>
  </mergeCells>
  <conditionalFormatting sqref="K4:M29">
    <cfRule type="cellIs" dxfId="1" priority="2" operator="lessThan">
      <formula>2</formula>
    </cfRule>
  </conditionalFormatting>
  <conditionalFormatting sqref="N4:P29">
    <cfRule type="cellIs" dxfId="0" priority="1" operator="lessThan">
      <formula>2</formula>
    </cfRule>
  </conditionalFormatting>
  <dataValidations count="1">
    <dataValidation type="list" allowBlank="1" showInputMessage="1" showErrorMessage="1" sqref="D4:D28">
      <formula1>$D$37:$D$43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90" zoomScaleNormal="90" workbookViewId="0">
      <selection activeCell="X7" sqref="X7"/>
    </sheetView>
  </sheetViews>
  <sheetFormatPr defaultRowHeight="15" x14ac:dyDescent="0.25"/>
  <cols>
    <col min="1" max="1" width="15.7109375" style="16" customWidth="1"/>
    <col min="2" max="2" width="8" style="2" customWidth="1"/>
    <col min="3" max="3" width="9.140625" style="2"/>
    <col min="4" max="4" width="15.28515625" style="2" customWidth="1"/>
    <col min="5" max="5" width="17.42578125" style="2" customWidth="1"/>
    <col min="6" max="6" width="20" style="2" customWidth="1"/>
    <col min="7" max="10" width="9.140625" style="1"/>
    <col min="11" max="11" width="10.42578125" style="1" customWidth="1"/>
    <col min="12" max="12" width="9.140625" style="1"/>
    <col min="13" max="13" width="11" style="1" customWidth="1"/>
    <col min="14" max="18" width="9.140625" style="1"/>
  </cols>
  <sheetData>
    <row r="1" spans="1:15" s="1" customFormat="1" ht="14.25" x14ac:dyDescent="0.2">
      <c r="A1" s="16"/>
      <c r="B1" s="2"/>
      <c r="C1" s="15" t="s">
        <v>47</v>
      </c>
      <c r="D1" s="2"/>
      <c r="E1" s="2"/>
      <c r="F1" s="2"/>
    </row>
    <row r="2" spans="1:15" s="1" customFormat="1" x14ac:dyDescent="0.25">
      <c r="A2" s="16"/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</row>
    <row r="3" spans="1:15" s="1" customFormat="1" ht="14.25" x14ac:dyDescent="0.2">
      <c r="A3" s="16"/>
      <c r="B3" s="8"/>
      <c r="C3" s="22"/>
      <c r="D3" s="22"/>
      <c r="E3" s="22" t="s">
        <v>40</v>
      </c>
      <c r="F3" s="22" t="s">
        <v>23</v>
      </c>
      <c r="J3" s="9" t="s">
        <v>58</v>
      </c>
      <c r="K3" s="9" t="s">
        <v>59</v>
      </c>
      <c r="L3" s="9" t="s">
        <v>60</v>
      </c>
      <c r="M3" s="9" t="s">
        <v>61</v>
      </c>
      <c r="N3" s="2"/>
      <c r="O3" s="2"/>
    </row>
    <row r="4" spans="1:15" s="1" customFormat="1" ht="14.25" x14ac:dyDescent="0.2">
      <c r="A4" s="16" t="s">
        <v>36</v>
      </c>
      <c r="B4" s="20">
        <v>25</v>
      </c>
      <c r="C4" s="9">
        <v>1</v>
      </c>
      <c r="D4" s="18" t="s">
        <v>5</v>
      </c>
      <c r="E4" s="9">
        <v>52</v>
      </c>
      <c r="F4" s="9">
        <f t="shared" ref="F4:F27" si="0">IF(C4=0,0,VLOOKUP(D4,$D$37:$E$43,2,FALSE))</f>
        <v>0.125</v>
      </c>
      <c r="H4" s="1">
        <f>E4*PI()/180</f>
        <v>0.90757121103705141</v>
      </c>
      <c r="J4" s="9">
        <v>0</v>
      </c>
      <c r="K4" s="9"/>
      <c r="L4" s="9"/>
      <c r="M4" s="9"/>
      <c r="N4" s="2"/>
      <c r="O4" s="2"/>
    </row>
    <row r="5" spans="1:15" s="1" customFormat="1" ht="14.25" x14ac:dyDescent="0.2">
      <c r="A5" s="16"/>
      <c r="B5" s="20">
        <f t="shared" ref="B5:B28" si="1">B4-1</f>
        <v>24</v>
      </c>
      <c r="C5" s="9">
        <v>2</v>
      </c>
      <c r="D5" s="18" t="s">
        <v>5</v>
      </c>
      <c r="E5" s="9">
        <f>E4*-1</f>
        <v>-52</v>
      </c>
      <c r="F5" s="9">
        <f>IF(C5=0,0,VLOOKUP(D5,$D$37:$E$43,2,FALSE))</f>
        <v>0.125</v>
      </c>
      <c r="H5" s="1">
        <f t="shared" ref="H5:H11" si="2">E5*PI()/180</f>
        <v>-0.90757121103705141</v>
      </c>
      <c r="J5" s="9">
        <f>J4+5</f>
        <v>5</v>
      </c>
      <c r="K5" s="9"/>
      <c r="L5" s="9"/>
      <c r="M5" s="9"/>
      <c r="N5" s="2"/>
      <c r="O5" s="2"/>
    </row>
    <row r="6" spans="1:15" s="1" customFormat="1" ht="14.25" x14ac:dyDescent="0.2">
      <c r="A6" s="16"/>
      <c r="B6" s="20">
        <f t="shared" si="1"/>
        <v>23</v>
      </c>
      <c r="C6" s="9">
        <v>1</v>
      </c>
      <c r="D6" s="18" t="s">
        <v>5</v>
      </c>
      <c r="E6" s="9">
        <f>E4</f>
        <v>52</v>
      </c>
      <c r="F6" s="9">
        <f t="shared" si="0"/>
        <v>0.125</v>
      </c>
      <c r="H6" s="1">
        <f t="shared" si="2"/>
        <v>0.90757121103705141</v>
      </c>
      <c r="J6" s="9">
        <f t="shared" ref="J6:J14" si="3">J5+5</f>
        <v>10</v>
      </c>
      <c r="K6" s="9"/>
      <c r="L6" s="9"/>
      <c r="M6" s="9"/>
      <c r="N6" s="2"/>
      <c r="O6" s="2"/>
    </row>
    <row r="7" spans="1:15" s="1" customFormat="1" ht="14.25" x14ac:dyDescent="0.2">
      <c r="A7" s="16"/>
      <c r="B7" s="20">
        <f t="shared" si="1"/>
        <v>22</v>
      </c>
      <c r="C7" s="9">
        <v>0</v>
      </c>
      <c r="D7" s="18" t="s">
        <v>48</v>
      </c>
      <c r="E7" s="9"/>
      <c r="F7" s="9">
        <f t="shared" si="0"/>
        <v>0</v>
      </c>
      <c r="H7" s="1">
        <f t="shared" si="2"/>
        <v>0</v>
      </c>
      <c r="J7" s="9">
        <f t="shared" si="3"/>
        <v>15</v>
      </c>
      <c r="K7" s="9"/>
      <c r="L7" s="9"/>
      <c r="M7" s="9"/>
      <c r="N7" s="2"/>
      <c r="O7" s="2"/>
    </row>
    <row r="8" spans="1:15" s="1" customFormat="1" ht="14.25" x14ac:dyDescent="0.2">
      <c r="A8" s="16"/>
      <c r="B8" s="20">
        <f t="shared" si="1"/>
        <v>21</v>
      </c>
      <c r="C8" s="9">
        <v>0</v>
      </c>
      <c r="D8" s="18" t="s">
        <v>48</v>
      </c>
      <c r="E8" s="9"/>
      <c r="F8" s="9">
        <f t="shared" si="0"/>
        <v>0</v>
      </c>
      <c r="H8" s="1">
        <f t="shared" si="2"/>
        <v>0</v>
      </c>
      <c r="J8" s="9">
        <f t="shared" si="3"/>
        <v>20</v>
      </c>
      <c r="K8" s="9"/>
      <c r="L8" s="9"/>
      <c r="M8" s="9"/>
      <c r="N8" s="2"/>
      <c r="O8" s="2"/>
    </row>
    <row r="9" spans="1:15" s="1" customFormat="1" ht="14.25" x14ac:dyDescent="0.2">
      <c r="A9" s="16"/>
      <c r="B9" s="20">
        <f t="shared" si="1"/>
        <v>20</v>
      </c>
      <c r="C9" s="9">
        <v>0</v>
      </c>
      <c r="D9" s="18" t="s">
        <v>48</v>
      </c>
      <c r="E9" s="9"/>
      <c r="F9" s="9">
        <f t="shared" si="0"/>
        <v>0</v>
      </c>
      <c r="H9" s="1">
        <f t="shared" si="2"/>
        <v>0</v>
      </c>
      <c r="J9" s="9">
        <f t="shared" si="3"/>
        <v>25</v>
      </c>
      <c r="K9" s="9"/>
      <c r="L9" s="9"/>
      <c r="M9" s="9"/>
      <c r="N9" s="2"/>
      <c r="O9" s="2"/>
    </row>
    <row r="10" spans="1:15" s="1" customFormat="1" ht="14.25" x14ac:dyDescent="0.2">
      <c r="A10" s="16"/>
      <c r="B10" s="20">
        <f t="shared" si="1"/>
        <v>19</v>
      </c>
      <c r="C10" s="9">
        <v>0</v>
      </c>
      <c r="D10" s="18" t="s">
        <v>48</v>
      </c>
      <c r="E10" s="9"/>
      <c r="F10" s="9">
        <f t="shared" si="0"/>
        <v>0</v>
      </c>
      <c r="H10" s="1">
        <f t="shared" si="2"/>
        <v>0</v>
      </c>
      <c r="J10" s="9">
        <f t="shared" si="3"/>
        <v>30</v>
      </c>
      <c r="K10" s="9"/>
      <c r="L10" s="9"/>
      <c r="M10" s="9"/>
      <c r="N10" s="2"/>
      <c r="O10" s="2"/>
    </row>
    <row r="11" spans="1:15" s="1" customFormat="1" ht="14.25" x14ac:dyDescent="0.2">
      <c r="A11" s="16"/>
      <c r="B11" s="20">
        <f t="shared" si="1"/>
        <v>18</v>
      </c>
      <c r="C11" s="9">
        <v>0</v>
      </c>
      <c r="D11" s="18" t="s">
        <v>48</v>
      </c>
      <c r="E11" s="9"/>
      <c r="F11" s="9">
        <f t="shared" si="0"/>
        <v>0</v>
      </c>
      <c r="H11" s="1">
        <f t="shared" si="2"/>
        <v>0</v>
      </c>
      <c r="J11" s="9">
        <f t="shared" si="3"/>
        <v>35</v>
      </c>
      <c r="K11" s="9"/>
      <c r="L11" s="9"/>
      <c r="M11" s="9"/>
      <c r="N11" s="2"/>
      <c r="O11" s="2"/>
    </row>
    <row r="12" spans="1:15" s="1" customFormat="1" ht="14.25" x14ac:dyDescent="0.2">
      <c r="A12" s="16"/>
      <c r="B12" s="20">
        <f t="shared" si="1"/>
        <v>17</v>
      </c>
      <c r="C12" s="9">
        <v>0</v>
      </c>
      <c r="D12" s="18" t="s">
        <v>48</v>
      </c>
      <c r="E12" s="9"/>
      <c r="F12" s="9">
        <f t="shared" si="0"/>
        <v>0</v>
      </c>
      <c r="J12" s="9">
        <f t="shared" si="3"/>
        <v>40</v>
      </c>
      <c r="K12" s="9">
        <v>0.46600000000000003</v>
      </c>
      <c r="L12" s="9">
        <v>0.47399999999999998</v>
      </c>
      <c r="M12" s="9">
        <v>0.42199999999999999</v>
      </c>
      <c r="N12" s="2"/>
      <c r="O12" s="2"/>
    </row>
    <row r="13" spans="1:15" s="1" customFormat="1" ht="14.25" x14ac:dyDescent="0.2">
      <c r="A13" s="16"/>
      <c r="B13" s="20">
        <f t="shared" si="1"/>
        <v>16</v>
      </c>
      <c r="C13" s="9">
        <v>0</v>
      </c>
      <c r="D13" s="18" t="s">
        <v>48</v>
      </c>
      <c r="E13" s="9"/>
      <c r="F13" s="9">
        <f t="shared" si="0"/>
        <v>0</v>
      </c>
      <c r="J13" s="9">
        <f t="shared" si="3"/>
        <v>45</v>
      </c>
      <c r="K13" s="9">
        <v>0.92500000000000004</v>
      </c>
      <c r="L13" s="9">
        <v>0.95</v>
      </c>
      <c r="M13" s="9">
        <v>0.76500000000000001</v>
      </c>
      <c r="N13" s="2"/>
      <c r="O13" s="2"/>
    </row>
    <row r="14" spans="1:15" s="1" customFormat="1" ht="14.25" x14ac:dyDescent="0.2">
      <c r="A14" s="16"/>
      <c r="B14" s="20">
        <f t="shared" si="1"/>
        <v>15</v>
      </c>
      <c r="C14" s="9">
        <v>0</v>
      </c>
      <c r="D14" s="18" t="s">
        <v>48</v>
      </c>
      <c r="E14" s="9"/>
      <c r="F14" s="9">
        <f t="shared" si="0"/>
        <v>0</v>
      </c>
      <c r="J14" s="9">
        <f t="shared" si="3"/>
        <v>50</v>
      </c>
      <c r="K14" s="9">
        <v>1.524</v>
      </c>
      <c r="L14" s="9">
        <v>2.0310000000000001</v>
      </c>
      <c r="M14" s="9">
        <v>1.302</v>
      </c>
      <c r="N14" s="2"/>
      <c r="O14" s="2"/>
    </row>
    <row r="15" spans="1:15" s="1" customFormat="1" ht="14.25" x14ac:dyDescent="0.2">
      <c r="A15" s="16"/>
      <c r="B15" s="20">
        <f t="shared" si="1"/>
        <v>14</v>
      </c>
      <c r="C15" s="9">
        <v>0</v>
      </c>
      <c r="D15" s="18" t="s">
        <v>48</v>
      </c>
      <c r="E15" s="9"/>
      <c r="F15" s="9">
        <f t="shared" si="0"/>
        <v>0</v>
      </c>
      <c r="J15" s="9">
        <f>J14+1</f>
        <v>51</v>
      </c>
      <c r="K15" s="29">
        <v>1.528</v>
      </c>
      <c r="L15" s="9">
        <v>2.278</v>
      </c>
      <c r="M15" s="9">
        <v>1.363</v>
      </c>
      <c r="N15" s="2"/>
      <c r="O15" s="2"/>
    </row>
    <row r="16" spans="1:15" s="1" customFormat="1" ht="14.25" x14ac:dyDescent="0.2">
      <c r="A16" s="16"/>
      <c r="B16" s="20">
        <f t="shared" si="1"/>
        <v>13</v>
      </c>
      <c r="C16" s="9">
        <v>0</v>
      </c>
      <c r="D16" s="18" t="s">
        <v>48</v>
      </c>
      <c r="E16" s="9"/>
      <c r="F16" s="9">
        <f t="shared" si="0"/>
        <v>0</v>
      </c>
      <c r="J16" s="9">
        <f t="shared" ref="J16:J19" si="4">J15+1</f>
        <v>52</v>
      </c>
      <c r="K16" s="9">
        <v>1.4750000000000001</v>
      </c>
      <c r="L16" s="9">
        <v>2.4550000000000001</v>
      </c>
      <c r="M16" s="30">
        <v>1.3720000000000001</v>
      </c>
      <c r="N16" s="2"/>
      <c r="O16" s="2"/>
    </row>
    <row r="17" spans="1:15" s="1" customFormat="1" ht="14.25" x14ac:dyDescent="0.2">
      <c r="A17" s="16"/>
      <c r="B17" s="20">
        <f t="shared" si="1"/>
        <v>12</v>
      </c>
      <c r="C17" s="9">
        <v>0</v>
      </c>
      <c r="D17" s="18" t="s">
        <v>48</v>
      </c>
      <c r="E17" s="9"/>
      <c r="F17" s="9">
        <f t="shared" si="0"/>
        <v>0</v>
      </c>
      <c r="J17" s="9">
        <f t="shared" si="4"/>
        <v>53</v>
      </c>
      <c r="K17" s="9">
        <v>1.38</v>
      </c>
      <c r="L17" s="29">
        <v>2.492</v>
      </c>
      <c r="M17" s="9">
        <v>1.3280000000000001</v>
      </c>
      <c r="N17" s="2"/>
      <c r="O17" s="2"/>
    </row>
    <row r="18" spans="1:15" s="1" customFormat="1" ht="14.25" x14ac:dyDescent="0.2">
      <c r="A18" s="16"/>
      <c r="B18" s="20">
        <f t="shared" si="1"/>
        <v>11</v>
      </c>
      <c r="C18" s="9">
        <f t="shared" ref="C18:C27" si="5">C17</f>
        <v>0</v>
      </c>
      <c r="D18" s="18" t="s">
        <v>48</v>
      </c>
      <c r="E18" s="9"/>
      <c r="F18" s="9">
        <f t="shared" si="0"/>
        <v>0</v>
      </c>
      <c r="J18" s="9">
        <f t="shared" si="4"/>
        <v>54</v>
      </c>
      <c r="K18" s="9">
        <v>1.2629999999999999</v>
      </c>
      <c r="L18" s="9">
        <v>2.3559999999999999</v>
      </c>
      <c r="M18" s="9">
        <v>1.242</v>
      </c>
      <c r="N18" s="2"/>
      <c r="O18" s="2"/>
    </row>
    <row r="19" spans="1:15" s="1" customFormat="1" ht="14.25" x14ac:dyDescent="0.2">
      <c r="A19" s="16"/>
      <c r="B19" s="20">
        <f t="shared" si="1"/>
        <v>10</v>
      </c>
      <c r="C19" s="9">
        <f t="shared" si="5"/>
        <v>0</v>
      </c>
      <c r="D19" s="18" t="s">
        <v>48</v>
      </c>
      <c r="E19" s="9"/>
      <c r="F19" s="9">
        <f t="shared" si="0"/>
        <v>0</v>
      </c>
      <c r="J19" s="9">
        <f t="shared" si="4"/>
        <v>55</v>
      </c>
      <c r="K19" s="9">
        <v>1.139</v>
      </c>
      <c r="L19" s="9">
        <v>2.089</v>
      </c>
      <c r="M19" s="9">
        <v>1.133</v>
      </c>
      <c r="N19" s="2"/>
      <c r="O19" s="2"/>
    </row>
    <row r="20" spans="1:15" s="1" customFormat="1" ht="14.25" x14ac:dyDescent="0.2">
      <c r="A20" s="16"/>
      <c r="B20" s="20">
        <f t="shared" si="1"/>
        <v>9</v>
      </c>
      <c r="C20" s="9">
        <f t="shared" si="5"/>
        <v>0</v>
      </c>
      <c r="D20" s="18" t="s">
        <v>48</v>
      </c>
      <c r="E20" s="9"/>
      <c r="F20" s="9">
        <f t="shared" si="0"/>
        <v>0</v>
      </c>
      <c r="J20" s="9">
        <v>60</v>
      </c>
      <c r="K20" s="9">
        <v>0.66800000000000004</v>
      </c>
      <c r="L20" s="9">
        <v>0.93200000000000005</v>
      </c>
      <c r="M20" s="9">
        <v>0.66600000000000004</v>
      </c>
      <c r="N20" s="2"/>
      <c r="O20" s="2"/>
    </row>
    <row r="21" spans="1:15" s="1" customFormat="1" ht="14.25" x14ac:dyDescent="0.2">
      <c r="A21" s="16"/>
      <c r="B21" s="20">
        <f t="shared" si="1"/>
        <v>8</v>
      </c>
      <c r="C21" s="9">
        <f t="shared" si="5"/>
        <v>0</v>
      </c>
      <c r="D21" s="18" t="s">
        <v>48</v>
      </c>
      <c r="E21" s="9"/>
      <c r="F21" s="9">
        <f t="shared" si="0"/>
        <v>0</v>
      </c>
      <c r="J21" s="9">
        <f>J20+5</f>
        <v>65</v>
      </c>
      <c r="K21" s="9"/>
      <c r="L21" s="9"/>
      <c r="M21" s="9"/>
      <c r="N21" s="2"/>
      <c r="O21" s="2"/>
    </row>
    <row r="22" spans="1:15" s="1" customFormat="1" ht="14.25" x14ac:dyDescent="0.2">
      <c r="A22" s="16"/>
      <c r="B22" s="20">
        <f t="shared" si="1"/>
        <v>7</v>
      </c>
      <c r="C22" s="9">
        <f t="shared" si="5"/>
        <v>0</v>
      </c>
      <c r="D22" s="18" t="s">
        <v>48</v>
      </c>
      <c r="E22" s="9"/>
      <c r="F22" s="9">
        <f t="shared" si="0"/>
        <v>0</v>
      </c>
      <c r="J22" s="9">
        <f t="shared" ref="J22:J26" si="6">J21+5</f>
        <v>70</v>
      </c>
      <c r="K22" s="9"/>
      <c r="L22" s="9"/>
      <c r="M22" s="9"/>
      <c r="N22" s="2"/>
      <c r="O22" s="2"/>
    </row>
    <row r="23" spans="1:15" s="1" customFormat="1" ht="14.25" x14ac:dyDescent="0.2">
      <c r="A23" s="16"/>
      <c r="B23" s="20">
        <f t="shared" si="1"/>
        <v>6</v>
      </c>
      <c r="C23" s="9">
        <f t="shared" si="5"/>
        <v>0</v>
      </c>
      <c r="D23" s="18" t="s">
        <v>48</v>
      </c>
      <c r="E23" s="9"/>
      <c r="F23" s="9">
        <f t="shared" si="0"/>
        <v>0</v>
      </c>
      <c r="J23" s="9">
        <f t="shared" si="6"/>
        <v>75</v>
      </c>
      <c r="K23" s="9"/>
      <c r="L23" s="9"/>
      <c r="M23" s="9"/>
      <c r="N23" s="2"/>
      <c r="O23" s="2"/>
    </row>
    <row r="24" spans="1:15" s="1" customFormat="1" ht="14.25" x14ac:dyDescent="0.2">
      <c r="A24" s="16"/>
      <c r="B24" s="20">
        <f t="shared" si="1"/>
        <v>5</v>
      </c>
      <c r="C24" s="9">
        <f t="shared" si="5"/>
        <v>0</v>
      </c>
      <c r="D24" s="18" t="s">
        <v>48</v>
      </c>
      <c r="E24" s="9"/>
      <c r="F24" s="9">
        <f t="shared" si="0"/>
        <v>0</v>
      </c>
      <c r="J24" s="9">
        <f t="shared" si="6"/>
        <v>80</v>
      </c>
      <c r="K24" s="9"/>
      <c r="L24" s="9"/>
      <c r="M24" s="9"/>
    </row>
    <row r="25" spans="1:15" s="1" customFormat="1" ht="14.25" x14ac:dyDescent="0.2">
      <c r="A25" s="16"/>
      <c r="B25" s="20">
        <f t="shared" si="1"/>
        <v>4</v>
      </c>
      <c r="C25" s="9">
        <f t="shared" si="5"/>
        <v>0</v>
      </c>
      <c r="D25" s="18" t="s">
        <v>48</v>
      </c>
      <c r="E25" s="9"/>
      <c r="F25" s="9">
        <f t="shared" si="0"/>
        <v>0</v>
      </c>
      <c r="J25" s="9">
        <f t="shared" si="6"/>
        <v>85</v>
      </c>
      <c r="K25" s="9"/>
      <c r="L25" s="9"/>
      <c r="M25" s="9"/>
    </row>
    <row r="26" spans="1:15" s="1" customFormat="1" ht="14.25" x14ac:dyDescent="0.2">
      <c r="A26" s="16"/>
      <c r="B26" s="20">
        <f t="shared" si="1"/>
        <v>3</v>
      </c>
      <c r="C26" s="9">
        <f t="shared" si="5"/>
        <v>0</v>
      </c>
      <c r="D26" s="18" t="s">
        <v>48</v>
      </c>
      <c r="E26" s="9"/>
      <c r="F26" s="9">
        <f t="shared" si="0"/>
        <v>0</v>
      </c>
      <c r="J26" s="9">
        <f t="shared" si="6"/>
        <v>90</v>
      </c>
      <c r="K26" s="9"/>
      <c r="L26" s="9"/>
      <c r="M26" s="9"/>
    </row>
    <row r="27" spans="1:15" s="1" customFormat="1" x14ac:dyDescent="0.25">
      <c r="A27" s="16" t="s">
        <v>41</v>
      </c>
      <c r="B27" s="20">
        <f t="shared" si="1"/>
        <v>2</v>
      </c>
      <c r="C27" s="9">
        <f t="shared" si="5"/>
        <v>0</v>
      </c>
      <c r="D27" s="18" t="s">
        <v>48</v>
      </c>
      <c r="E27" s="9"/>
      <c r="F27" s="9">
        <f t="shared" si="0"/>
        <v>0</v>
      </c>
      <c r="J27"/>
      <c r="K27"/>
      <c r="L27"/>
      <c r="M27"/>
    </row>
    <row r="28" spans="1:15" s="1" customFormat="1" x14ac:dyDescent="0.25">
      <c r="A28" s="16"/>
      <c r="B28" s="20">
        <f t="shared" si="1"/>
        <v>1</v>
      </c>
      <c r="C28" s="9">
        <v>0</v>
      </c>
      <c r="D28" s="18" t="s">
        <v>48</v>
      </c>
      <c r="E28" s="9"/>
      <c r="F28" s="9">
        <v>0</v>
      </c>
      <c r="J28"/>
      <c r="K28"/>
      <c r="L28"/>
      <c r="M28"/>
    </row>
    <row r="29" spans="1:15" s="1" customFormat="1" x14ac:dyDescent="0.25">
      <c r="A29" s="16"/>
      <c r="B29" s="2"/>
      <c r="C29" s="24">
        <f>SUM(C4:C27)</f>
        <v>4</v>
      </c>
      <c r="D29" s="23" t="s">
        <v>49</v>
      </c>
      <c r="E29" s="2"/>
      <c r="F29" s="27">
        <f t="array" ref="F29">SUM(C4:C27*F4:F27)</f>
        <v>0.5</v>
      </c>
      <c r="G29" s="1" t="s">
        <v>56</v>
      </c>
      <c r="J29"/>
      <c r="K29"/>
      <c r="L29"/>
      <c r="M29"/>
    </row>
    <row r="30" spans="1:15" x14ac:dyDescent="0.25">
      <c r="J30"/>
      <c r="K30"/>
      <c r="L30"/>
      <c r="M30"/>
    </row>
    <row r="31" spans="1:15" s="1" customFormat="1" ht="14.25" x14ac:dyDescent="0.2">
      <c r="A31" s="16"/>
      <c r="B31" s="2"/>
      <c r="C31" s="25">
        <v>0</v>
      </c>
      <c r="D31" s="25">
        <v>1</v>
      </c>
      <c r="E31" s="25">
        <v>2</v>
      </c>
      <c r="F31" s="25">
        <v>3</v>
      </c>
    </row>
    <row r="35" spans="4:6" s="1" customFormat="1" x14ac:dyDescent="0.25">
      <c r="D35" s="7" t="s">
        <v>35</v>
      </c>
      <c r="E35" s="7" t="s">
        <v>37</v>
      </c>
      <c r="F35" s="2"/>
    </row>
    <row r="36" spans="4:6" s="1" customFormat="1" ht="14.25" x14ac:dyDescent="0.2">
      <c r="D36" s="8"/>
      <c r="E36" s="8" t="s">
        <v>23</v>
      </c>
      <c r="F36" s="2"/>
    </row>
    <row r="37" spans="4:6" s="1" customFormat="1" ht="14.25" x14ac:dyDescent="0.2">
      <c r="D37" s="9" t="str">
        <f>Properties!A10</f>
        <v>T300/N5208</v>
      </c>
      <c r="E37" s="9">
        <f>Properties!M10</f>
        <v>0.125</v>
      </c>
      <c r="F37" s="2"/>
    </row>
    <row r="38" spans="4:6" s="1" customFormat="1" ht="14.25" x14ac:dyDescent="0.2">
      <c r="D38" s="9" t="str">
        <f>Properties!A11</f>
        <v>AS/H3501</v>
      </c>
      <c r="E38" s="9">
        <f>Properties!M11</f>
        <v>0.125</v>
      </c>
      <c r="F38" s="2"/>
    </row>
    <row r="39" spans="4:6" s="1" customFormat="1" ht="14.25" x14ac:dyDescent="0.2">
      <c r="D39" s="9" t="str">
        <f>Properties!A12</f>
        <v>E-glass/Epoxy</v>
      </c>
      <c r="E39" s="9">
        <f>Properties!M12</f>
        <v>0.125</v>
      </c>
      <c r="F39" s="2"/>
    </row>
    <row r="40" spans="4:6" s="1" customFormat="1" ht="14.25" x14ac:dyDescent="0.2">
      <c r="D40" s="9" t="str">
        <f>Properties!A13</f>
        <v>Kev49/Epoxy</v>
      </c>
      <c r="E40" s="9">
        <f>Properties!M13</f>
        <v>0.125</v>
      </c>
      <c r="F40" s="2"/>
    </row>
    <row r="41" spans="4:6" s="1" customFormat="1" ht="14.25" x14ac:dyDescent="0.2">
      <c r="D41" s="9" t="str">
        <f>Properties!A14</f>
        <v>AS4/PEEK</v>
      </c>
      <c r="E41" s="9">
        <f>Properties!M14</f>
        <v>0.125</v>
      </c>
      <c r="F41" s="2"/>
    </row>
    <row r="42" spans="4:6" s="1" customFormat="1" ht="14.25" x14ac:dyDescent="0.2">
      <c r="D42" s="9" t="str">
        <f>Properties!A17</f>
        <v>CORE</v>
      </c>
      <c r="E42" s="9">
        <f>Properties!M17</f>
        <v>3.1749999999999998</v>
      </c>
      <c r="F42" s="15" t="s">
        <v>39</v>
      </c>
    </row>
    <row r="43" spans="4:6" s="1" customFormat="1" ht="14.25" x14ac:dyDescent="0.2">
      <c r="D43" s="9" t="s">
        <v>48</v>
      </c>
      <c r="E43" s="9"/>
      <c r="F43" s="2"/>
    </row>
  </sheetData>
  <dataValidations count="1">
    <dataValidation type="list" allowBlank="1" showInputMessage="1" showErrorMessage="1" sqref="D4:D28">
      <formula1>$D$37:$D$43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100" workbookViewId="0">
      <selection activeCell="E13" sqref="E13"/>
    </sheetView>
  </sheetViews>
  <sheetFormatPr defaultRowHeight="15" x14ac:dyDescent="0.25"/>
  <cols>
    <col min="1" max="1" width="15.7109375" style="16" customWidth="1"/>
    <col min="2" max="2" width="8" style="2" customWidth="1"/>
    <col min="3" max="3" width="9.140625" style="2"/>
    <col min="4" max="4" width="15.28515625" style="2" customWidth="1"/>
    <col min="5" max="5" width="17.42578125" style="2" customWidth="1"/>
    <col min="6" max="6" width="20" style="2" customWidth="1"/>
    <col min="7" max="18" width="9.140625" style="1"/>
  </cols>
  <sheetData>
    <row r="1" spans="1:8" s="1" customFormat="1" ht="14.25" x14ac:dyDescent="0.2">
      <c r="A1" s="16"/>
      <c r="B1" s="2"/>
      <c r="C1" s="15" t="s">
        <v>47</v>
      </c>
      <c r="D1" s="2"/>
      <c r="E1" s="2"/>
      <c r="F1" s="2"/>
    </row>
    <row r="2" spans="1:8" s="1" customFormat="1" x14ac:dyDescent="0.25">
      <c r="A2" s="16"/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</row>
    <row r="3" spans="1:8" s="1" customFormat="1" ht="14.25" x14ac:dyDescent="0.2">
      <c r="A3" s="16"/>
      <c r="B3" s="8"/>
      <c r="C3" s="22"/>
      <c r="D3" s="22"/>
      <c r="E3" s="22" t="s">
        <v>40</v>
      </c>
      <c r="F3" s="22" t="s">
        <v>23</v>
      </c>
    </row>
    <row r="4" spans="1:8" s="1" customFormat="1" ht="14.25" x14ac:dyDescent="0.2">
      <c r="A4" s="16" t="s">
        <v>36</v>
      </c>
      <c r="B4" s="20">
        <v>25</v>
      </c>
      <c r="C4" s="9">
        <v>1</v>
      </c>
      <c r="D4" s="18" t="s">
        <v>4</v>
      </c>
      <c r="E4" s="9">
        <v>55</v>
      </c>
      <c r="F4" s="9">
        <f t="shared" ref="F4:F27" si="0">IF(C4=0,0,VLOOKUP(D4,$D$37:$E$43,2,FALSE))</f>
        <v>0.125</v>
      </c>
      <c r="H4" s="1">
        <f>E4*PI()/180</f>
        <v>0.95993108859688125</v>
      </c>
    </row>
    <row r="5" spans="1:8" s="1" customFormat="1" ht="14.25" x14ac:dyDescent="0.2">
      <c r="A5" s="16"/>
      <c r="B5" s="20">
        <f t="shared" ref="B5:B28" si="1">B4-1</f>
        <v>24</v>
      </c>
      <c r="C5" s="9">
        <v>1</v>
      </c>
      <c r="D5" s="18" t="s">
        <v>4</v>
      </c>
      <c r="E5" s="9">
        <v>-25</v>
      </c>
      <c r="F5" s="9">
        <f t="shared" si="0"/>
        <v>0.125</v>
      </c>
      <c r="H5" s="1">
        <f t="shared" ref="H5:H14" si="2">E5*PI()/180</f>
        <v>-0.43633231299858238</v>
      </c>
    </row>
    <row r="6" spans="1:8" s="1" customFormat="1" ht="14.25" x14ac:dyDescent="0.2">
      <c r="A6" s="16"/>
      <c r="B6" s="20">
        <f t="shared" si="1"/>
        <v>23</v>
      </c>
      <c r="C6" s="9">
        <v>1</v>
      </c>
      <c r="D6" s="18" t="s">
        <v>4</v>
      </c>
      <c r="E6" s="9">
        <v>-55</v>
      </c>
      <c r="F6" s="9">
        <f t="shared" si="0"/>
        <v>0.125</v>
      </c>
      <c r="H6" s="1">
        <f t="shared" si="2"/>
        <v>-0.95993108859688125</v>
      </c>
    </row>
    <row r="7" spans="1:8" s="1" customFormat="1" ht="14.25" x14ac:dyDescent="0.2">
      <c r="A7" s="16"/>
      <c r="B7" s="20">
        <f t="shared" si="1"/>
        <v>22</v>
      </c>
      <c r="C7" s="9">
        <v>2</v>
      </c>
      <c r="D7" s="18" t="s">
        <v>4</v>
      </c>
      <c r="E7" s="9">
        <v>25</v>
      </c>
      <c r="F7" s="9">
        <f t="shared" si="0"/>
        <v>0.125</v>
      </c>
      <c r="H7" s="1">
        <f t="shared" si="2"/>
        <v>0.43633231299858238</v>
      </c>
    </row>
    <row r="8" spans="1:8" s="1" customFormat="1" ht="14.25" x14ac:dyDescent="0.2">
      <c r="A8" s="16"/>
      <c r="B8" s="20">
        <f t="shared" si="1"/>
        <v>21</v>
      </c>
      <c r="C8" s="9">
        <v>1</v>
      </c>
      <c r="D8" s="18" t="s">
        <v>4</v>
      </c>
      <c r="E8" s="9">
        <v>-55</v>
      </c>
      <c r="F8" s="9">
        <f t="shared" si="0"/>
        <v>0.125</v>
      </c>
      <c r="H8" s="1">
        <f t="shared" si="2"/>
        <v>-0.95993108859688125</v>
      </c>
    </row>
    <row r="9" spans="1:8" s="1" customFormat="1" ht="14.25" x14ac:dyDescent="0.2">
      <c r="A9" s="16"/>
      <c r="B9" s="20">
        <f t="shared" si="1"/>
        <v>20</v>
      </c>
      <c r="C9" s="9">
        <v>1</v>
      </c>
      <c r="D9" s="18" t="s">
        <v>4</v>
      </c>
      <c r="E9" s="9">
        <v>-25</v>
      </c>
      <c r="F9" s="9">
        <f t="shared" si="0"/>
        <v>0.125</v>
      </c>
      <c r="H9" s="1">
        <f t="shared" si="2"/>
        <v>-0.43633231299858238</v>
      </c>
    </row>
    <row r="10" spans="1:8" s="1" customFormat="1" ht="14.25" x14ac:dyDescent="0.2">
      <c r="A10" s="16"/>
      <c r="B10" s="20">
        <f t="shared" si="1"/>
        <v>19</v>
      </c>
      <c r="C10" s="9">
        <v>1</v>
      </c>
      <c r="D10" s="18" t="s">
        <v>4</v>
      </c>
      <c r="E10" s="9">
        <v>55</v>
      </c>
      <c r="F10" s="9">
        <f t="shared" si="0"/>
        <v>0.125</v>
      </c>
      <c r="H10" s="1">
        <f t="shared" si="2"/>
        <v>0.95993108859688125</v>
      </c>
    </row>
    <row r="11" spans="1:8" s="1" customFormat="1" ht="14.25" x14ac:dyDescent="0.2">
      <c r="A11" s="16"/>
      <c r="B11" s="20">
        <f t="shared" si="1"/>
        <v>18</v>
      </c>
      <c r="C11" s="9">
        <v>0</v>
      </c>
      <c r="D11" s="18" t="s">
        <v>4</v>
      </c>
      <c r="E11" s="9"/>
      <c r="F11" s="9">
        <f t="shared" si="0"/>
        <v>0</v>
      </c>
      <c r="H11" s="1">
        <f t="shared" si="2"/>
        <v>0</v>
      </c>
    </row>
    <row r="12" spans="1:8" s="1" customFormat="1" ht="14.25" x14ac:dyDescent="0.2">
      <c r="A12" s="16"/>
      <c r="B12" s="20">
        <f t="shared" si="1"/>
        <v>17</v>
      </c>
      <c r="C12" s="9">
        <v>0</v>
      </c>
      <c r="D12" s="18" t="s">
        <v>4</v>
      </c>
      <c r="E12" s="9"/>
      <c r="F12" s="9">
        <f t="shared" si="0"/>
        <v>0</v>
      </c>
      <c r="H12" s="1">
        <f t="shared" si="2"/>
        <v>0</v>
      </c>
    </row>
    <row r="13" spans="1:8" s="1" customFormat="1" ht="14.25" x14ac:dyDescent="0.2">
      <c r="A13" s="16"/>
      <c r="B13" s="20">
        <f t="shared" si="1"/>
        <v>16</v>
      </c>
      <c r="C13" s="9">
        <v>0</v>
      </c>
      <c r="D13" s="18" t="s">
        <v>4</v>
      </c>
      <c r="E13" s="9"/>
      <c r="F13" s="9">
        <f t="shared" si="0"/>
        <v>0</v>
      </c>
      <c r="H13" s="1">
        <f t="shared" si="2"/>
        <v>0</v>
      </c>
    </row>
    <row r="14" spans="1:8" s="1" customFormat="1" ht="14.25" x14ac:dyDescent="0.2">
      <c r="A14" s="16"/>
      <c r="B14" s="20">
        <f t="shared" si="1"/>
        <v>15</v>
      </c>
      <c r="C14" s="9">
        <v>0</v>
      </c>
      <c r="D14" s="18" t="s">
        <v>4</v>
      </c>
      <c r="E14" s="9"/>
      <c r="F14" s="9">
        <f t="shared" si="0"/>
        <v>0</v>
      </c>
      <c r="H14" s="1">
        <f t="shared" si="2"/>
        <v>0</v>
      </c>
    </row>
    <row r="15" spans="1:8" s="1" customFormat="1" ht="14.25" x14ac:dyDescent="0.2">
      <c r="A15" s="16"/>
      <c r="B15" s="20">
        <f t="shared" si="1"/>
        <v>14</v>
      </c>
      <c r="C15" s="9">
        <v>0</v>
      </c>
      <c r="D15" s="18" t="s">
        <v>4</v>
      </c>
      <c r="E15" s="9"/>
      <c r="F15" s="9">
        <f t="shared" si="0"/>
        <v>0</v>
      </c>
    </row>
    <row r="16" spans="1:8" s="1" customFormat="1" ht="14.25" x14ac:dyDescent="0.2">
      <c r="A16" s="16"/>
      <c r="B16" s="20">
        <f t="shared" si="1"/>
        <v>13</v>
      </c>
      <c r="C16" s="9">
        <v>0</v>
      </c>
      <c r="D16" s="18" t="s">
        <v>4</v>
      </c>
      <c r="E16" s="9"/>
      <c r="F16" s="9">
        <f t="shared" si="0"/>
        <v>0</v>
      </c>
    </row>
    <row r="17" spans="1:7" s="1" customFormat="1" ht="14.25" x14ac:dyDescent="0.2">
      <c r="A17" s="16"/>
      <c r="B17" s="20">
        <f t="shared" si="1"/>
        <v>12</v>
      </c>
      <c r="C17" s="9">
        <v>0</v>
      </c>
      <c r="D17" s="18" t="s">
        <v>4</v>
      </c>
      <c r="E17" s="9"/>
      <c r="F17" s="9">
        <f t="shared" si="0"/>
        <v>0</v>
      </c>
    </row>
    <row r="18" spans="1:7" s="1" customFormat="1" ht="14.25" x14ac:dyDescent="0.2">
      <c r="A18" s="16"/>
      <c r="B18" s="20">
        <f t="shared" si="1"/>
        <v>11</v>
      </c>
      <c r="C18" s="9">
        <f t="shared" ref="C18:C27" si="3">C17</f>
        <v>0</v>
      </c>
      <c r="D18" s="18" t="s">
        <v>4</v>
      </c>
      <c r="E18" s="9"/>
      <c r="F18" s="9">
        <f t="shared" si="0"/>
        <v>0</v>
      </c>
    </row>
    <row r="19" spans="1:7" s="1" customFormat="1" ht="14.25" x14ac:dyDescent="0.2">
      <c r="A19" s="16"/>
      <c r="B19" s="20">
        <f t="shared" si="1"/>
        <v>10</v>
      </c>
      <c r="C19" s="9">
        <f t="shared" si="3"/>
        <v>0</v>
      </c>
      <c r="D19" s="18" t="s">
        <v>4</v>
      </c>
      <c r="E19" s="9"/>
      <c r="F19" s="9">
        <f t="shared" si="0"/>
        <v>0</v>
      </c>
    </row>
    <row r="20" spans="1:7" s="1" customFormat="1" ht="14.25" x14ac:dyDescent="0.2">
      <c r="A20" s="16"/>
      <c r="B20" s="20">
        <f t="shared" si="1"/>
        <v>9</v>
      </c>
      <c r="C20" s="9">
        <f t="shared" si="3"/>
        <v>0</v>
      </c>
      <c r="D20" s="18" t="s">
        <v>4</v>
      </c>
      <c r="E20" s="9"/>
      <c r="F20" s="9">
        <f t="shared" si="0"/>
        <v>0</v>
      </c>
    </row>
    <row r="21" spans="1:7" s="1" customFormat="1" ht="14.25" x14ac:dyDescent="0.2">
      <c r="A21" s="16"/>
      <c r="B21" s="20">
        <f t="shared" si="1"/>
        <v>8</v>
      </c>
      <c r="C21" s="9">
        <f t="shared" si="3"/>
        <v>0</v>
      </c>
      <c r="D21" s="18" t="s">
        <v>48</v>
      </c>
      <c r="E21" s="9"/>
      <c r="F21" s="9">
        <f t="shared" si="0"/>
        <v>0</v>
      </c>
    </row>
    <row r="22" spans="1:7" s="1" customFormat="1" ht="14.25" x14ac:dyDescent="0.2">
      <c r="A22" s="16"/>
      <c r="B22" s="20">
        <f t="shared" si="1"/>
        <v>7</v>
      </c>
      <c r="C22" s="9">
        <f t="shared" si="3"/>
        <v>0</v>
      </c>
      <c r="D22" s="18" t="s">
        <v>48</v>
      </c>
      <c r="E22" s="9"/>
      <c r="F22" s="9">
        <f t="shared" si="0"/>
        <v>0</v>
      </c>
    </row>
    <row r="23" spans="1:7" s="1" customFormat="1" ht="14.25" x14ac:dyDescent="0.2">
      <c r="A23" s="16"/>
      <c r="B23" s="20">
        <f t="shared" si="1"/>
        <v>6</v>
      </c>
      <c r="C23" s="9">
        <f t="shared" si="3"/>
        <v>0</v>
      </c>
      <c r="D23" s="18" t="s">
        <v>48</v>
      </c>
      <c r="E23" s="9"/>
      <c r="F23" s="9">
        <f t="shared" si="0"/>
        <v>0</v>
      </c>
    </row>
    <row r="24" spans="1:7" s="1" customFormat="1" ht="14.25" x14ac:dyDescent="0.2">
      <c r="A24" s="16"/>
      <c r="B24" s="20">
        <f t="shared" si="1"/>
        <v>5</v>
      </c>
      <c r="C24" s="9">
        <f t="shared" si="3"/>
        <v>0</v>
      </c>
      <c r="D24" s="18" t="s">
        <v>48</v>
      </c>
      <c r="E24" s="9"/>
      <c r="F24" s="9">
        <f t="shared" si="0"/>
        <v>0</v>
      </c>
    </row>
    <row r="25" spans="1:7" s="1" customFormat="1" ht="14.25" x14ac:dyDescent="0.2">
      <c r="A25" s="16"/>
      <c r="B25" s="20">
        <f t="shared" si="1"/>
        <v>4</v>
      </c>
      <c r="C25" s="9">
        <f t="shared" si="3"/>
        <v>0</v>
      </c>
      <c r="D25" s="18" t="s">
        <v>48</v>
      </c>
      <c r="E25" s="9"/>
      <c r="F25" s="9">
        <f t="shared" si="0"/>
        <v>0</v>
      </c>
    </row>
    <row r="26" spans="1:7" s="1" customFormat="1" ht="14.25" x14ac:dyDescent="0.2">
      <c r="A26" s="16"/>
      <c r="B26" s="20">
        <f t="shared" si="1"/>
        <v>3</v>
      </c>
      <c r="C26" s="9">
        <f t="shared" si="3"/>
        <v>0</v>
      </c>
      <c r="D26" s="18" t="s">
        <v>48</v>
      </c>
      <c r="E26" s="9"/>
      <c r="F26" s="9">
        <f t="shared" si="0"/>
        <v>0</v>
      </c>
    </row>
    <row r="27" spans="1:7" s="1" customFormat="1" ht="14.25" x14ac:dyDescent="0.2">
      <c r="A27" s="16" t="s">
        <v>41</v>
      </c>
      <c r="B27" s="20">
        <f t="shared" si="1"/>
        <v>2</v>
      </c>
      <c r="C27" s="9">
        <f t="shared" si="3"/>
        <v>0</v>
      </c>
      <c r="D27" s="18" t="s">
        <v>48</v>
      </c>
      <c r="E27" s="9"/>
      <c r="F27" s="9">
        <f t="shared" si="0"/>
        <v>0</v>
      </c>
    </row>
    <row r="28" spans="1:7" s="1" customFormat="1" ht="14.25" x14ac:dyDescent="0.2">
      <c r="A28" s="16"/>
      <c r="B28" s="20">
        <f t="shared" si="1"/>
        <v>1</v>
      </c>
      <c r="C28" s="9">
        <v>0</v>
      </c>
      <c r="D28" s="18" t="s">
        <v>48</v>
      </c>
      <c r="E28" s="9"/>
      <c r="F28" s="9">
        <v>0</v>
      </c>
    </row>
    <row r="29" spans="1:7" s="1" customFormat="1" ht="14.25" x14ac:dyDescent="0.2">
      <c r="A29" s="16"/>
      <c r="B29" s="2"/>
      <c r="C29" s="24">
        <f>SUM(C4:C27)</f>
        <v>8</v>
      </c>
      <c r="D29" s="23" t="s">
        <v>49</v>
      </c>
      <c r="E29" s="2"/>
      <c r="F29" s="27">
        <f t="array" ref="F29">SUM(C4:C27*F4:F27)</f>
        <v>1</v>
      </c>
      <c r="G29" s="1" t="s">
        <v>56</v>
      </c>
    </row>
    <row r="31" spans="1:7" s="1" customFormat="1" ht="14.25" x14ac:dyDescent="0.2">
      <c r="A31" s="16"/>
      <c r="B31" s="2"/>
      <c r="C31" s="25">
        <v>0</v>
      </c>
      <c r="D31" s="25">
        <v>1</v>
      </c>
      <c r="E31" s="25">
        <v>2</v>
      </c>
      <c r="F31" s="25">
        <v>3</v>
      </c>
    </row>
    <row r="35" spans="4:6" s="1" customFormat="1" x14ac:dyDescent="0.25">
      <c r="D35" s="7" t="s">
        <v>35</v>
      </c>
      <c r="E35" s="7" t="s">
        <v>37</v>
      </c>
      <c r="F35" s="2"/>
    </row>
    <row r="36" spans="4:6" s="1" customFormat="1" ht="14.25" x14ac:dyDescent="0.2">
      <c r="D36" s="8"/>
      <c r="E36" s="8" t="s">
        <v>23</v>
      </c>
      <c r="F36" s="2"/>
    </row>
    <row r="37" spans="4:6" s="1" customFormat="1" ht="14.25" x14ac:dyDescent="0.2">
      <c r="D37" s="9" t="str">
        <f>Properties!A10</f>
        <v>T300/N5208</v>
      </c>
      <c r="E37" s="9">
        <f>Properties!M10</f>
        <v>0.125</v>
      </c>
      <c r="F37" s="2"/>
    </row>
    <row r="38" spans="4:6" s="1" customFormat="1" ht="14.25" x14ac:dyDescent="0.2">
      <c r="D38" s="9" t="str">
        <f>Properties!A11</f>
        <v>AS/H3501</v>
      </c>
      <c r="E38" s="9">
        <f>Properties!M11</f>
        <v>0.125</v>
      </c>
      <c r="F38" s="2"/>
    </row>
    <row r="39" spans="4:6" s="1" customFormat="1" ht="14.25" x14ac:dyDescent="0.2">
      <c r="D39" s="9" t="str">
        <f>Properties!A12</f>
        <v>E-glass/Epoxy</v>
      </c>
      <c r="E39" s="9">
        <f>Properties!M12</f>
        <v>0.125</v>
      </c>
      <c r="F39" s="2"/>
    </row>
    <row r="40" spans="4:6" s="1" customFormat="1" ht="14.25" x14ac:dyDescent="0.2">
      <c r="D40" s="9" t="str">
        <f>Properties!A13</f>
        <v>Kev49/Epoxy</v>
      </c>
      <c r="E40" s="9">
        <f>Properties!M13</f>
        <v>0.125</v>
      </c>
      <c r="F40" s="2"/>
    </row>
    <row r="41" spans="4:6" s="1" customFormat="1" ht="14.25" x14ac:dyDescent="0.2">
      <c r="D41" s="9" t="str">
        <f>Properties!A14</f>
        <v>AS4/PEEK</v>
      </c>
      <c r="E41" s="9">
        <f>Properties!M14</f>
        <v>0.125</v>
      </c>
      <c r="F41" s="2"/>
    </row>
    <row r="42" spans="4:6" s="1" customFormat="1" ht="14.25" x14ac:dyDescent="0.2">
      <c r="D42" s="9" t="str">
        <f>Properties!A17</f>
        <v>CORE</v>
      </c>
      <c r="E42" s="9">
        <f>Properties!M17</f>
        <v>3.1749999999999998</v>
      </c>
      <c r="F42" s="15" t="s">
        <v>39</v>
      </c>
    </row>
    <row r="43" spans="4:6" s="1" customFormat="1" ht="14.25" x14ac:dyDescent="0.2">
      <c r="D43" s="9" t="s">
        <v>48</v>
      </c>
      <c r="E43" s="9"/>
      <c r="F43" s="2"/>
    </row>
  </sheetData>
  <dataValidations count="1">
    <dataValidation type="list" allowBlank="1" showInputMessage="1" showErrorMessage="1" sqref="D4:D28">
      <formula1>$D$37:$D$43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100" workbookViewId="0">
      <selection activeCell="E12" sqref="E12"/>
    </sheetView>
  </sheetViews>
  <sheetFormatPr defaultRowHeight="15" x14ac:dyDescent="0.25"/>
  <cols>
    <col min="1" max="1" width="15.7109375" style="16" customWidth="1"/>
    <col min="2" max="2" width="8" style="2" customWidth="1"/>
    <col min="3" max="3" width="9.140625" style="2"/>
    <col min="4" max="4" width="15.28515625" style="2" customWidth="1"/>
    <col min="5" max="5" width="17.42578125" style="2" customWidth="1"/>
    <col min="6" max="6" width="20" style="2" customWidth="1"/>
    <col min="7" max="18" width="9.140625" style="1"/>
  </cols>
  <sheetData>
    <row r="1" spans="1:8" s="1" customFormat="1" ht="14.25" x14ac:dyDescent="0.2">
      <c r="A1" s="16"/>
      <c r="B1" s="2"/>
      <c r="C1" s="15" t="s">
        <v>47</v>
      </c>
      <c r="D1" s="2"/>
      <c r="E1" s="2"/>
      <c r="F1" s="2"/>
    </row>
    <row r="2" spans="1:8" s="1" customFormat="1" x14ac:dyDescent="0.25">
      <c r="A2" s="16"/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</row>
    <row r="3" spans="1:8" s="1" customFormat="1" ht="14.25" x14ac:dyDescent="0.2">
      <c r="A3" s="16"/>
      <c r="B3" s="8"/>
      <c r="C3" s="22"/>
      <c r="D3" s="22"/>
      <c r="E3" s="22" t="s">
        <v>40</v>
      </c>
      <c r="F3" s="22" t="s">
        <v>23</v>
      </c>
    </row>
    <row r="4" spans="1:8" s="1" customFormat="1" ht="14.25" x14ac:dyDescent="0.2">
      <c r="A4" s="16" t="s">
        <v>36</v>
      </c>
      <c r="B4" s="20">
        <v>25</v>
      </c>
      <c r="C4" s="9">
        <v>2</v>
      </c>
      <c r="D4" s="18" t="s">
        <v>7</v>
      </c>
      <c r="E4" s="9">
        <v>0</v>
      </c>
      <c r="F4" s="9">
        <f t="shared" ref="F4:F27" si="0">IF(C4=0,0,VLOOKUP(D4,$D$37:$E$43,2,FALSE))</f>
        <v>0.125</v>
      </c>
      <c r="H4" s="1">
        <f>E4*PI()/180</f>
        <v>0</v>
      </c>
    </row>
    <row r="5" spans="1:8" s="1" customFormat="1" ht="14.25" x14ac:dyDescent="0.2">
      <c r="A5" s="16"/>
      <c r="B5" s="20">
        <f t="shared" ref="B5:B28" si="1">B4-1</f>
        <v>24</v>
      </c>
      <c r="C5" s="9">
        <v>1</v>
      </c>
      <c r="D5" s="18" t="s">
        <v>7</v>
      </c>
      <c r="E5" s="9">
        <v>25</v>
      </c>
      <c r="F5" s="9">
        <f t="shared" si="0"/>
        <v>0.125</v>
      </c>
      <c r="H5" s="1">
        <f t="shared" ref="H5:H11" si="2">E5*PI()/180</f>
        <v>0.43633231299858238</v>
      </c>
    </row>
    <row r="6" spans="1:8" s="1" customFormat="1" ht="14.25" x14ac:dyDescent="0.2">
      <c r="A6" s="16"/>
      <c r="B6" s="20">
        <f t="shared" si="1"/>
        <v>23</v>
      </c>
      <c r="C6" s="9">
        <v>1</v>
      </c>
      <c r="D6" s="18" t="s">
        <v>7</v>
      </c>
      <c r="E6" s="9">
        <v>-25</v>
      </c>
      <c r="F6" s="9">
        <f t="shared" si="0"/>
        <v>0.125</v>
      </c>
      <c r="H6" s="1">
        <f t="shared" si="2"/>
        <v>-0.43633231299858238</v>
      </c>
    </row>
    <row r="7" spans="1:8" s="1" customFormat="1" ht="14.25" x14ac:dyDescent="0.2">
      <c r="A7" s="16"/>
      <c r="B7" s="20">
        <f t="shared" si="1"/>
        <v>22</v>
      </c>
      <c r="C7" s="9">
        <v>2</v>
      </c>
      <c r="D7" s="18" t="s">
        <v>7</v>
      </c>
      <c r="E7" s="9">
        <v>0</v>
      </c>
      <c r="F7" s="9">
        <f t="shared" si="0"/>
        <v>0.125</v>
      </c>
      <c r="H7" s="1">
        <f t="shared" si="2"/>
        <v>0</v>
      </c>
    </row>
    <row r="8" spans="1:8" s="1" customFormat="1" ht="14.25" x14ac:dyDescent="0.2">
      <c r="A8" s="16"/>
      <c r="B8" s="20">
        <f t="shared" si="1"/>
        <v>21</v>
      </c>
      <c r="C8" s="9">
        <v>1</v>
      </c>
      <c r="D8" s="18" t="s">
        <v>38</v>
      </c>
      <c r="E8" s="9">
        <v>0</v>
      </c>
      <c r="F8" s="9">
        <f t="shared" si="0"/>
        <v>3.1749999999999998</v>
      </c>
      <c r="H8" s="1">
        <f t="shared" si="2"/>
        <v>0</v>
      </c>
    </row>
    <row r="9" spans="1:8" s="1" customFormat="1" ht="14.25" x14ac:dyDescent="0.2">
      <c r="A9" s="16"/>
      <c r="B9" s="20">
        <f t="shared" si="1"/>
        <v>20</v>
      </c>
      <c r="C9" s="9">
        <v>2</v>
      </c>
      <c r="D9" s="18" t="s">
        <v>7</v>
      </c>
      <c r="E9" s="9">
        <v>0</v>
      </c>
      <c r="F9" s="9">
        <f t="shared" si="0"/>
        <v>0.125</v>
      </c>
      <c r="H9" s="1">
        <f t="shared" si="2"/>
        <v>0</v>
      </c>
    </row>
    <row r="10" spans="1:8" s="1" customFormat="1" ht="14.25" x14ac:dyDescent="0.2">
      <c r="A10" s="16"/>
      <c r="B10" s="20">
        <f t="shared" si="1"/>
        <v>19</v>
      </c>
      <c r="C10" s="9">
        <v>1</v>
      </c>
      <c r="D10" s="18" t="s">
        <v>7</v>
      </c>
      <c r="E10" s="9">
        <v>-25</v>
      </c>
      <c r="F10" s="9">
        <f t="shared" si="0"/>
        <v>0.125</v>
      </c>
      <c r="H10" s="1">
        <f t="shared" si="2"/>
        <v>-0.43633231299858238</v>
      </c>
    </row>
    <row r="11" spans="1:8" s="1" customFormat="1" ht="14.25" x14ac:dyDescent="0.2">
      <c r="A11" s="16"/>
      <c r="B11" s="20">
        <f t="shared" si="1"/>
        <v>18</v>
      </c>
      <c r="C11" s="9">
        <v>1</v>
      </c>
      <c r="D11" s="18" t="s">
        <v>7</v>
      </c>
      <c r="E11" s="9">
        <v>25</v>
      </c>
      <c r="F11" s="9">
        <f t="shared" si="0"/>
        <v>0.125</v>
      </c>
      <c r="H11" s="1">
        <f t="shared" si="2"/>
        <v>0.43633231299858238</v>
      </c>
    </row>
    <row r="12" spans="1:8" s="1" customFormat="1" ht="14.25" x14ac:dyDescent="0.2">
      <c r="A12" s="16"/>
      <c r="B12" s="20">
        <f t="shared" si="1"/>
        <v>17</v>
      </c>
      <c r="C12" s="9">
        <v>2</v>
      </c>
      <c r="D12" s="18" t="s">
        <v>7</v>
      </c>
      <c r="E12" s="9">
        <v>0</v>
      </c>
      <c r="F12" s="9">
        <f t="shared" si="0"/>
        <v>0.125</v>
      </c>
    </row>
    <row r="13" spans="1:8" s="1" customFormat="1" ht="14.25" x14ac:dyDescent="0.2">
      <c r="A13" s="16"/>
      <c r="B13" s="20">
        <f t="shared" si="1"/>
        <v>16</v>
      </c>
      <c r="C13" s="9">
        <v>0</v>
      </c>
      <c r="D13" s="18" t="s">
        <v>48</v>
      </c>
      <c r="E13" s="9"/>
      <c r="F13" s="9">
        <f t="shared" si="0"/>
        <v>0</v>
      </c>
    </row>
    <row r="14" spans="1:8" s="1" customFormat="1" ht="14.25" x14ac:dyDescent="0.2">
      <c r="A14" s="16"/>
      <c r="B14" s="20">
        <f t="shared" si="1"/>
        <v>15</v>
      </c>
      <c r="C14" s="9">
        <v>0</v>
      </c>
      <c r="D14" s="18" t="s">
        <v>48</v>
      </c>
      <c r="E14" s="9"/>
      <c r="F14" s="9">
        <f t="shared" si="0"/>
        <v>0</v>
      </c>
    </row>
    <row r="15" spans="1:8" s="1" customFormat="1" ht="14.25" x14ac:dyDescent="0.2">
      <c r="A15" s="16"/>
      <c r="B15" s="20">
        <f t="shared" si="1"/>
        <v>14</v>
      </c>
      <c r="C15" s="9">
        <v>0</v>
      </c>
      <c r="D15" s="18" t="s">
        <v>48</v>
      </c>
      <c r="E15" s="9"/>
      <c r="F15" s="9">
        <f t="shared" si="0"/>
        <v>0</v>
      </c>
    </row>
    <row r="16" spans="1:8" s="1" customFormat="1" ht="14.25" x14ac:dyDescent="0.2">
      <c r="A16" s="16"/>
      <c r="B16" s="20">
        <f t="shared" si="1"/>
        <v>13</v>
      </c>
      <c r="C16" s="9">
        <v>0</v>
      </c>
      <c r="D16" s="18" t="s">
        <v>48</v>
      </c>
      <c r="E16" s="9"/>
      <c r="F16" s="9">
        <f t="shared" si="0"/>
        <v>0</v>
      </c>
    </row>
    <row r="17" spans="1:7" s="1" customFormat="1" ht="14.25" x14ac:dyDescent="0.2">
      <c r="A17" s="16"/>
      <c r="B17" s="20">
        <f t="shared" si="1"/>
        <v>12</v>
      </c>
      <c r="C17" s="9">
        <v>0</v>
      </c>
      <c r="D17" s="18" t="s">
        <v>48</v>
      </c>
      <c r="E17" s="9"/>
      <c r="F17" s="9">
        <f t="shared" si="0"/>
        <v>0</v>
      </c>
    </row>
    <row r="18" spans="1:7" s="1" customFormat="1" ht="14.25" x14ac:dyDescent="0.2">
      <c r="A18" s="16"/>
      <c r="B18" s="20">
        <f t="shared" si="1"/>
        <v>11</v>
      </c>
      <c r="C18" s="9">
        <f t="shared" ref="C18:C27" si="3">C17</f>
        <v>0</v>
      </c>
      <c r="D18" s="18" t="s">
        <v>48</v>
      </c>
      <c r="E18" s="9"/>
      <c r="F18" s="9">
        <f t="shared" si="0"/>
        <v>0</v>
      </c>
    </row>
    <row r="19" spans="1:7" s="1" customFormat="1" ht="14.25" x14ac:dyDescent="0.2">
      <c r="A19" s="16"/>
      <c r="B19" s="20">
        <f t="shared" si="1"/>
        <v>10</v>
      </c>
      <c r="C19" s="9">
        <f t="shared" si="3"/>
        <v>0</v>
      </c>
      <c r="D19" s="18" t="s">
        <v>48</v>
      </c>
      <c r="E19" s="9"/>
      <c r="F19" s="9">
        <f t="shared" si="0"/>
        <v>0</v>
      </c>
    </row>
    <row r="20" spans="1:7" s="1" customFormat="1" ht="14.25" x14ac:dyDescent="0.2">
      <c r="A20" s="16"/>
      <c r="B20" s="20">
        <f t="shared" si="1"/>
        <v>9</v>
      </c>
      <c r="C20" s="9">
        <f t="shared" si="3"/>
        <v>0</v>
      </c>
      <c r="D20" s="18" t="s">
        <v>48</v>
      </c>
      <c r="E20" s="9"/>
      <c r="F20" s="9">
        <f t="shared" si="0"/>
        <v>0</v>
      </c>
    </row>
    <row r="21" spans="1:7" s="1" customFormat="1" ht="14.25" x14ac:dyDescent="0.2">
      <c r="A21" s="16"/>
      <c r="B21" s="20">
        <f t="shared" si="1"/>
        <v>8</v>
      </c>
      <c r="C21" s="9">
        <f t="shared" si="3"/>
        <v>0</v>
      </c>
      <c r="D21" s="18" t="s">
        <v>48</v>
      </c>
      <c r="E21" s="9"/>
      <c r="F21" s="9">
        <f t="shared" si="0"/>
        <v>0</v>
      </c>
    </row>
    <row r="22" spans="1:7" s="1" customFormat="1" ht="14.25" x14ac:dyDescent="0.2">
      <c r="A22" s="16"/>
      <c r="B22" s="20">
        <f t="shared" si="1"/>
        <v>7</v>
      </c>
      <c r="C22" s="9">
        <f t="shared" si="3"/>
        <v>0</v>
      </c>
      <c r="D22" s="18" t="s">
        <v>48</v>
      </c>
      <c r="E22" s="9"/>
      <c r="F22" s="9">
        <f t="shared" si="0"/>
        <v>0</v>
      </c>
    </row>
    <row r="23" spans="1:7" s="1" customFormat="1" ht="14.25" x14ac:dyDescent="0.2">
      <c r="A23" s="16"/>
      <c r="B23" s="20">
        <f t="shared" si="1"/>
        <v>6</v>
      </c>
      <c r="C23" s="9">
        <f t="shared" si="3"/>
        <v>0</v>
      </c>
      <c r="D23" s="18" t="s">
        <v>48</v>
      </c>
      <c r="E23" s="9"/>
      <c r="F23" s="9">
        <f t="shared" si="0"/>
        <v>0</v>
      </c>
    </row>
    <row r="24" spans="1:7" s="1" customFormat="1" ht="14.25" x14ac:dyDescent="0.2">
      <c r="A24" s="16"/>
      <c r="B24" s="20">
        <f t="shared" si="1"/>
        <v>5</v>
      </c>
      <c r="C24" s="9">
        <f t="shared" si="3"/>
        <v>0</v>
      </c>
      <c r="D24" s="18" t="s">
        <v>48</v>
      </c>
      <c r="E24" s="9"/>
      <c r="F24" s="9">
        <f t="shared" si="0"/>
        <v>0</v>
      </c>
    </row>
    <row r="25" spans="1:7" s="1" customFormat="1" ht="14.25" x14ac:dyDescent="0.2">
      <c r="A25" s="16"/>
      <c r="B25" s="20">
        <f t="shared" si="1"/>
        <v>4</v>
      </c>
      <c r="C25" s="9">
        <f t="shared" si="3"/>
        <v>0</v>
      </c>
      <c r="D25" s="18" t="s">
        <v>48</v>
      </c>
      <c r="E25" s="9"/>
      <c r="F25" s="9">
        <f t="shared" si="0"/>
        <v>0</v>
      </c>
    </row>
    <row r="26" spans="1:7" s="1" customFormat="1" ht="14.25" x14ac:dyDescent="0.2">
      <c r="A26" s="16"/>
      <c r="B26" s="20">
        <f t="shared" si="1"/>
        <v>3</v>
      </c>
      <c r="C26" s="9">
        <f t="shared" si="3"/>
        <v>0</v>
      </c>
      <c r="D26" s="18" t="s">
        <v>48</v>
      </c>
      <c r="E26" s="9"/>
      <c r="F26" s="9">
        <f t="shared" si="0"/>
        <v>0</v>
      </c>
    </row>
    <row r="27" spans="1:7" s="1" customFormat="1" ht="14.25" x14ac:dyDescent="0.2">
      <c r="A27" s="16" t="s">
        <v>41</v>
      </c>
      <c r="B27" s="20">
        <f t="shared" si="1"/>
        <v>2</v>
      </c>
      <c r="C27" s="9">
        <f t="shared" si="3"/>
        <v>0</v>
      </c>
      <c r="D27" s="18" t="s">
        <v>48</v>
      </c>
      <c r="E27" s="9"/>
      <c r="F27" s="9">
        <f t="shared" si="0"/>
        <v>0</v>
      </c>
    </row>
    <row r="28" spans="1:7" s="1" customFormat="1" ht="14.25" x14ac:dyDescent="0.2">
      <c r="A28" s="16"/>
      <c r="B28" s="20">
        <f t="shared" si="1"/>
        <v>1</v>
      </c>
      <c r="C28" s="9">
        <v>0</v>
      </c>
      <c r="D28" s="18" t="s">
        <v>48</v>
      </c>
      <c r="E28" s="9"/>
      <c r="F28" s="9">
        <v>0</v>
      </c>
    </row>
    <row r="29" spans="1:7" s="1" customFormat="1" ht="14.25" x14ac:dyDescent="0.2">
      <c r="A29" s="16"/>
      <c r="B29" s="2"/>
      <c r="C29" s="24">
        <f>SUM(C4:C27)</f>
        <v>13</v>
      </c>
      <c r="D29" s="23" t="s">
        <v>49</v>
      </c>
      <c r="E29" s="2"/>
      <c r="F29" s="27">
        <f t="array" ref="F29">SUM(C4:C27*F4:F27)</f>
        <v>4.6749999999999998</v>
      </c>
      <c r="G29" s="1" t="s">
        <v>56</v>
      </c>
    </row>
    <row r="31" spans="1:7" s="1" customFormat="1" ht="14.25" x14ac:dyDescent="0.2">
      <c r="A31" s="16"/>
      <c r="B31" s="2"/>
      <c r="C31" s="25">
        <v>0</v>
      </c>
      <c r="D31" s="25">
        <v>1</v>
      </c>
      <c r="E31" s="25">
        <v>2</v>
      </c>
      <c r="F31" s="25">
        <v>3</v>
      </c>
    </row>
    <row r="35" spans="4:6" s="1" customFormat="1" x14ac:dyDescent="0.25">
      <c r="D35" s="7" t="s">
        <v>35</v>
      </c>
      <c r="E35" s="7" t="s">
        <v>37</v>
      </c>
      <c r="F35" s="2"/>
    </row>
    <row r="36" spans="4:6" s="1" customFormat="1" ht="14.25" x14ac:dyDescent="0.2">
      <c r="D36" s="8"/>
      <c r="E36" s="8" t="s">
        <v>23</v>
      </c>
      <c r="F36" s="2"/>
    </row>
    <row r="37" spans="4:6" s="1" customFormat="1" ht="14.25" x14ac:dyDescent="0.2">
      <c r="D37" s="9" t="str">
        <f>Properties!A10</f>
        <v>T300/N5208</v>
      </c>
      <c r="E37" s="9">
        <f>Properties!M10</f>
        <v>0.125</v>
      </c>
      <c r="F37" s="2"/>
    </row>
    <row r="38" spans="4:6" s="1" customFormat="1" ht="14.25" x14ac:dyDescent="0.2">
      <c r="D38" s="9" t="str">
        <f>Properties!A11</f>
        <v>AS/H3501</v>
      </c>
      <c r="E38" s="9">
        <f>Properties!M11</f>
        <v>0.125</v>
      </c>
      <c r="F38" s="2"/>
    </row>
    <row r="39" spans="4:6" s="1" customFormat="1" ht="14.25" x14ac:dyDescent="0.2">
      <c r="D39" s="9" t="str">
        <f>Properties!A12</f>
        <v>E-glass/Epoxy</v>
      </c>
      <c r="E39" s="9">
        <f>Properties!M12</f>
        <v>0.125</v>
      </c>
      <c r="F39" s="2"/>
    </row>
    <row r="40" spans="4:6" s="1" customFormat="1" ht="14.25" x14ac:dyDescent="0.2">
      <c r="D40" s="9" t="str">
        <f>Properties!A13</f>
        <v>Kev49/Epoxy</v>
      </c>
      <c r="E40" s="9">
        <f>Properties!M13</f>
        <v>0.125</v>
      </c>
      <c r="F40" s="2"/>
    </row>
    <row r="41" spans="4:6" s="1" customFormat="1" ht="14.25" x14ac:dyDescent="0.2">
      <c r="D41" s="9" t="str">
        <f>Properties!A14</f>
        <v>AS4/PEEK</v>
      </c>
      <c r="E41" s="9">
        <f>Properties!M14</f>
        <v>0.125</v>
      </c>
      <c r="F41" s="2"/>
    </row>
    <row r="42" spans="4:6" s="1" customFormat="1" ht="14.25" x14ac:dyDescent="0.2">
      <c r="D42" s="9" t="str">
        <f>Properties!A17</f>
        <v>CORE</v>
      </c>
      <c r="E42" s="9">
        <f>Properties!M17</f>
        <v>3.1749999999999998</v>
      </c>
      <c r="F42" s="15" t="s">
        <v>39</v>
      </c>
    </row>
    <row r="43" spans="4:6" s="1" customFormat="1" ht="14.25" x14ac:dyDescent="0.2">
      <c r="D43" s="9" t="s">
        <v>48</v>
      </c>
      <c r="E43" s="9"/>
      <c r="F43" s="2"/>
    </row>
  </sheetData>
  <dataValidations count="1">
    <dataValidation type="list" allowBlank="1" showInputMessage="1" showErrorMessage="1" sqref="D4:D28">
      <formula1>$D$37:$D$43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100" workbookViewId="0">
      <selection activeCell="J13" sqref="J13"/>
    </sheetView>
  </sheetViews>
  <sheetFormatPr defaultRowHeight="15" x14ac:dyDescent="0.25"/>
  <cols>
    <col min="1" max="1" width="15.7109375" style="16" customWidth="1"/>
    <col min="2" max="2" width="8" style="2" customWidth="1"/>
    <col min="3" max="3" width="9.140625" style="2"/>
    <col min="4" max="4" width="15.28515625" style="2" customWidth="1"/>
    <col min="5" max="5" width="17.42578125" style="2" customWidth="1"/>
    <col min="6" max="6" width="20" style="2" customWidth="1"/>
    <col min="7" max="18" width="9.140625" style="1"/>
  </cols>
  <sheetData>
    <row r="1" spans="1:8" s="1" customFormat="1" ht="14.25" x14ac:dyDescent="0.2">
      <c r="A1" s="16"/>
      <c r="B1" s="2"/>
      <c r="C1" s="15" t="s">
        <v>47</v>
      </c>
      <c r="D1" s="2"/>
      <c r="E1" s="2"/>
      <c r="F1" s="2"/>
    </row>
    <row r="2" spans="1:8" s="1" customFormat="1" x14ac:dyDescent="0.25">
      <c r="A2" s="16"/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</row>
    <row r="3" spans="1:8" s="1" customFormat="1" ht="14.25" x14ac:dyDescent="0.2">
      <c r="A3" s="16"/>
      <c r="B3" s="8"/>
      <c r="C3" s="22"/>
      <c r="D3" s="22"/>
      <c r="E3" s="22" t="s">
        <v>40</v>
      </c>
      <c r="F3" s="22" t="s">
        <v>23</v>
      </c>
    </row>
    <row r="4" spans="1:8" s="1" customFormat="1" ht="14.25" x14ac:dyDescent="0.2">
      <c r="A4" s="16" t="s">
        <v>36</v>
      </c>
      <c r="B4" s="20">
        <v>25</v>
      </c>
      <c r="C4" s="9">
        <v>1</v>
      </c>
      <c r="D4" s="18" t="s">
        <v>5</v>
      </c>
      <c r="E4" s="9">
        <v>45</v>
      </c>
      <c r="F4" s="9">
        <f t="shared" ref="F4:F27" si="0">IF(C4=0,0,VLOOKUP(D4,$D$37:$E$43,2,FALSE))</f>
        <v>0.125</v>
      </c>
      <c r="H4" s="1">
        <f t="shared" ref="H4:H10" si="1">E4*PI()/180</f>
        <v>0.78539816339744828</v>
      </c>
    </row>
    <row r="5" spans="1:8" s="1" customFormat="1" ht="14.25" x14ac:dyDescent="0.2">
      <c r="A5" s="16"/>
      <c r="B5" s="20">
        <f t="shared" ref="B5:B28" si="2">B4-1</f>
        <v>24</v>
      </c>
      <c r="C5" s="9">
        <v>1</v>
      </c>
      <c r="D5" s="18" t="s">
        <v>5</v>
      </c>
      <c r="E5" s="9">
        <v>0</v>
      </c>
      <c r="F5" s="9">
        <f t="shared" si="0"/>
        <v>0.125</v>
      </c>
      <c r="H5" s="1">
        <f t="shared" si="1"/>
        <v>0</v>
      </c>
    </row>
    <row r="6" spans="1:8" s="1" customFormat="1" ht="14.25" x14ac:dyDescent="0.2">
      <c r="A6" s="16"/>
      <c r="B6" s="20">
        <f t="shared" si="2"/>
        <v>23</v>
      </c>
      <c r="C6" s="9">
        <v>1</v>
      </c>
      <c r="D6" s="18" t="s">
        <v>5</v>
      </c>
      <c r="E6" s="9">
        <v>-45</v>
      </c>
      <c r="F6" s="9">
        <f t="shared" si="0"/>
        <v>0.125</v>
      </c>
      <c r="H6" s="1">
        <f t="shared" si="1"/>
        <v>-0.78539816339744828</v>
      </c>
    </row>
    <row r="7" spans="1:8" s="1" customFormat="1" ht="14.25" x14ac:dyDescent="0.2">
      <c r="A7" s="16"/>
      <c r="B7" s="20">
        <f t="shared" si="2"/>
        <v>22</v>
      </c>
      <c r="C7" s="9">
        <v>2</v>
      </c>
      <c r="D7" s="18" t="s">
        <v>5</v>
      </c>
      <c r="E7" s="9">
        <v>90</v>
      </c>
      <c r="F7" s="9">
        <f t="shared" si="0"/>
        <v>0.125</v>
      </c>
      <c r="H7" s="1">
        <f t="shared" si="1"/>
        <v>1.5707963267948966</v>
      </c>
    </row>
    <row r="8" spans="1:8" s="1" customFormat="1" ht="14.25" x14ac:dyDescent="0.2">
      <c r="A8" s="16"/>
      <c r="B8" s="20">
        <f t="shared" si="2"/>
        <v>21</v>
      </c>
      <c r="C8" s="9">
        <v>1</v>
      </c>
      <c r="D8" s="18" t="s">
        <v>5</v>
      </c>
      <c r="E8" s="9">
        <v>-45</v>
      </c>
      <c r="F8" s="9">
        <f t="shared" si="0"/>
        <v>0.125</v>
      </c>
      <c r="H8" s="1">
        <f t="shared" si="1"/>
        <v>-0.78539816339744828</v>
      </c>
    </row>
    <row r="9" spans="1:8" s="1" customFormat="1" ht="14.25" x14ac:dyDescent="0.2">
      <c r="A9" s="16"/>
      <c r="B9" s="20">
        <f t="shared" si="2"/>
        <v>20</v>
      </c>
      <c r="C9" s="9">
        <v>1</v>
      </c>
      <c r="D9" s="18" t="s">
        <v>5</v>
      </c>
      <c r="E9" s="9">
        <v>0</v>
      </c>
      <c r="F9" s="9">
        <f t="shared" si="0"/>
        <v>0.125</v>
      </c>
      <c r="H9" s="1">
        <f t="shared" si="1"/>
        <v>0</v>
      </c>
    </row>
    <row r="10" spans="1:8" s="1" customFormat="1" ht="14.25" x14ac:dyDescent="0.2">
      <c r="A10" s="16"/>
      <c r="B10" s="20">
        <f t="shared" si="2"/>
        <v>19</v>
      </c>
      <c r="C10" s="9">
        <v>1</v>
      </c>
      <c r="D10" s="18" t="s">
        <v>5</v>
      </c>
      <c r="E10" s="9">
        <v>45</v>
      </c>
      <c r="F10" s="9">
        <f t="shared" si="0"/>
        <v>0.125</v>
      </c>
      <c r="H10" s="1">
        <f t="shared" si="1"/>
        <v>0.78539816339744828</v>
      </c>
    </row>
    <row r="11" spans="1:8" s="1" customFormat="1" ht="14.25" x14ac:dyDescent="0.2">
      <c r="A11" s="16"/>
      <c r="B11" s="20">
        <f t="shared" si="2"/>
        <v>18</v>
      </c>
      <c r="C11" s="9">
        <v>0</v>
      </c>
      <c r="D11" s="18" t="s">
        <v>48</v>
      </c>
      <c r="E11" s="9"/>
      <c r="F11" s="9">
        <f t="shared" si="0"/>
        <v>0</v>
      </c>
    </row>
    <row r="12" spans="1:8" s="1" customFormat="1" ht="14.25" x14ac:dyDescent="0.2">
      <c r="A12" s="16"/>
      <c r="B12" s="20">
        <f t="shared" si="2"/>
        <v>17</v>
      </c>
      <c r="C12" s="9">
        <v>0</v>
      </c>
      <c r="D12" s="18" t="s">
        <v>48</v>
      </c>
      <c r="E12" s="9"/>
      <c r="F12" s="9">
        <f t="shared" si="0"/>
        <v>0</v>
      </c>
    </row>
    <row r="13" spans="1:8" s="1" customFormat="1" ht="14.25" x14ac:dyDescent="0.2">
      <c r="A13" s="16"/>
      <c r="B13" s="20">
        <f t="shared" si="2"/>
        <v>16</v>
      </c>
      <c r="C13" s="9">
        <v>0</v>
      </c>
      <c r="D13" s="18" t="s">
        <v>48</v>
      </c>
      <c r="E13" s="9"/>
      <c r="F13" s="9">
        <f t="shared" si="0"/>
        <v>0</v>
      </c>
    </row>
    <row r="14" spans="1:8" s="1" customFormat="1" ht="14.25" x14ac:dyDescent="0.2">
      <c r="A14" s="16"/>
      <c r="B14" s="20">
        <f t="shared" si="2"/>
        <v>15</v>
      </c>
      <c r="C14" s="9">
        <v>0</v>
      </c>
      <c r="D14" s="18" t="s">
        <v>48</v>
      </c>
      <c r="E14" s="9"/>
      <c r="F14" s="9">
        <f t="shared" si="0"/>
        <v>0</v>
      </c>
    </row>
    <row r="15" spans="1:8" s="1" customFormat="1" ht="14.25" x14ac:dyDescent="0.2">
      <c r="A15" s="16"/>
      <c r="B15" s="20">
        <f t="shared" si="2"/>
        <v>14</v>
      </c>
      <c r="C15" s="9">
        <v>0</v>
      </c>
      <c r="D15" s="18" t="s">
        <v>48</v>
      </c>
      <c r="E15" s="9"/>
      <c r="F15" s="9">
        <f t="shared" si="0"/>
        <v>0</v>
      </c>
    </row>
    <row r="16" spans="1:8" s="1" customFormat="1" ht="14.25" x14ac:dyDescent="0.2">
      <c r="A16" s="16"/>
      <c r="B16" s="20">
        <f t="shared" si="2"/>
        <v>13</v>
      </c>
      <c r="C16" s="9">
        <f t="shared" ref="C16:C27" si="3">C15</f>
        <v>0</v>
      </c>
      <c r="D16" s="18" t="s">
        <v>48</v>
      </c>
      <c r="E16" s="9"/>
      <c r="F16" s="9">
        <f t="shared" si="0"/>
        <v>0</v>
      </c>
    </row>
    <row r="17" spans="1:6" s="1" customFormat="1" ht="14.25" x14ac:dyDescent="0.2">
      <c r="A17" s="16"/>
      <c r="B17" s="20">
        <f t="shared" si="2"/>
        <v>12</v>
      </c>
      <c r="C17" s="9">
        <f t="shared" si="3"/>
        <v>0</v>
      </c>
      <c r="D17" s="18" t="s">
        <v>48</v>
      </c>
      <c r="E17" s="9"/>
      <c r="F17" s="9">
        <f t="shared" si="0"/>
        <v>0</v>
      </c>
    </row>
    <row r="18" spans="1:6" s="1" customFormat="1" ht="14.25" x14ac:dyDescent="0.2">
      <c r="A18" s="16"/>
      <c r="B18" s="20">
        <f t="shared" si="2"/>
        <v>11</v>
      </c>
      <c r="C18" s="9">
        <f t="shared" si="3"/>
        <v>0</v>
      </c>
      <c r="D18" s="18" t="s">
        <v>48</v>
      </c>
      <c r="E18" s="9"/>
      <c r="F18" s="9">
        <f t="shared" si="0"/>
        <v>0</v>
      </c>
    </row>
    <row r="19" spans="1:6" s="1" customFormat="1" ht="14.25" x14ac:dyDescent="0.2">
      <c r="A19" s="16"/>
      <c r="B19" s="20">
        <f t="shared" si="2"/>
        <v>10</v>
      </c>
      <c r="C19" s="9">
        <f t="shared" si="3"/>
        <v>0</v>
      </c>
      <c r="D19" s="18" t="s">
        <v>48</v>
      </c>
      <c r="E19" s="9"/>
      <c r="F19" s="9">
        <f t="shared" si="0"/>
        <v>0</v>
      </c>
    </row>
    <row r="20" spans="1:6" s="1" customFormat="1" ht="14.25" x14ac:dyDescent="0.2">
      <c r="A20" s="16"/>
      <c r="B20" s="20">
        <f t="shared" si="2"/>
        <v>9</v>
      </c>
      <c r="C20" s="9">
        <f t="shared" si="3"/>
        <v>0</v>
      </c>
      <c r="D20" s="18" t="s">
        <v>48</v>
      </c>
      <c r="E20" s="9"/>
      <c r="F20" s="9">
        <f t="shared" si="0"/>
        <v>0</v>
      </c>
    </row>
    <row r="21" spans="1:6" s="1" customFormat="1" ht="14.25" x14ac:dyDescent="0.2">
      <c r="A21" s="16"/>
      <c r="B21" s="20">
        <f t="shared" si="2"/>
        <v>8</v>
      </c>
      <c r="C21" s="9">
        <f t="shared" si="3"/>
        <v>0</v>
      </c>
      <c r="D21" s="18" t="s">
        <v>48</v>
      </c>
      <c r="E21" s="9"/>
      <c r="F21" s="9">
        <f t="shared" si="0"/>
        <v>0</v>
      </c>
    </row>
    <row r="22" spans="1:6" s="1" customFormat="1" ht="14.25" x14ac:dyDescent="0.2">
      <c r="A22" s="16"/>
      <c r="B22" s="20">
        <f t="shared" si="2"/>
        <v>7</v>
      </c>
      <c r="C22" s="9">
        <f t="shared" si="3"/>
        <v>0</v>
      </c>
      <c r="D22" s="18" t="s">
        <v>48</v>
      </c>
      <c r="E22" s="9"/>
      <c r="F22" s="9">
        <f t="shared" si="0"/>
        <v>0</v>
      </c>
    </row>
    <row r="23" spans="1:6" s="1" customFormat="1" ht="14.25" x14ac:dyDescent="0.2">
      <c r="A23" s="16"/>
      <c r="B23" s="20">
        <f t="shared" si="2"/>
        <v>6</v>
      </c>
      <c r="C23" s="9">
        <f t="shared" si="3"/>
        <v>0</v>
      </c>
      <c r="D23" s="18" t="s">
        <v>48</v>
      </c>
      <c r="E23" s="9"/>
      <c r="F23" s="9">
        <f t="shared" si="0"/>
        <v>0</v>
      </c>
    </row>
    <row r="24" spans="1:6" s="1" customFormat="1" ht="14.25" x14ac:dyDescent="0.2">
      <c r="A24" s="16"/>
      <c r="B24" s="20">
        <f t="shared" si="2"/>
        <v>5</v>
      </c>
      <c r="C24" s="9">
        <f t="shared" si="3"/>
        <v>0</v>
      </c>
      <c r="D24" s="18" t="s">
        <v>48</v>
      </c>
      <c r="E24" s="9"/>
      <c r="F24" s="9">
        <f t="shared" si="0"/>
        <v>0</v>
      </c>
    </row>
    <row r="25" spans="1:6" s="1" customFormat="1" ht="14.25" x14ac:dyDescent="0.2">
      <c r="A25" s="16"/>
      <c r="B25" s="20">
        <f t="shared" si="2"/>
        <v>4</v>
      </c>
      <c r="C25" s="9">
        <f t="shared" si="3"/>
        <v>0</v>
      </c>
      <c r="D25" s="18" t="s">
        <v>48</v>
      </c>
      <c r="E25" s="9"/>
      <c r="F25" s="9">
        <f t="shared" si="0"/>
        <v>0</v>
      </c>
    </row>
    <row r="26" spans="1:6" s="1" customFormat="1" ht="14.25" x14ac:dyDescent="0.2">
      <c r="A26" s="16"/>
      <c r="B26" s="20">
        <f t="shared" si="2"/>
        <v>3</v>
      </c>
      <c r="C26" s="9">
        <f t="shared" si="3"/>
        <v>0</v>
      </c>
      <c r="D26" s="18" t="s">
        <v>48</v>
      </c>
      <c r="E26" s="9"/>
      <c r="F26" s="9">
        <f t="shared" si="0"/>
        <v>0</v>
      </c>
    </row>
    <row r="27" spans="1:6" s="1" customFormat="1" ht="14.25" x14ac:dyDescent="0.2">
      <c r="A27" s="16" t="s">
        <v>41</v>
      </c>
      <c r="B27" s="20">
        <f t="shared" si="2"/>
        <v>2</v>
      </c>
      <c r="C27" s="9">
        <f t="shared" si="3"/>
        <v>0</v>
      </c>
      <c r="D27" s="18" t="s">
        <v>48</v>
      </c>
      <c r="E27" s="9"/>
      <c r="F27" s="9">
        <f t="shared" si="0"/>
        <v>0</v>
      </c>
    </row>
    <row r="28" spans="1:6" s="1" customFormat="1" ht="14.25" x14ac:dyDescent="0.2">
      <c r="A28" s="16"/>
      <c r="B28" s="20">
        <f t="shared" si="2"/>
        <v>1</v>
      </c>
      <c r="C28" s="9">
        <v>0</v>
      </c>
      <c r="D28" s="18" t="s">
        <v>48</v>
      </c>
      <c r="E28" s="9"/>
      <c r="F28" s="9">
        <v>0</v>
      </c>
    </row>
    <row r="29" spans="1:6" s="1" customFormat="1" ht="14.25" x14ac:dyDescent="0.2">
      <c r="A29" s="16"/>
      <c r="B29" s="2"/>
      <c r="C29" s="24">
        <f>SUM(C4:C27)</f>
        <v>8</v>
      </c>
      <c r="D29" s="23" t="s">
        <v>49</v>
      </c>
      <c r="E29" s="2"/>
      <c r="F29" s="27">
        <f t="array" ref="F29">SUM(C4:C27*F4:F27)</f>
        <v>1</v>
      </c>
    </row>
    <row r="31" spans="1:6" s="1" customFormat="1" ht="14.25" x14ac:dyDescent="0.2">
      <c r="A31" s="16"/>
      <c r="B31" s="2"/>
      <c r="C31" s="25">
        <v>0</v>
      </c>
      <c r="D31" s="25">
        <v>1</v>
      </c>
      <c r="E31" s="25">
        <v>2</v>
      </c>
      <c r="F31" s="25">
        <v>3</v>
      </c>
    </row>
    <row r="35" spans="4:6" s="1" customFormat="1" x14ac:dyDescent="0.25">
      <c r="D35" s="7" t="s">
        <v>35</v>
      </c>
      <c r="E35" s="7" t="s">
        <v>37</v>
      </c>
      <c r="F35" s="2"/>
    </row>
    <row r="36" spans="4:6" s="1" customFormat="1" ht="14.25" x14ac:dyDescent="0.2">
      <c r="D36" s="8"/>
      <c r="E36" s="8" t="s">
        <v>23</v>
      </c>
      <c r="F36" s="2"/>
    </row>
    <row r="37" spans="4:6" s="1" customFormat="1" ht="14.25" x14ac:dyDescent="0.2">
      <c r="D37" s="9" t="str">
        <f>Properties!A10</f>
        <v>T300/N5208</v>
      </c>
      <c r="E37" s="9">
        <f>Properties!M10</f>
        <v>0.125</v>
      </c>
      <c r="F37" s="2"/>
    </row>
    <row r="38" spans="4:6" s="1" customFormat="1" ht="14.25" x14ac:dyDescent="0.2">
      <c r="D38" s="9" t="str">
        <f>Properties!A11</f>
        <v>AS/H3501</v>
      </c>
      <c r="E38" s="9">
        <f>Properties!M11</f>
        <v>0.125</v>
      </c>
      <c r="F38" s="2"/>
    </row>
    <row r="39" spans="4:6" s="1" customFormat="1" ht="14.25" x14ac:dyDescent="0.2">
      <c r="D39" s="9" t="str">
        <f>Properties!A12</f>
        <v>E-glass/Epoxy</v>
      </c>
      <c r="E39" s="9">
        <f>Properties!M12</f>
        <v>0.125</v>
      </c>
      <c r="F39" s="2"/>
    </row>
    <row r="40" spans="4:6" s="1" customFormat="1" ht="14.25" x14ac:dyDescent="0.2">
      <c r="D40" s="9" t="str">
        <f>Properties!A13</f>
        <v>Kev49/Epoxy</v>
      </c>
      <c r="E40" s="9">
        <f>Properties!M13</f>
        <v>0.125</v>
      </c>
      <c r="F40" s="2"/>
    </row>
    <row r="41" spans="4:6" s="1" customFormat="1" ht="14.25" x14ac:dyDescent="0.2">
      <c r="D41" s="9" t="str">
        <f>Properties!A14</f>
        <v>AS4/PEEK</v>
      </c>
      <c r="E41" s="9">
        <f>Properties!M14</f>
        <v>0.125</v>
      </c>
      <c r="F41" s="2"/>
    </row>
    <row r="42" spans="4:6" s="1" customFormat="1" ht="14.25" x14ac:dyDescent="0.2">
      <c r="D42" s="9" t="str">
        <f>Properties!A17</f>
        <v>CORE</v>
      </c>
      <c r="E42" s="9">
        <f>Properties!M17</f>
        <v>3.1749999999999998</v>
      </c>
      <c r="F42" s="15" t="s">
        <v>39</v>
      </c>
    </row>
    <row r="43" spans="4:6" s="1" customFormat="1" ht="14.25" x14ac:dyDescent="0.2">
      <c r="D43" s="2" t="s">
        <v>48</v>
      </c>
      <c r="E43" s="2"/>
      <c r="F43" s="2"/>
    </row>
  </sheetData>
  <dataValidations count="1">
    <dataValidation type="list" allowBlank="1" showInputMessage="1" showErrorMessage="1" sqref="D4:D28">
      <formula1>$D$37:$D$43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100" workbookViewId="0">
      <selection activeCell="E14" sqref="E14"/>
    </sheetView>
  </sheetViews>
  <sheetFormatPr defaultRowHeight="15" x14ac:dyDescent="0.25"/>
  <cols>
    <col min="1" max="1" width="15.7109375" style="16" customWidth="1"/>
    <col min="2" max="2" width="8" style="2" customWidth="1"/>
    <col min="3" max="3" width="9.140625" style="2"/>
    <col min="4" max="4" width="15.28515625" style="2" customWidth="1"/>
    <col min="5" max="5" width="17.42578125" style="2" customWidth="1"/>
    <col min="6" max="6" width="20" style="2" customWidth="1"/>
    <col min="7" max="18" width="9.140625" style="1"/>
  </cols>
  <sheetData>
    <row r="1" spans="1:8" x14ac:dyDescent="0.25">
      <c r="C1" s="15" t="s">
        <v>47</v>
      </c>
    </row>
    <row r="2" spans="1:8" x14ac:dyDescent="0.25"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</row>
    <row r="3" spans="1:8" x14ac:dyDescent="0.25">
      <c r="B3" s="8"/>
      <c r="C3" s="22"/>
      <c r="D3" s="22"/>
      <c r="E3" s="22" t="s">
        <v>40</v>
      </c>
      <c r="F3" s="22" t="s">
        <v>23</v>
      </c>
    </row>
    <row r="4" spans="1:8" x14ac:dyDescent="0.25">
      <c r="A4" s="16" t="s">
        <v>36</v>
      </c>
      <c r="B4" s="20">
        <v>25</v>
      </c>
      <c r="C4" s="9">
        <v>1</v>
      </c>
      <c r="D4" s="18" t="s">
        <v>5</v>
      </c>
      <c r="E4" s="9">
        <v>30</v>
      </c>
      <c r="F4" s="9">
        <f>IF(C4=0,0,VLOOKUP(D4,$D$37:$E$43,2,FALSE))</f>
        <v>0.125</v>
      </c>
      <c r="H4" s="1">
        <f>E4*PI()/180</f>
        <v>0.52359877559829882</v>
      </c>
    </row>
    <row r="5" spans="1:8" x14ac:dyDescent="0.25">
      <c r="B5" s="20">
        <f>B4-1</f>
        <v>24</v>
      </c>
      <c r="C5" s="9">
        <v>0</v>
      </c>
      <c r="D5" s="18" t="s">
        <v>48</v>
      </c>
      <c r="E5" s="9"/>
      <c r="F5" s="9">
        <f t="shared" ref="F5:F27" si="0">IF(C5=0,0,VLOOKUP(D5,$D$37:$E$43,2,FALSE))</f>
        <v>0</v>
      </c>
      <c r="H5" s="1">
        <f t="shared" ref="H5:H10" si="1">E5*PI()/180</f>
        <v>0</v>
      </c>
    </row>
    <row r="6" spans="1:8" x14ac:dyDescent="0.25">
      <c r="B6" s="20">
        <f t="shared" ref="B6:B28" si="2">B5-1</f>
        <v>23</v>
      </c>
      <c r="C6" s="9">
        <v>0</v>
      </c>
      <c r="D6" s="18" t="s">
        <v>48</v>
      </c>
      <c r="E6" s="9"/>
      <c r="F6" s="9">
        <f t="shared" si="0"/>
        <v>0</v>
      </c>
      <c r="H6" s="1">
        <f t="shared" si="1"/>
        <v>0</v>
      </c>
    </row>
    <row r="7" spans="1:8" x14ac:dyDescent="0.25">
      <c r="B7" s="20">
        <f t="shared" si="2"/>
        <v>22</v>
      </c>
      <c r="C7" s="9">
        <v>0</v>
      </c>
      <c r="D7" s="18" t="s">
        <v>48</v>
      </c>
      <c r="E7" s="9"/>
      <c r="F7" s="9">
        <f t="shared" si="0"/>
        <v>0</v>
      </c>
      <c r="H7" s="1">
        <f t="shared" si="1"/>
        <v>0</v>
      </c>
    </row>
    <row r="8" spans="1:8" x14ac:dyDescent="0.25">
      <c r="B8" s="20">
        <f t="shared" si="2"/>
        <v>21</v>
      </c>
      <c r="C8" s="9">
        <v>0</v>
      </c>
      <c r="D8" s="18" t="s">
        <v>48</v>
      </c>
      <c r="E8" s="9"/>
      <c r="F8" s="9">
        <f t="shared" si="0"/>
        <v>0</v>
      </c>
      <c r="H8" s="1">
        <f t="shared" si="1"/>
        <v>0</v>
      </c>
    </row>
    <row r="9" spans="1:8" x14ac:dyDescent="0.25">
      <c r="B9" s="20">
        <f t="shared" si="2"/>
        <v>20</v>
      </c>
      <c r="C9" s="9">
        <v>0</v>
      </c>
      <c r="D9" s="18" t="s">
        <v>48</v>
      </c>
      <c r="E9" s="9"/>
      <c r="F9" s="9">
        <f t="shared" si="0"/>
        <v>0</v>
      </c>
      <c r="H9" s="1">
        <f t="shared" si="1"/>
        <v>0</v>
      </c>
    </row>
    <row r="10" spans="1:8" x14ac:dyDescent="0.25">
      <c r="B10" s="20">
        <f t="shared" si="2"/>
        <v>19</v>
      </c>
      <c r="C10" s="9">
        <v>0</v>
      </c>
      <c r="D10" s="18" t="s">
        <v>48</v>
      </c>
      <c r="E10" s="9"/>
      <c r="F10" s="9">
        <f t="shared" ref="F10:F14" si="3">IF(C10=0,0,VLOOKUP(D10,$D$37:$E$43,2,FALSE))</f>
        <v>0</v>
      </c>
      <c r="H10" s="1">
        <f t="shared" si="1"/>
        <v>0</v>
      </c>
    </row>
    <row r="11" spans="1:8" x14ac:dyDescent="0.25">
      <c r="B11" s="20">
        <f t="shared" si="2"/>
        <v>18</v>
      </c>
      <c r="C11" s="9">
        <v>0</v>
      </c>
      <c r="D11" s="18" t="s">
        <v>48</v>
      </c>
      <c r="E11" s="9"/>
      <c r="F11" s="9">
        <f t="shared" si="3"/>
        <v>0</v>
      </c>
    </row>
    <row r="12" spans="1:8" x14ac:dyDescent="0.25">
      <c r="B12" s="20">
        <f t="shared" si="2"/>
        <v>17</v>
      </c>
      <c r="C12" s="9">
        <v>0</v>
      </c>
      <c r="D12" s="18" t="s">
        <v>48</v>
      </c>
      <c r="E12" s="9"/>
      <c r="F12" s="9">
        <f t="shared" si="3"/>
        <v>0</v>
      </c>
    </row>
    <row r="13" spans="1:8" x14ac:dyDescent="0.25">
      <c r="B13" s="20">
        <f t="shared" si="2"/>
        <v>16</v>
      </c>
      <c r="C13" s="9">
        <v>0</v>
      </c>
      <c r="D13" s="18" t="s">
        <v>48</v>
      </c>
      <c r="E13" s="9"/>
      <c r="F13" s="9">
        <f t="shared" si="3"/>
        <v>0</v>
      </c>
    </row>
    <row r="14" spans="1:8" x14ac:dyDescent="0.25">
      <c r="B14" s="20">
        <f t="shared" si="2"/>
        <v>15</v>
      </c>
      <c r="C14" s="9">
        <v>0</v>
      </c>
      <c r="D14" s="18" t="s">
        <v>48</v>
      </c>
      <c r="E14" s="9"/>
      <c r="F14" s="9">
        <f t="shared" si="3"/>
        <v>0</v>
      </c>
    </row>
    <row r="15" spans="1:8" x14ac:dyDescent="0.25">
      <c r="B15" s="20">
        <f t="shared" si="2"/>
        <v>14</v>
      </c>
      <c r="C15" s="9">
        <v>0</v>
      </c>
      <c r="D15" s="18" t="s">
        <v>48</v>
      </c>
      <c r="E15" s="9"/>
      <c r="F15" s="9">
        <f t="shared" si="0"/>
        <v>0</v>
      </c>
    </row>
    <row r="16" spans="1:8" x14ac:dyDescent="0.25">
      <c r="B16" s="20">
        <f t="shared" si="2"/>
        <v>13</v>
      </c>
      <c r="C16" s="9">
        <f>C15</f>
        <v>0</v>
      </c>
      <c r="D16" s="18" t="s">
        <v>48</v>
      </c>
      <c r="E16" s="9"/>
      <c r="F16" s="9">
        <f t="shared" si="0"/>
        <v>0</v>
      </c>
    </row>
    <row r="17" spans="1:6" x14ac:dyDescent="0.25">
      <c r="B17" s="20">
        <f t="shared" si="2"/>
        <v>12</v>
      </c>
      <c r="C17" s="9">
        <f t="shared" ref="C17:C21" si="4">C16</f>
        <v>0</v>
      </c>
      <c r="D17" s="18" t="s">
        <v>48</v>
      </c>
      <c r="E17" s="9"/>
      <c r="F17" s="9">
        <f t="shared" si="0"/>
        <v>0</v>
      </c>
    </row>
    <row r="18" spans="1:6" x14ac:dyDescent="0.25">
      <c r="B18" s="20">
        <f t="shared" si="2"/>
        <v>11</v>
      </c>
      <c r="C18" s="9">
        <f t="shared" si="4"/>
        <v>0</v>
      </c>
      <c r="D18" s="18" t="s">
        <v>48</v>
      </c>
      <c r="E18" s="9"/>
      <c r="F18" s="9">
        <f t="shared" si="0"/>
        <v>0</v>
      </c>
    </row>
    <row r="19" spans="1:6" x14ac:dyDescent="0.25">
      <c r="B19" s="20">
        <f t="shared" si="2"/>
        <v>10</v>
      </c>
      <c r="C19" s="9">
        <f t="shared" si="4"/>
        <v>0</v>
      </c>
      <c r="D19" s="18" t="s">
        <v>48</v>
      </c>
      <c r="E19" s="9"/>
      <c r="F19" s="9">
        <f t="shared" si="0"/>
        <v>0</v>
      </c>
    </row>
    <row r="20" spans="1:6" x14ac:dyDescent="0.25">
      <c r="B20" s="20">
        <f t="shared" si="2"/>
        <v>9</v>
      </c>
      <c r="C20" s="9">
        <f t="shared" si="4"/>
        <v>0</v>
      </c>
      <c r="D20" s="18" t="s">
        <v>48</v>
      </c>
      <c r="E20" s="9"/>
      <c r="F20" s="9">
        <f t="shared" si="0"/>
        <v>0</v>
      </c>
    </row>
    <row r="21" spans="1:6" x14ac:dyDescent="0.25">
      <c r="B21" s="20">
        <f t="shared" si="2"/>
        <v>8</v>
      </c>
      <c r="C21" s="9">
        <f t="shared" si="4"/>
        <v>0</v>
      </c>
      <c r="D21" s="18" t="s">
        <v>48</v>
      </c>
      <c r="E21" s="9"/>
      <c r="F21" s="9">
        <f t="shared" si="0"/>
        <v>0</v>
      </c>
    </row>
    <row r="22" spans="1:6" x14ac:dyDescent="0.25">
      <c r="B22" s="20">
        <f>B21-1</f>
        <v>7</v>
      </c>
      <c r="C22" s="9">
        <f t="shared" ref="C22:C27" si="5">C21</f>
        <v>0</v>
      </c>
      <c r="D22" s="18" t="s">
        <v>48</v>
      </c>
      <c r="E22" s="9"/>
      <c r="F22" s="9">
        <f t="shared" si="0"/>
        <v>0</v>
      </c>
    </row>
    <row r="23" spans="1:6" x14ac:dyDescent="0.25">
      <c r="B23" s="20">
        <f t="shared" si="2"/>
        <v>6</v>
      </c>
      <c r="C23" s="9">
        <f t="shared" si="5"/>
        <v>0</v>
      </c>
      <c r="D23" s="18" t="s">
        <v>48</v>
      </c>
      <c r="E23" s="9"/>
      <c r="F23" s="9">
        <f t="shared" si="0"/>
        <v>0</v>
      </c>
    </row>
    <row r="24" spans="1:6" x14ac:dyDescent="0.25">
      <c r="B24" s="20">
        <f t="shared" si="2"/>
        <v>5</v>
      </c>
      <c r="C24" s="9">
        <f t="shared" si="5"/>
        <v>0</v>
      </c>
      <c r="D24" s="18" t="s">
        <v>48</v>
      </c>
      <c r="E24" s="9"/>
      <c r="F24" s="9">
        <f t="shared" si="0"/>
        <v>0</v>
      </c>
    </row>
    <row r="25" spans="1:6" x14ac:dyDescent="0.25">
      <c r="B25" s="20">
        <f t="shared" si="2"/>
        <v>4</v>
      </c>
      <c r="C25" s="9">
        <f t="shared" si="5"/>
        <v>0</v>
      </c>
      <c r="D25" s="18" t="s">
        <v>48</v>
      </c>
      <c r="E25" s="9"/>
      <c r="F25" s="9">
        <f t="shared" si="0"/>
        <v>0</v>
      </c>
    </row>
    <row r="26" spans="1:6" x14ac:dyDescent="0.25">
      <c r="B26" s="20">
        <f>B25-1</f>
        <v>3</v>
      </c>
      <c r="C26" s="9">
        <f t="shared" si="5"/>
        <v>0</v>
      </c>
      <c r="D26" s="18" t="s">
        <v>48</v>
      </c>
      <c r="E26" s="9"/>
      <c r="F26" s="9">
        <f t="shared" si="0"/>
        <v>0</v>
      </c>
    </row>
    <row r="27" spans="1:6" x14ac:dyDescent="0.25">
      <c r="A27" s="16" t="s">
        <v>41</v>
      </c>
      <c r="B27" s="20">
        <f t="shared" si="2"/>
        <v>2</v>
      </c>
      <c r="C27" s="9">
        <f t="shared" si="5"/>
        <v>0</v>
      </c>
      <c r="D27" s="18" t="s">
        <v>48</v>
      </c>
      <c r="E27" s="9"/>
      <c r="F27" s="9">
        <f t="shared" si="0"/>
        <v>0</v>
      </c>
    </row>
    <row r="28" spans="1:6" x14ac:dyDescent="0.25">
      <c r="B28" s="20">
        <f t="shared" si="2"/>
        <v>1</v>
      </c>
      <c r="C28" s="9">
        <v>0</v>
      </c>
      <c r="D28" s="18" t="s">
        <v>48</v>
      </c>
      <c r="E28" s="9"/>
      <c r="F28" s="9">
        <v>0</v>
      </c>
    </row>
    <row r="29" spans="1:6" x14ac:dyDescent="0.25">
      <c r="C29" s="24">
        <f>SUM(C4:C27)</f>
        <v>1</v>
      </c>
      <c r="D29" s="23" t="s">
        <v>49</v>
      </c>
      <c r="F29" s="27">
        <f t="array" ref="F29">SUM(C4:C27*F4:F27)</f>
        <v>0.125</v>
      </c>
    </row>
    <row r="31" spans="1:6" x14ac:dyDescent="0.25">
      <c r="C31" s="25">
        <v>0</v>
      </c>
      <c r="D31" s="25">
        <v>1</v>
      </c>
      <c r="E31" s="25">
        <v>2</v>
      </c>
      <c r="F31" s="25">
        <v>3</v>
      </c>
    </row>
    <row r="35" spans="4:6" x14ac:dyDescent="0.25">
      <c r="D35" s="7" t="s">
        <v>35</v>
      </c>
      <c r="E35" s="7" t="s">
        <v>37</v>
      </c>
    </row>
    <row r="36" spans="4:6" x14ac:dyDescent="0.25">
      <c r="D36" s="8"/>
      <c r="E36" s="8" t="s">
        <v>23</v>
      </c>
    </row>
    <row r="37" spans="4:6" x14ac:dyDescent="0.25">
      <c r="D37" s="9" t="str">
        <f>Properties!A10</f>
        <v>T300/N5208</v>
      </c>
      <c r="E37" s="9">
        <f>Properties!M10</f>
        <v>0.125</v>
      </c>
    </row>
    <row r="38" spans="4:6" x14ac:dyDescent="0.25">
      <c r="D38" s="9" t="str">
        <f>Properties!A11</f>
        <v>AS/H3501</v>
      </c>
      <c r="E38" s="9">
        <f>Properties!M11</f>
        <v>0.125</v>
      </c>
    </row>
    <row r="39" spans="4:6" x14ac:dyDescent="0.25">
      <c r="D39" s="9" t="str">
        <f>Properties!A12</f>
        <v>E-glass/Epoxy</v>
      </c>
      <c r="E39" s="9">
        <f>Properties!M12</f>
        <v>0.125</v>
      </c>
    </row>
    <row r="40" spans="4:6" x14ac:dyDescent="0.25">
      <c r="D40" s="9" t="str">
        <f>Properties!A13</f>
        <v>Kev49/Epoxy</v>
      </c>
      <c r="E40" s="9">
        <f>Properties!M13</f>
        <v>0.125</v>
      </c>
    </row>
    <row r="41" spans="4:6" x14ac:dyDescent="0.25">
      <c r="D41" s="9" t="str">
        <f>Properties!A14</f>
        <v>AS4/PEEK</v>
      </c>
      <c r="E41" s="9">
        <f>Properties!M14</f>
        <v>0.125</v>
      </c>
    </row>
    <row r="42" spans="4:6" x14ac:dyDescent="0.25">
      <c r="D42" s="9" t="str">
        <f>Properties!A17</f>
        <v>CORE</v>
      </c>
      <c r="E42" s="9">
        <f>Properties!M17</f>
        <v>3.1749999999999998</v>
      </c>
      <c r="F42" s="15" t="s">
        <v>39</v>
      </c>
    </row>
    <row r="43" spans="4:6" x14ac:dyDescent="0.25">
      <c r="D43" s="2" t="s">
        <v>48</v>
      </c>
    </row>
  </sheetData>
  <dataValidations count="1">
    <dataValidation type="list" allowBlank="1" showInputMessage="1" showErrorMessage="1" sqref="D4:D28">
      <formula1>$D$37:$D$43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Plybook_MECH463</vt:lpstr>
      <vt:lpstr>Properties</vt:lpstr>
      <vt:lpstr>Plybook_Ass6_Q3</vt:lpstr>
      <vt:lpstr>Plybook_Ass6_Q1</vt:lpstr>
      <vt:lpstr>Plybook_Ass6_Q2</vt:lpstr>
      <vt:lpstr>Plybook_Ass4</vt:lpstr>
      <vt:lpstr>Plybook_Ass2_Q1</vt:lpstr>
      <vt:lpstr>Plybook_Ass2_Q2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 craigie</cp:lastModifiedBy>
  <dcterms:created xsi:type="dcterms:W3CDTF">2014-09-10T01:21:29Z</dcterms:created>
  <dcterms:modified xsi:type="dcterms:W3CDTF">2014-12-03T04:54:45Z</dcterms:modified>
</cp:coreProperties>
</file>