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file" sheetId="1" r:id="rId4"/>
    <sheet state="visible" name="Street Keywords" sheetId="2" r:id="rId5"/>
    <sheet state="visible" name="expected output" sheetId="3" r:id="rId6"/>
  </sheets>
  <definedNames/>
  <calcPr/>
  <extLst>
    <ext uri="GoogleSheetsCustomDataVersion2">
      <go:sheetsCustomData xmlns:go="http://customooxmlschemas.google.com/" r:id="rId7" roundtripDataChecksum="EeK4NwYPIPgz3ZbOF2lzHsR/8Fn/+y9uX8MF8bDNj8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3">
      <text>
        <t xml:space="preserve">======
ID#AAABnxDbuvk
Phil Douglas    (2025-07-24 17:47:21)
Should read "6" but could not think of a consistent ruleset to display it...</t>
      </text>
    </comment>
  </commentList>
  <extLst>
    <ext uri="GoogleSheetsCustomDataVersion2">
      <go:sheetsCustomData xmlns:go="http://customooxmlschemas.google.com/" r:id="rId1" roundtripDataSignature="AMtx7mg8XBkoqrlgOE8QVL20ubRNv4/dd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3">
      <text>
        <t xml:space="preserve">======
ID#AAABnxDbuvg
Phil Douglas    (2025-07-24 17:02:05)
This cell should only include 6</t>
      </text>
    </comment>
  </commentList>
  <extLst>
    <ext uri="GoogleSheetsCustomDataVersion2">
      <go:sheetsCustomData xmlns:go="http://customooxmlschemas.google.com/" r:id="rId1" roundtripDataSignature="AMtx7mjm+U4dim6PrXh4AT/c3dSnwqSJFQ=="/>
    </ext>
  </extLst>
</comments>
</file>

<file path=xl/sharedStrings.xml><?xml version="1.0" encoding="utf-8"?>
<sst xmlns="http://schemas.openxmlformats.org/spreadsheetml/2006/main" count="396" uniqueCount="234">
  <si>
    <t>Client ID</t>
  </si>
  <si>
    <t>First Name</t>
  </si>
  <si>
    <t>MiddleName</t>
  </si>
  <si>
    <t>Last Name</t>
  </si>
  <si>
    <t>Last, First Middle</t>
  </si>
  <si>
    <t>Company</t>
  </si>
  <si>
    <t>Address</t>
  </si>
  <si>
    <t>street1</t>
  </si>
  <si>
    <t>street2</t>
  </si>
  <si>
    <t>city</t>
  </si>
  <si>
    <t>state</t>
  </si>
  <si>
    <t>zip</t>
  </si>
  <si>
    <t>Home Fax</t>
  </si>
  <si>
    <t>Mobile Phone</t>
  </si>
  <si>
    <t>Contact Group</t>
  </si>
  <si>
    <t>E-mail Address</t>
  </si>
  <si>
    <t>Web Page</t>
  </si>
  <si>
    <t>Birthday</t>
  </si>
  <si>
    <t>Private Notes</t>
  </si>
  <si>
    <t>License Number</t>
  </si>
  <si>
    <t>Cases</t>
  </si>
  <si>
    <t>Case Link IDs</t>
  </si>
  <si>
    <t>William</t>
  </si>
  <si>
    <t>Tim</t>
  </si>
  <si>
    <t>Barretta</t>
  </si>
  <si>
    <t xml:space="preserve">     </t>
  </si>
  <si>
    <t>Client</t>
  </si>
  <si>
    <t>William            Barretta</t>
  </si>
  <si>
    <t>Khaled</t>
  </si>
  <si>
    <t>Kayne</t>
  </si>
  <si>
    <t>Kamel</t>
  </si>
  <si>
    <t>2926 N Raine Blvd. 6, Tucson, State 1 11111</t>
  </si>
  <si>
    <t>(555) 555-5555</t>
  </si>
  <si>
    <t>user1@email.com</t>
  </si>
  <si>
    <t xml:space="preserve">Khaled Kamel      </t>
  </si>
  <si>
    <t>Dumisani</t>
  </si>
  <si>
    <t>Tembo</t>
  </si>
  <si>
    <t>email@domain.com</t>
  </si>
  <si>
    <t>People     v.      Tembo,       Dumisani</t>
  </si>
  <si>
    <t>Khanh</t>
  </si>
  <si>
    <t>Dee</t>
  </si>
  <si>
    <t>Dao</t>
  </si>
  <si>
    <t>435 N. Congress Ave., #180,  St Petersburg, State 2 11111</t>
  </si>
  <si>
    <t>(111) 852-4480</t>
  </si>
  <si>
    <t>Someone@box.com</t>
  </si>
  <si>
    <t>Khanh Dao</t>
  </si>
  <si>
    <t>Anmar</t>
  </si>
  <si>
    <t>Saad</t>
  </si>
  <si>
    <t>1234 Highland Square Lane,  Denver, State 3 11111</t>
  </si>
  <si>
    <t>mahmood@email.com</t>
  </si>
  <si>
    <t>F7390729</t>
  </si>
  <si>
    <t>Anmar    Saad</t>
  </si>
  <si>
    <t>Victor</t>
  </si>
  <si>
    <t>Henry</t>
  </si>
  <si>
    <t>Colonnese</t>
  </si>
  <si>
    <t>PO Box 200059,  Hollywood, State 4 11111</t>
  </si>
  <si>
    <t>(222) 987-1653</t>
  </si>
  <si>
    <t>barry@email.com</t>
  </si>
  <si>
    <t>Dorothy      Fujii</t>
  </si>
  <si>
    <t>Amol</t>
  </si>
  <si>
    <t>Hardikar</t>
  </si>
  <si>
    <t>200 Perry Street, Apt. 1505,  Dallas, State 5 11111</t>
  </si>
  <si>
    <t>(543) 471-2543</t>
  </si>
  <si>
    <t>Time01@email.com</t>
  </si>
  <si>
    <t>Amol Hardikar</t>
  </si>
  <si>
    <t>Tacktook</t>
  </si>
  <si>
    <t>Tachtook</t>
  </si>
  <si>
    <t>20 Barry Court Apt 203, Boston, State 6 11111</t>
  </si>
  <si>
    <t>(634) 684-6543</t>
  </si>
  <si>
    <t>dom@domain.com</t>
  </si>
  <si>
    <t>Tacktook      Tachtook v. Alison Aylsworth</t>
  </si>
  <si>
    <t>John</t>
  </si>
  <si>
    <t>Doe</t>
  </si>
  <si>
    <t xml:space="preserve">123 Main St.,  Santa Ana, State 7 11111 </t>
  </si>
  <si>
    <t>This is a sample contact.</t>
  </si>
  <si>
    <t>[SAMPLE] John            Doe Matter</t>
  </si>
  <si>
    <t>Marjorie</t>
  </si>
  <si>
    <t xml:space="preserve">                                </t>
  </si>
  <si>
    <t>Nishimata</t>
  </si>
  <si>
    <t>223 Greaterwealth Avenue Unit 70, Davie, State 8 11111</t>
  </si>
  <si>
    <t>(654) 673-9965</t>
  </si>
  <si>
    <t>email@klhj.com</t>
  </si>
  <si>
    <t>Marjorie      Nishimata</t>
  </si>
  <si>
    <t>Hamdy</t>
  </si>
  <si>
    <t>Fayad</t>
  </si>
  <si>
    <t>2036 Bryan Street,  Houston, State 9 11111</t>
  </si>
  <si>
    <t>dkhnfds@emial.com</t>
  </si>
  <si>
    <t>King   Market/SFDPH</t>
  </si>
  <si>
    <t>Jaime</t>
  </si>
  <si>
    <t>Lee</t>
  </si>
  <si>
    <t>Hersey</t>
  </si>
  <si>
    <t>99 W 10th Avenue Unit 14D,  Flint, State 10 11111</t>
  </si>
  <si>
    <t>me@aaa.com</t>
  </si>
  <si>
    <t>IRMO Hersey &amp; Banahan</t>
  </si>
  <si>
    <t>Andrew</t>
  </si>
  <si>
    <t>Rosete</t>
  </si>
  <si>
    <t>Valencia</t>
  </si>
  <si>
    <t>100 Hylein, Unit 4,  Tampa, State 11 11111</t>
  </si>
  <si>
    <t>(510) 334-7706</t>
  </si>
  <si>
    <t>fhasdj@domain.com</t>
  </si>
  <si>
    <t>IRMO Valencia</t>
  </si>
  <si>
    <t>Yen-Ming</t>
  </si>
  <si>
    <t>Hou</t>
  </si>
  <si>
    <t>901 Skycreek Drive #87, Miami, State 12 11111</t>
  </si>
  <si>
    <t>(650) 862-7558</t>
  </si>
  <si>
    <t>abc2932496@email.com</t>
  </si>
  <si>
    <t>IRMO       Mulroy &amp; Hou</t>
  </si>
  <si>
    <t>Matthew</t>
  </si>
  <si>
    <t>Phil</t>
  </si>
  <si>
    <t>Bryant</t>
  </si>
  <si>
    <t>4009 Bayle Street, Apt 803,  Seattle, State 13 11111</t>
  </si>
  <si>
    <t>mandatory@email.com</t>
  </si>
  <si>
    <t>Matthew Bryant</t>
  </si>
  <si>
    <t>Brittany</t>
  </si>
  <si>
    <t>Christine</t>
  </si>
  <si>
    <t>Scanlan</t>
  </si>
  <si>
    <t>101 Boardway Ave., Apt.#21,  Fort Lauderdale, State 14 11111</t>
  </si>
  <si>
    <t>(650) 580-4455 or (564) 189-2467</t>
  </si>
  <si>
    <t>bri@aaaaa.com</t>
  </si>
  <si>
    <t>IRMO Scanlan</t>
  </si>
  <si>
    <t>Lauren</t>
  </si>
  <si>
    <t>Gotelli</t>
  </si>
  <si>
    <t>6078 Burneigh Ave., #3,  Orlando, State 15 11111</t>
  </si>
  <si>
    <t>(415) 418-8395</t>
  </si>
  <si>
    <t>Lauren Gotelli</t>
  </si>
  <si>
    <t>Margarita</t>
  </si>
  <si>
    <t xml:space="preserve">                </t>
  </si>
  <si>
    <t>Gutierrez</t>
  </si>
  <si>
    <t>9087 Christmas Drive # 101, Las Vegas, State 16 11111</t>
  </si>
  <si>
    <t>gah@domain.com</t>
  </si>
  <si>
    <t>Margarita Gutierrez</t>
  </si>
  <si>
    <t>Street Keywords</t>
  </si>
  <si>
    <t>Blvd</t>
  </si>
  <si>
    <t>Street</t>
  </si>
  <si>
    <t>St</t>
  </si>
  <si>
    <t>Avenue</t>
  </si>
  <si>
    <t>Ave</t>
  </si>
  <si>
    <t>Drive</t>
  </si>
  <si>
    <t>Lane</t>
  </si>
  <si>
    <t>Full Name</t>
  </si>
  <si>
    <t>Street1</t>
  </si>
  <si>
    <t>Street2</t>
  </si>
  <si>
    <t>City</t>
  </si>
  <si>
    <t>State</t>
  </si>
  <si>
    <t>Zipcode</t>
  </si>
  <si>
    <t>Barretta, William Tim</t>
  </si>
  <si>
    <t/>
  </si>
  <si>
    <t>William Barretta</t>
  </si>
  <si>
    <t>Kamel, Khaled Kayne</t>
  </si>
  <si>
    <t>2926 N Raine</t>
  </si>
  <si>
    <t>Blvd. 6</t>
  </si>
  <si>
    <t>Tucson</t>
  </si>
  <si>
    <t>State 1</t>
  </si>
  <si>
    <t>Khaled Kamel</t>
  </si>
  <si>
    <t>Tembo, Dumisani</t>
  </si>
  <si>
    <t>People v. Tembo, Dumisani</t>
  </si>
  <si>
    <t>Dao, Khanh Dee</t>
  </si>
  <si>
    <t>435 N. Congress Ave.</t>
  </si>
  <si>
    <t>#180</t>
  </si>
  <si>
    <t>St Petersburg</t>
  </si>
  <si>
    <t>State 2</t>
  </si>
  <si>
    <t>Saad, Anmar</t>
  </si>
  <si>
    <t>1234 Highland Square Lane</t>
  </si>
  <si>
    <t>Denver</t>
  </si>
  <si>
    <t>State 3</t>
  </si>
  <si>
    <t>Anmar Saad</t>
  </si>
  <si>
    <t>Colonnese, Victor Henry</t>
  </si>
  <si>
    <t>PO Box 200059</t>
  </si>
  <si>
    <t>Hollywood</t>
  </si>
  <si>
    <t>State 4</t>
  </si>
  <si>
    <t>Dorothy Fujii</t>
  </si>
  <si>
    <t>Hardikar, Amol</t>
  </si>
  <si>
    <t>200 Perry Street</t>
  </si>
  <si>
    <t>Apt. 1505</t>
  </si>
  <si>
    <t>Dallas</t>
  </si>
  <si>
    <t>State 5</t>
  </si>
  <si>
    <t>Tachtook, Tacktook</t>
  </si>
  <si>
    <t>20 Barry Court</t>
  </si>
  <si>
    <t>Apt 203</t>
  </si>
  <si>
    <t>Boston</t>
  </si>
  <si>
    <t>State 6</t>
  </si>
  <si>
    <t>Tacktook Tachtook v. Alison Aylsworth</t>
  </si>
  <si>
    <t>Doe, John</t>
  </si>
  <si>
    <t>123 Main St.</t>
  </si>
  <si>
    <t>Santa Ana</t>
  </si>
  <si>
    <t>State 7</t>
  </si>
  <si>
    <t>[SAMPLE] John Doe Matter</t>
  </si>
  <si>
    <t>Nishimata, Marjorie</t>
  </si>
  <si>
    <t>223 Greaterwealth Avenue</t>
  </si>
  <si>
    <t>Unit 70</t>
  </si>
  <si>
    <t>Davie</t>
  </si>
  <si>
    <t>State 8</t>
  </si>
  <si>
    <t>Marjorie Nishimata</t>
  </si>
  <si>
    <t>Fayad, Hamdy</t>
  </si>
  <si>
    <t>2036 Bryan Street</t>
  </si>
  <si>
    <t>Houston</t>
  </si>
  <si>
    <t>State 9</t>
  </si>
  <si>
    <t>King Market/SFDPH</t>
  </si>
  <si>
    <t>Hersey, Jaime Lee</t>
  </si>
  <si>
    <t>99 W 10th Avenue</t>
  </si>
  <si>
    <t>Unit 14D</t>
  </si>
  <si>
    <t>Flint</t>
  </si>
  <si>
    <t>State 10</t>
  </si>
  <si>
    <t>Valencia, Andrew Rosete</t>
  </si>
  <si>
    <t>100 Hylein</t>
  </si>
  <si>
    <t>Unit 4</t>
  </si>
  <si>
    <t>Tampa</t>
  </si>
  <si>
    <t>State 11</t>
  </si>
  <si>
    <t>Hou, Yen-Ming</t>
  </si>
  <si>
    <t>901 Skycreek Drive</t>
  </si>
  <si>
    <t>#87</t>
  </si>
  <si>
    <t>Miami</t>
  </si>
  <si>
    <t>State 12</t>
  </si>
  <si>
    <t>IRMO Mulroy &amp; Hou</t>
  </si>
  <si>
    <t>Bryant, Matthew Phil</t>
  </si>
  <si>
    <t>4009 Bayle Street</t>
  </si>
  <si>
    <t>Apt 803</t>
  </si>
  <si>
    <t>Seattle</t>
  </si>
  <si>
    <t>State 13</t>
  </si>
  <si>
    <t>Scanlan, Brittany Christine</t>
  </si>
  <si>
    <t>101 Boardway Ave.</t>
  </si>
  <si>
    <t>Apt.#21</t>
  </si>
  <si>
    <t>Fort Lauderdale</t>
  </si>
  <si>
    <t>State 14</t>
  </si>
  <si>
    <t>Gotelli, Lauren</t>
  </si>
  <si>
    <t>6078 Burneigh Ave.</t>
  </si>
  <si>
    <t>#3</t>
  </si>
  <si>
    <t>Orlando</t>
  </si>
  <si>
    <t>State 15</t>
  </si>
  <si>
    <t>Gutierrez, Margarita</t>
  </si>
  <si>
    <t>9087 Christmas Drive</t>
  </si>
  <si>
    <t># 101</t>
  </si>
  <si>
    <t>Las Vegas</t>
  </si>
  <si>
    <t>State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</si>
</sst>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color theme="1"/>
      <name val="Aptos Narrow"/>
    </font>
    <font>
      <color theme="1"/>
      <name val="Arial"/>
    </font>
    <font>
      <color theme="1"/>
      <name val="Aptos Narrow"/>
      <scheme val="minor"/>
    </font>
    <font>
      <u/>
      <sz val="11.0"/>
      <color theme="10"/>
      <name val="Aptos Narrow"/>
    </font>
    <font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readingOrder="0" shrinkToFit="0" vertical="center" wrapText="0"/>
    </xf>
    <xf borderId="3" fillId="0" fontId="2" numFmtId="0" xfId="0" applyAlignment="1" applyBorder="1" applyFont="1">
      <alignment readingOrder="0" shrinkToFit="0" vertical="center" wrapText="0"/>
    </xf>
    <xf borderId="2" fillId="0" fontId="2" numFmtId="0" xfId="0" applyAlignment="1" applyBorder="1" applyFont="1">
      <alignment readingOrder="0" shrinkToFit="0" vertical="center" wrapText="0"/>
    </xf>
    <xf borderId="3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0" fillId="0" fontId="5" numFmtId="14" xfId="0" applyFont="1" applyNumberForma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Test file-style">
      <tableStyleElement dxfId="1" type="headerRow"/>
      <tableStyleElement dxfId="2" type="firstRowStripe"/>
      <tableStyleElement dxfId="3" type="secondRowStripe"/>
    </tableStyle>
    <tableStyle count="3" pivot="0" name="Street Keywords-style">
      <tableStyleElement dxfId="4" type="headerRow"/>
      <tableStyleElement dxfId="5" type="firstRowStripe"/>
      <tableStyleElement dxfId="6" type="secondRowStripe"/>
    </tableStyle>
    <tableStyle count="3" pivot="0" name="expected output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9" displayName="Table_1" 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Test fil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A8" displayName="Table1" name="Table1" id="2">
  <tableColumns count="1">
    <tableColumn name="Street Keywords" id="1"/>
  </tableColumns>
  <tableStyleInfo name="Street Keywords-style" showColumnStripes="0" showFirstColumn="1" showLastColumn="1" showRowStripes="1"/>
</table>
</file>

<file path=xl/tables/table3.xml><?xml version="1.0" encoding="utf-8"?>
<table xmlns="http://schemas.openxmlformats.org/spreadsheetml/2006/main" ref="A1:V19" displayName="Table_2" name="Table_2" id="3">
  <tableColumns count="22">
    <tableColumn name="Client ID" id="1"/>
    <tableColumn name="First Name" id="2"/>
    <tableColumn name="MiddleName" id="3"/>
    <tableColumn name="Last Name" id="4"/>
    <tableColumn name="Full Name" id="5"/>
    <tableColumn name="Company" id="6"/>
    <tableColumn name="Address" id="7"/>
    <tableColumn name="Street1" id="8"/>
    <tableColumn name="Street2" id="9"/>
    <tableColumn name="City" id="10"/>
    <tableColumn name="State" id="11"/>
    <tableColumn name="Zipcode" id="12"/>
    <tableColumn name="Home Fax" id="13"/>
    <tableColumn name="Mobile Phone" id="14"/>
    <tableColumn name="Contact Group" id="15"/>
    <tableColumn name="E-mail Address" id="16"/>
    <tableColumn name="Web Page" id="17"/>
    <tableColumn name="Birthday" id="18"/>
    <tableColumn name="Private Notes" id="19"/>
    <tableColumn name="License Number" id="20"/>
    <tableColumn name="Cases" id="21"/>
    <tableColumn name="Case Link IDs" id="22"/>
  </tableColumns>
  <tableStyleInfo name="expected outpu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.xml"/><Relationship Id="rId11" Type="http://schemas.openxmlformats.org/officeDocument/2006/relationships/hyperlink" Target="mailto:me@aaa.com" TargetMode="External"/><Relationship Id="rId10" Type="http://schemas.openxmlformats.org/officeDocument/2006/relationships/hyperlink" Target="mailto:dkhnfds@emial.com" TargetMode="External"/><Relationship Id="rId13" Type="http://schemas.openxmlformats.org/officeDocument/2006/relationships/hyperlink" Target="mailto:abc2932496@email.com" TargetMode="External"/><Relationship Id="rId12" Type="http://schemas.openxmlformats.org/officeDocument/2006/relationships/hyperlink" Target="mailto:fhasdj@domain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user1@email.com" TargetMode="External"/><Relationship Id="rId3" Type="http://schemas.openxmlformats.org/officeDocument/2006/relationships/hyperlink" Target="mailto:email@domain.com" TargetMode="External"/><Relationship Id="rId4" Type="http://schemas.openxmlformats.org/officeDocument/2006/relationships/hyperlink" Target="mailto:Someone@box.com" TargetMode="External"/><Relationship Id="rId9" Type="http://schemas.openxmlformats.org/officeDocument/2006/relationships/hyperlink" Target="mailto:email@klhj.com" TargetMode="External"/><Relationship Id="rId15" Type="http://schemas.openxmlformats.org/officeDocument/2006/relationships/hyperlink" Target="mailto:bri@aaaaa.com" TargetMode="External"/><Relationship Id="rId14" Type="http://schemas.openxmlformats.org/officeDocument/2006/relationships/hyperlink" Target="mailto:mandatory@email.com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mailto:gah@domain.com" TargetMode="External"/><Relationship Id="rId5" Type="http://schemas.openxmlformats.org/officeDocument/2006/relationships/hyperlink" Target="mailto:mahmood@email.com" TargetMode="External"/><Relationship Id="rId6" Type="http://schemas.openxmlformats.org/officeDocument/2006/relationships/hyperlink" Target="mailto:barry@email.com" TargetMode="External"/><Relationship Id="rId18" Type="http://schemas.openxmlformats.org/officeDocument/2006/relationships/vmlDrawing" Target="../drawings/vmlDrawing1.vml"/><Relationship Id="rId7" Type="http://schemas.openxmlformats.org/officeDocument/2006/relationships/hyperlink" Target="mailto:Time01@email.com" TargetMode="External"/><Relationship Id="rId8" Type="http://schemas.openxmlformats.org/officeDocument/2006/relationships/hyperlink" Target="mailto:dom@domain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table" Target="../tables/table3.xml"/><Relationship Id="rId11" Type="http://schemas.openxmlformats.org/officeDocument/2006/relationships/hyperlink" Target="mailto:me@aaa.com" TargetMode="External"/><Relationship Id="rId10" Type="http://schemas.openxmlformats.org/officeDocument/2006/relationships/hyperlink" Target="mailto:dkhnfds@emial.com" TargetMode="External"/><Relationship Id="rId13" Type="http://schemas.openxmlformats.org/officeDocument/2006/relationships/hyperlink" Target="mailto:abc2932496@email.com" TargetMode="External"/><Relationship Id="rId12" Type="http://schemas.openxmlformats.org/officeDocument/2006/relationships/hyperlink" Target="mailto:fhasdj@domain.com" TargetMode="External"/><Relationship Id="rId1" Type="http://schemas.openxmlformats.org/officeDocument/2006/relationships/comments" Target="../comments2.xml"/><Relationship Id="rId2" Type="http://schemas.openxmlformats.org/officeDocument/2006/relationships/hyperlink" Target="mailto:user1@email.com" TargetMode="External"/><Relationship Id="rId3" Type="http://schemas.openxmlformats.org/officeDocument/2006/relationships/hyperlink" Target="mailto:email@domain.com" TargetMode="External"/><Relationship Id="rId4" Type="http://schemas.openxmlformats.org/officeDocument/2006/relationships/hyperlink" Target="mailto:Someone@box.com" TargetMode="External"/><Relationship Id="rId9" Type="http://schemas.openxmlformats.org/officeDocument/2006/relationships/hyperlink" Target="mailto:email@klhj.com" TargetMode="External"/><Relationship Id="rId15" Type="http://schemas.openxmlformats.org/officeDocument/2006/relationships/hyperlink" Target="mailto:bri@aaaaa.com" TargetMode="External"/><Relationship Id="rId14" Type="http://schemas.openxmlformats.org/officeDocument/2006/relationships/hyperlink" Target="mailto:mandatory@email.com" TargetMode="External"/><Relationship Id="rId17" Type="http://schemas.openxmlformats.org/officeDocument/2006/relationships/drawing" Target="../drawings/drawing3.xml"/><Relationship Id="rId16" Type="http://schemas.openxmlformats.org/officeDocument/2006/relationships/hyperlink" Target="mailto:gah@domain.com" TargetMode="External"/><Relationship Id="rId5" Type="http://schemas.openxmlformats.org/officeDocument/2006/relationships/hyperlink" Target="mailto:mahmood@email.com" TargetMode="External"/><Relationship Id="rId6" Type="http://schemas.openxmlformats.org/officeDocument/2006/relationships/hyperlink" Target="mailto:barry@email.com" TargetMode="External"/><Relationship Id="rId18" Type="http://schemas.openxmlformats.org/officeDocument/2006/relationships/vmlDrawing" Target="../drawings/vmlDrawing2.vml"/><Relationship Id="rId7" Type="http://schemas.openxmlformats.org/officeDocument/2006/relationships/hyperlink" Target="mailto:Time01@email.com" TargetMode="External"/><Relationship Id="rId8" Type="http://schemas.openxmlformats.org/officeDocument/2006/relationships/hyperlink" Target="mailto:dom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9.75"/>
    <col customWidth="1" min="5" max="5" width="39.0"/>
    <col customWidth="1" min="6" max="6" width="8.63"/>
    <col customWidth="1" min="7" max="7" width="53.25"/>
    <col customWidth="1" min="8" max="12" width="31.25"/>
    <col customWidth="1" min="13" max="13" width="10.63"/>
    <col customWidth="1" min="14" max="14" width="14.75"/>
    <col customWidth="1" min="15" max="15" width="15.38"/>
    <col customWidth="1" min="16" max="16" width="16.25"/>
    <col customWidth="1" min="17" max="17" width="16.63"/>
    <col customWidth="1" min="18" max="18" width="12.0"/>
    <col customWidth="1" hidden="1" min="19" max="19" width="12.0"/>
    <col customWidth="1" min="20" max="20" width="10.63"/>
    <col customWidth="1" min="21" max="21" width="15.25"/>
    <col customWidth="1" min="22" max="22" width="35.25"/>
    <col customWidth="1" hidden="1" min="23" max="23" width="35.25"/>
    <col customWidth="1" min="24" max="24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17</v>
      </c>
      <c r="T1" s="1" t="s">
        <v>18</v>
      </c>
      <c r="U1" s="1" t="s">
        <v>19</v>
      </c>
      <c r="V1" s="2" t="s">
        <v>20</v>
      </c>
      <c r="W1" s="1" t="s">
        <v>20</v>
      </c>
      <c r="X1" s="1" t="s">
        <v>21</v>
      </c>
    </row>
    <row r="2">
      <c r="A2" s="1">
        <v>7398191.0</v>
      </c>
      <c r="B2" s="1" t="s">
        <v>22</v>
      </c>
      <c r="C2" s="1" t="s">
        <v>23</v>
      </c>
      <c r="D2" s="1" t="s">
        <v>24</v>
      </c>
      <c r="E2" s="1" t="str">
        <f t="shared" ref="E2:E19" si="1"> CONCATENATE($D2, ", ", $B2,IF(NOT(ISBLANK($C2)), CONCATENATE(" ", $C2),""))</f>
        <v>Barretta, William Tim</v>
      </c>
      <c r="F2" s="1"/>
      <c r="G2" s="2" t="s">
        <v>25</v>
      </c>
      <c r="H2" s="3" t="str">
        <f>IFERROR(__xludf.DUMMYFUNCTION("IF(TRIM($G2) = """", """", 
  IF(REGEXMATCH($G2, ""(Blvd|Street|St|Avenue|Ave|Drive|Lane)""), 
     REGEXEXTRACT($G2, "".*?(?:Blvd|Street|St|Avenue|Ave|Drive|Lane)""), 
     IF(
       ISNUMBER(FIND("","", $G2)), 
       LEFT($G2, FIND("","", $G2) - 1), 
"&amp;"       """"
     )
  )
)"),"")</f>
        <v/>
      </c>
      <c r="I2" s="4" t="str">
        <f>IFERROR(__xludf.DUMMYFUNCTION("IF(ISBLANK($G2), """",
 IF(REGEXMATCH($G2, ""#""), LEFT(MID($G2, FIND(""#"", $G2), 50), FIND("","", MID($G2, FIND(""#"", $G2), 50)) - 1),
 IF(REGEXMATCH($G2, ""Unit""), LEFT(MID($G2, FIND(""Unit"", $G2), 50), FIND("","", MID($G2, FIND(""Unit"", $G2), 50))"&amp;" - 1),
 IF(REGEXMATCH($G2, ""Apt""), LEFT(MID($G2, FIND(""Apt"", $G2), 50), FIND("","", MID($G2, FIND(""Apt"", $G2), 50)) - 1),
 """"))))"),"")</f>
        <v/>
      </c>
      <c r="J2" s="5" t="str">
        <f t="shared" ref="J2:J19" si="2">IF(TRIM($G2) = "", "", 
  TRIM(MID($G2, 
    FIND("|", SUBSTITUTE($G2, ",", "|", LEN($G2)-LEN(SUBSTITUTE($G2, ",", "")) -1)) + 1, 
    FIND("|", SUBSTITUTE($G2, ",", "|", LEN($G2)-LEN(SUBSTITUTE($G2, ",", "")))) - 
    FIND("|", SUBSTITUTE($G2, ",", "|", LEN($G2)-LEN(SUBSTITUTE($G2, ",", "")) -1)) - 1
  ))
)</f>
        <v/>
      </c>
      <c r="K2" s="4" t="str">
        <f>IFERROR(__xludf.DUMMYFUNCTION("IFERROR(REGEXEXTRACT($G2, ""State \d+""),"""")"),"")</f>
        <v/>
      </c>
      <c r="L2" s="4" t="str">
        <f>IFERROR(__xludf.DUMMYFUNCTION("IFERROR(REGEXEXTRACT($G2, ""\d{5}$""), """")"),"")</f>
        <v/>
      </c>
      <c r="M2" s="1"/>
      <c r="N2" s="1"/>
      <c r="O2" s="1" t="s">
        <v>26</v>
      </c>
      <c r="P2" s="1"/>
      <c r="Q2" s="1"/>
      <c r="R2" s="1" t="str">
        <f t="shared" ref="R2:R19" si="3">IF(TRIM(ISBLANK($S2)), "", TEXT($S2, "M/d/yyyy"))</f>
        <v/>
      </c>
      <c r="S2" s="1"/>
      <c r="T2" s="1"/>
      <c r="U2" s="1"/>
      <c r="V2" s="1" t="str">
        <f t="shared" ref="V2:V19" si="4">TRIM($W2)</f>
        <v>William Barretta</v>
      </c>
      <c r="W2" s="1" t="s">
        <v>27</v>
      </c>
      <c r="X2" s="1">
        <v>3783285.0</v>
      </c>
    </row>
    <row r="3">
      <c r="A3" s="1">
        <v>7439820.0</v>
      </c>
      <c r="B3" s="1" t="s">
        <v>28</v>
      </c>
      <c r="C3" s="1" t="s">
        <v>29</v>
      </c>
      <c r="D3" s="1" t="s">
        <v>30</v>
      </c>
      <c r="E3" s="1" t="str">
        <f t="shared" si="1"/>
        <v>Kamel, Khaled Kayne</v>
      </c>
      <c r="F3" s="1"/>
      <c r="G3" s="1" t="s">
        <v>31</v>
      </c>
      <c r="H3" s="3" t="str">
        <f>IFERROR(__xludf.DUMMYFUNCTION("IF(TRIM($G3) = """", """", 
  IF(REGEXMATCH($G3, ""(Blvd|Street|St|Avenue|Ave|Drive|Lane)""), 
     REGEXEXTRACT($G3, "".*?(?:Blvd|Street|St|Avenue|Ave|Drive|Lane)""), 
     IF(
       ISNUMBER(FIND("","", $G3)), 
       LEFT($G3, FIND("","", $G3) - 1), 
"&amp;"       """"
     )
  )
)"),"2926 N Raine Blvd")</f>
        <v>2926 N Raine Blvd</v>
      </c>
      <c r="I3" s="4" t="str">
        <f>IFERROR(__xludf.DUMMYFUNCTION("IF(ISBLANK($G3), """",
 IF(REGEXMATCH($G3, ""#""), LEFT(MID($G3, FIND(""#"", $G3), 50), FIND("","", MID($G3, FIND(""#"", $G3), 50)) - 1),
 IF(REGEXMATCH($G3, ""Unit""), LEFT(MID($G3, FIND(""Unit"", $G3), 50), FIND("","", MID($G3, FIND(""Unit"", $G3), 50))"&amp;" - 1),
 IF(REGEXMATCH($G3, ""Apt""), LEFT(MID($G3, FIND(""Apt"", $G3), 50), FIND("","", MID($G3, FIND(""Apt"", $G3), 50)) - 1),
 """"))))"),"")</f>
        <v/>
      </c>
      <c r="J3" s="5" t="str">
        <f t="shared" si="2"/>
        <v>Tucson</v>
      </c>
      <c r="K3" s="4" t="str">
        <f>IFERROR(__xludf.DUMMYFUNCTION("IFERROR(REGEXEXTRACT($G3, ""State \d+""),"""")"),"State 1")</f>
        <v>State 1</v>
      </c>
      <c r="L3" s="4" t="str">
        <f>IFERROR(__xludf.DUMMYFUNCTION("IFERROR(REGEXEXTRACT($G3, ""\d{5}$""), """")"),"11111")</f>
        <v>11111</v>
      </c>
      <c r="M3" s="1"/>
      <c r="N3" s="1" t="s">
        <v>32</v>
      </c>
      <c r="O3" s="1" t="s">
        <v>26</v>
      </c>
      <c r="P3" s="6" t="s">
        <v>33</v>
      </c>
      <c r="Q3" s="1"/>
      <c r="R3" s="1" t="str">
        <f t="shared" si="3"/>
        <v/>
      </c>
      <c r="S3" s="1"/>
      <c r="T3" s="1"/>
      <c r="U3" s="1"/>
      <c r="V3" s="1" t="str">
        <f t="shared" si="4"/>
        <v>Khaled Kamel</v>
      </c>
      <c r="W3" s="1" t="s">
        <v>34</v>
      </c>
      <c r="X3" s="1">
        <v>3810123.0</v>
      </c>
    </row>
    <row r="4">
      <c r="A4" s="1">
        <v>7451828.0</v>
      </c>
      <c r="B4" s="1" t="s">
        <v>35</v>
      </c>
      <c r="C4" s="1" t="s">
        <v>25</v>
      </c>
      <c r="D4" s="1" t="s">
        <v>36</v>
      </c>
      <c r="E4" s="1" t="str">
        <f t="shared" si="1"/>
        <v>Tembo, Dumisani      </v>
      </c>
      <c r="F4" s="1"/>
      <c r="G4" s="1" t="s">
        <v>25</v>
      </c>
      <c r="H4" s="3" t="str">
        <f>IFERROR(__xludf.DUMMYFUNCTION("IF(TRIM($G4) = """", """", 
  IF(REGEXMATCH($G4, ""(Blvd|Street|St|Avenue|Ave|Drive|Lane)""), 
     REGEXEXTRACT($G4, "".*?(?:Blvd|Street|St|Avenue|Ave|Drive|Lane)""), 
     IF(
       ISNUMBER(FIND("","", $G4)), 
       LEFT($G4, FIND("","", $G4) - 1), 
"&amp;"       """"
     )
  )
)"),"")</f>
        <v/>
      </c>
      <c r="I4" s="4" t="str">
        <f>IFERROR(__xludf.DUMMYFUNCTION("IF(ISBLANK($G4), """",
 IF(REGEXMATCH($G4, ""#""), LEFT(MID($G4, FIND(""#"", $G4), 50), FIND("","", MID($G4, FIND(""#"", $G4), 50)) - 1),
 IF(REGEXMATCH($G4, ""Unit""), LEFT(MID($G4, FIND(""Unit"", $G4), 50), FIND("","", MID($G4, FIND(""Unit"", $G4), 50))"&amp;" - 1),
 IF(REGEXMATCH($G4, ""Apt""), LEFT(MID($G4, FIND(""Apt"", $G4), 50), FIND("","", MID($G4, FIND(""Apt"", $G4), 50)) - 1),
 """"))))"),"")</f>
        <v/>
      </c>
      <c r="J4" s="5" t="str">
        <f t="shared" si="2"/>
        <v/>
      </c>
      <c r="K4" s="4" t="str">
        <f>IFERROR(__xludf.DUMMYFUNCTION("IFERROR(REGEXEXTRACT($G4, ""State \d+""),"""")"),"")</f>
        <v/>
      </c>
      <c r="L4" s="4" t="str">
        <f>IFERROR(__xludf.DUMMYFUNCTION("IFERROR(REGEXEXTRACT($G4, ""\d{5}$""), """")"),"")</f>
        <v/>
      </c>
      <c r="M4" s="1"/>
      <c r="N4" s="1"/>
      <c r="O4" s="1" t="s">
        <v>26</v>
      </c>
      <c r="P4" s="6" t="s">
        <v>37</v>
      </c>
      <c r="Q4" s="1"/>
      <c r="R4" s="1" t="str">
        <f t="shared" si="3"/>
        <v/>
      </c>
      <c r="S4" s="1"/>
      <c r="T4" s="1"/>
      <c r="U4" s="1"/>
      <c r="V4" s="1" t="str">
        <f t="shared" si="4"/>
        <v>People v. Tembo, Dumisani</v>
      </c>
      <c r="W4" s="1" t="s">
        <v>38</v>
      </c>
      <c r="X4" s="1">
        <v>3820215.0</v>
      </c>
    </row>
    <row r="5">
      <c r="A5" s="1">
        <v>7871642.0</v>
      </c>
      <c r="B5" s="1" t="s">
        <v>39</v>
      </c>
      <c r="C5" s="1" t="s">
        <v>40</v>
      </c>
      <c r="D5" s="1" t="s">
        <v>41</v>
      </c>
      <c r="E5" s="1" t="str">
        <f t="shared" si="1"/>
        <v>Dao, Khanh Dee</v>
      </c>
      <c r="F5" s="1"/>
      <c r="G5" s="1" t="s">
        <v>42</v>
      </c>
      <c r="H5" s="3" t="str">
        <f>IFERROR(__xludf.DUMMYFUNCTION("IF(TRIM($G5) = """", """", 
  IF(REGEXMATCH($G5, ""(Blvd|Street|St|Avenue|Ave|Drive|Lane)""), 
     REGEXEXTRACT($G5, "".*?(?:Blvd|Street|St|Avenue|Ave|Drive|Lane)""), 
     IF(
       ISNUMBER(FIND("","", $G5)), 
       LEFT($G5, FIND("","", $G5) - 1), 
"&amp;"       """"
     )
  )
)"),"435 N. Congress Ave")</f>
        <v>435 N. Congress Ave</v>
      </c>
      <c r="I5" s="4" t="str">
        <f>IFERROR(__xludf.DUMMYFUNCTION("IF(ISBLANK($G5), """",
 IF(REGEXMATCH($G5, ""#""), LEFT(MID($G5, FIND(""#"", $G5), 50), FIND("","", MID($G5, FIND(""#"", $G5), 50)) - 1),
 IF(REGEXMATCH($G5, ""Unit""), LEFT(MID($G5, FIND(""Unit"", $G5), 50), FIND("","", MID($G5, FIND(""Unit"", $G5), 50))"&amp;" - 1),
 IF(REGEXMATCH($G5, ""Apt""), LEFT(MID($G5, FIND(""Apt"", $G5), 50), FIND("","", MID($G5, FIND(""Apt"", $G5), 50)) - 1),
 """"))))"),"#180")</f>
        <v>#180</v>
      </c>
      <c r="J5" s="5" t="str">
        <f t="shared" si="2"/>
        <v>St Petersburg</v>
      </c>
      <c r="K5" s="4" t="str">
        <f>IFERROR(__xludf.DUMMYFUNCTION("IFERROR(REGEXEXTRACT($G5, ""State \d+""),"""")"),"State 2")</f>
        <v>State 2</v>
      </c>
      <c r="L5" s="4" t="str">
        <f>IFERROR(__xludf.DUMMYFUNCTION("IFERROR(REGEXEXTRACT($G5, ""\d{5}$""), """")"),"11111")</f>
        <v>11111</v>
      </c>
      <c r="M5" s="1"/>
      <c r="N5" s="1" t="s">
        <v>43</v>
      </c>
      <c r="O5" s="1" t="s">
        <v>26</v>
      </c>
      <c r="P5" s="6" t="s">
        <v>44</v>
      </c>
      <c r="Q5" s="1"/>
      <c r="R5" s="1" t="str">
        <f t="shared" si="3"/>
        <v/>
      </c>
      <c r="S5" s="1"/>
      <c r="T5" s="1"/>
      <c r="U5" s="1"/>
      <c r="V5" s="1" t="str">
        <f t="shared" si="4"/>
        <v>Khanh Dao</v>
      </c>
      <c r="W5" s="1" t="s">
        <v>45</v>
      </c>
      <c r="X5" s="1">
        <v>4066854.0</v>
      </c>
    </row>
    <row r="6">
      <c r="A6" s="1">
        <v>8004314.0</v>
      </c>
      <c r="B6" s="1" t="s">
        <v>46</v>
      </c>
      <c r="C6" s="1"/>
      <c r="D6" s="1" t="s">
        <v>47</v>
      </c>
      <c r="E6" s="1" t="str">
        <f t="shared" si="1"/>
        <v>Saad, Anmar</v>
      </c>
      <c r="F6" s="1"/>
      <c r="G6" s="2" t="s">
        <v>48</v>
      </c>
      <c r="H6" s="3" t="str">
        <f>IFERROR(__xludf.DUMMYFUNCTION("IF(TRIM($G6) = """", """", 
  IF(REGEXMATCH($G6, ""(Blvd|Street|St|Avenue|Ave|Drive|Lane)""), 
     REGEXEXTRACT($G6, "".*?(?:Blvd|Street|St|Avenue|Ave|Drive|Lane)""), 
     IF(
       ISNUMBER(FIND("","", $G6)), 
       LEFT($G6, FIND("","", $G6) - 1), 
"&amp;"       """"
     )
  )
)"),"1234 Highland Square Lane")</f>
        <v>1234 Highland Square Lane</v>
      </c>
      <c r="I6" s="4" t="str">
        <f>IFERROR(__xludf.DUMMYFUNCTION("IF(ISBLANK($G6), """",
 IF(REGEXMATCH($G6, ""#""), LEFT(MID($G6, FIND(""#"", $G6), 50), FIND("","", MID($G6, FIND(""#"", $G6), 50)) - 1),
 IF(REGEXMATCH($G6, ""Unit""), LEFT(MID($G6, FIND(""Unit"", $G6), 50), FIND("","", MID($G6, FIND(""Unit"", $G6), 50))"&amp;" - 1),
 IF(REGEXMATCH($G6, ""Apt""), LEFT(MID($G6, FIND(""Apt"", $G6), 50), FIND("","", MID($G6, FIND(""Apt"", $G6), 50)) - 1),
 """"))))"),"")</f>
        <v/>
      </c>
      <c r="J6" s="5" t="str">
        <f t="shared" si="2"/>
        <v>Denver</v>
      </c>
      <c r="K6" s="4" t="str">
        <f>IFERROR(__xludf.DUMMYFUNCTION("IFERROR(REGEXEXTRACT($G6, ""State \d+""),"""")"),"State 3")</f>
        <v>State 3</v>
      </c>
      <c r="L6" s="4" t="str">
        <f>IFERROR(__xludf.DUMMYFUNCTION("IFERROR(REGEXEXTRACT($G6, ""\d{5}$""), """")"),"11111")</f>
        <v>11111</v>
      </c>
      <c r="M6" s="1"/>
      <c r="N6" s="1"/>
      <c r="O6" s="1" t="s">
        <v>26</v>
      </c>
      <c r="P6" s="6" t="s">
        <v>49</v>
      </c>
      <c r="Q6" s="1"/>
      <c r="R6" s="1" t="str">
        <f t="shared" si="3"/>
        <v>8/24/1986</v>
      </c>
      <c r="S6" s="7">
        <v>31648.0</v>
      </c>
      <c r="T6" s="1"/>
      <c r="U6" s="1" t="s">
        <v>50</v>
      </c>
      <c r="V6" s="1" t="str">
        <f t="shared" si="4"/>
        <v>Anmar Saad</v>
      </c>
      <c r="W6" s="1" t="s">
        <v>51</v>
      </c>
      <c r="X6" s="1">
        <v>4134776.0</v>
      </c>
    </row>
    <row r="7">
      <c r="A7" s="1">
        <v>8393082.0</v>
      </c>
      <c r="B7" s="1" t="s">
        <v>52</v>
      </c>
      <c r="C7" s="1" t="s">
        <v>53</v>
      </c>
      <c r="D7" s="1" t="s">
        <v>54</v>
      </c>
      <c r="E7" s="1" t="str">
        <f t="shared" si="1"/>
        <v>Colonnese, Victor Henry</v>
      </c>
      <c r="F7" s="1"/>
      <c r="G7" s="1" t="s">
        <v>55</v>
      </c>
      <c r="H7" s="3" t="str">
        <f>IFERROR(__xludf.DUMMYFUNCTION("IF(TRIM($G7) = """", """", 
  IF(REGEXMATCH($G7, ""(Blvd|Street|St|Avenue|Ave|Drive|Lane)""), 
     REGEXEXTRACT($G7, "".*?(?:Blvd|Street|St|Avenue|Ave|Drive|Lane)""), 
     IF(
       ISNUMBER(FIND("","", $G7)), 
       LEFT($G7, FIND("","", $G7) - 1), 
"&amp;"       """"
     )
  )
)"),"PO Box 200059,  Hollywood, St")</f>
        <v>PO Box 200059,  Hollywood, St</v>
      </c>
      <c r="I7" s="4" t="str">
        <f>IFERROR(__xludf.DUMMYFUNCTION("IF(ISBLANK($G7), """",
 IF(REGEXMATCH($G7, ""#""), LEFT(MID($G7, FIND(""#"", $G7), 50), FIND("","", MID($G7, FIND(""#"", $G7), 50)) - 1),
 IF(REGEXMATCH($G7, ""Unit""), LEFT(MID($G7, FIND(""Unit"", $G7), 50), FIND("","", MID($G7, FIND(""Unit"", $G7), 50))"&amp;" - 1),
 IF(REGEXMATCH($G7, ""Apt""), LEFT(MID($G7, FIND(""Apt"", $G7), 50), FIND("","", MID($G7, FIND(""Apt"", $G7), 50)) - 1),
 """"))))"),"")</f>
        <v/>
      </c>
      <c r="J7" s="5" t="str">
        <f t="shared" si="2"/>
        <v>Hollywood</v>
      </c>
      <c r="K7" s="4" t="str">
        <f>IFERROR(__xludf.DUMMYFUNCTION("IFERROR(REGEXEXTRACT($G7, ""State \d+""),"""")"),"State 4")</f>
        <v>State 4</v>
      </c>
      <c r="L7" s="4" t="str">
        <f>IFERROR(__xludf.DUMMYFUNCTION("IFERROR(REGEXEXTRACT($G7, ""\d{5}$""), """")"),"11111")</f>
        <v>11111</v>
      </c>
      <c r="M7" s="1"/>
      <c r="N7" s="1" t="s">
        <v>56</v>
      </c>
      <c r="O7" s="1" t="s">
        <v>26</v>
      </c>
      <c r="P7" s="6" t="s">
        <v>57</v>
      </c>
      <c r="Q7" s="1"/>
      <c r="R7" s="1" t="str">
        <f t="shared" si="3"/>
        <v/>
      </c>
      <c r="S7" s="1"/>
      <c r="T7" s="1"/>
      <c r="U7" s="1"/>
      <c r="V7" s="1" t="str">
        <f t="shared" si="4"/>
        <v>Dorothy Fujii</v>
      </c>
      <c r="W7" s="1" t="s">
        <v>58</v>
      </c>
      <c r="X7" s="1">
        <v>4411263.0</v>
      </c>
    </row>
    <row r="8">
      <c r="A8" s="1">
        <v>8797264.0</v>
      </c>
      <c r="B8" s="1" t="s">
        <v>59</v>
      </c>
      <c r="C8" s="1"/>
      <c r="D8" s="1" t="s">
        <v>60</v>
      </c>
      <c r="E8" s="1" t="str">
        <f t="shared" si="1"/>
        <v>Hardikar, Amol</v>
      </c>
      <c r="F8" s="1"/>
      <c r="G8" s="1" t="s">
        <v>61</v>
      </c>
      <c r="H8" s="3" t="str">
        <f>IFERROR(__xludf.DUMMYFUNCTION("IF(TRIM($G8) = """", """", 
  IF(REGEXMATCH($G8, ""(Blvd|Street|St|Avenue|Ave|Drive|Lane)""), 
     REGEXEXTRACT($G8, "".*?(?:Blvd|Street|St|Avenue|Ave|Drive|Lane)""), 
     IF(
       ISNUMBER(FIND("","", $G8)), 
       LEFT($G8, FIND("","", $G8) - 1), 
"&amp;"       """"
     )
  )
)"),"200 Perry Street")</f>
        <v>200 Perry Street</v>
      </c>
      <c r="I8" s="4" t="str">
        <f>IFERROR(__xludf.DUMMYFUNCTION("IF(ISBLANK($G8), """",
 IF(REGEXMATCH($G8, ""#""), LEFT(MID($G8, FIND(""#"", $G8), 50), FIND("","", MID($G8, FIND(""#"", $G8), 50)) - 1),
 IF(REGEXMATCH($G8, ""Unit""), LEFT(MID($G8, FIND(""Unit"", $G8), 50), FIND("","", MID($G8, FIND(""Unit"", $G8), 50))"&amp;" - 1),
 IF(REGEXMATCH($G8, ""Apt""), LEFT(MID($G8, FIND(""Apt"", $G8), 50), FIND("","", MID($G8, FIND(""Apt"", $G8), 50)) - 1),
 """"))))"),"Apt. 1505")</f>
        <v>Apt. 1505</v>
      </c>
      <c r="J8" s="5" t="str">
        <f t="shared" si="2"/>
        <v>Dallas</v>
      </c>
      <c r="K8" s="4" t="str">
        <f>IFERROR(__xludf.DUMMYFUNCTION("IFERROR(REGEXEXTRACT($G8, ""State \d+""),"""")"),"State 5")</f>
        <v>State 5</v>
      </c>
      <c r="L8" s="4" t="str">
        <f>IFERROR(__xludf.DUMMYFUNCTION("IFERROR(REGEXEXTRACT($G8, ""\d{5}$""), """")"),"11111")</f>
        <v>11111</v>
      </c>
      <c r="M8" s="1"/>
      <c r="N8" s="1" t="s">
        <v>62</v>
      </c>
      <c r="O8" s="1" t="s">
        <v>26</v>
      </c>
      <c r="P8" s="6" t="s">
        <v>63</v>
      </c>
      <c r="Q8" s="1"/>
      <c r="R8" s="1" t="str">
        <f t="shared" si="3"/>
        <v/>
      </c>
      <c r="S8" s="1"/>
      <c r="T8" s="1"/>
      <c r="U8" s="1"/>
      <c r="V8" s="1" t="str">
        <f t="shared" si="4"/>
        <v>Amol Hardikar</v>
      </c>
      <c r="W8" s="1" t="s">
        <v>64</v>
      </c>
      <c r="X8" s="1">
        <v>4663111.0</v>
      </c>
    </row>
    <row r="9">
      <c r="A9" s="1">
        <v>8886849.0</v>
      </c>
      <c r="B9" s="1" t="s">
        <v>65</v>
      </c>
      <c r="C9" s="1"/>
      <c r="D9" s="1" t="s">
        <v>66</v>
      </c>
      <c r="E9" s="1" t="str">
        <f t="shared" si="1"/>
        <v>Tachtook, Tacktook</v>
      </c>
      <c r="F9" s="1"/>
      <c r="G9" s="1" t="s">
        <v>67</v>
      </c>
      <c r="H9" s="3" t="str">
        <f>IFERROR(__xludf.DUMMYFUNCTION("IF(TRIM($G9) = """", """", 
  IF(REGEXMATCH($G9, ""(Blvd|Street|St|Avenue|Ave|Drive|Lane)""), 
     REGEXEXTRACT($G9, "".*?(?:Blvd|Street|St|Avenue|Ave|Drive|Lane)""), 
     IF(
       ISNUMBER(FIND("","", $G9)), 
       LEFT($G9, FIND("","", $G9) - 1), 
"&amp;"       """"
     )
  )
)"),"20 Barry Court Apt 203, Boston, St")</f>
        <v>20 Barry Court Apt 203, Boston, St</v>
      </c>
      <c r="I9" s="4" t="str">
        <f>IFERROR(__xludf.DUMMYFUNCTION("IF(ISBLANK($G9), """",
 IF(REGEXMATCH($G9, ""#""), LEFT(MID($G9, FIND(""#"", $G9), 50), FIND("","", MID($G9, FIND(""#"", $G9), 50)) - 1),
 IF(REGEXMATCH($G9, ""Unit""), LEFT(MID($G9, FIND(""Unit"", $G9), 50), FIND("","", MID($G9, FIND(""Unit"", $G9), 50))"&amp;" - 1),
 IF(REGEXMATCH($G9, ""Apt""), LEFT(MID($G9, FIND(""Apt"", $G9), 50), FIND("","", MID($G9, FIND(""Apt"", $G9), 50)) - 1),
 """"))))"),"Apt 203")</f>
        <v>Apt 203</v>
      </c>
      <c r="J9" s="5" t="str">
        <f t="shared" si="2"/>
        <v>Boston</v>
      </c>
      <c r="K9" s="4" t="str">
        <f>IFERROR(__xludf.DUMMYFUNCTION("IFERROR(REGEXEXTRACT($G9, ""State \d+""),"""")"),"State 6")</f>
        <v>State 6</v>
      </c>
      <c r="L9" s="4" t="str">
        <f>IFERROR(__xludf.DUMMYFUNCTION("IFERROR(REGEXEXTRACT($G9, ""\d{5}$""), """")"),"11111")</f>
        <v>11111</v>
      </c>
      <c r="M9" s="1"/>
      <c r="N9" s="1" t="s">
        <v>68</v>
      </c>
      <c r="O9" s="1" t="s">
        <v>26</v>
      </c>
      <c r="P9" s="6" t="s">
        <v>69</v>
      </c>
      <c r="Q9" s="1"/>
      <c r="R9" s="1" t="str">
        <f t="shared" si="3"/>
        <v/>
      </c>
      <c r="S9" s="1"/>
      <c r="T9" s="1"/>
      <c r="U9" s="1"/>
      <c r="V9" s="1" t="str">
        <f t="shared" si="4"/>
        <v>Tacktook Tachtook v. Alison Aylsworth</v>
      </c>
      <c r="W9" s="1" t="s">
        <v>70</v>
      </c>
      <c r="X9" s="1">
        <v>4723026.0</v>
      </c>
    </row>
    <row r="10">
      <c r="A10" s="1">
        <v>1.4280362E7</v>
      </c>
      <c r="B10" s="1" t="s">
        <v>71</v>
      </c>
      <c r="C10" s="1"/>
      <c r="D10" s="1" t="s">
        <v>72</v>
      </c>
      <c r="E10" s="1" t="str">
        <f t="shared" si="1"/>
        <v>Doe, John</v>
      </c>
      <c r="F10" s="1"/>
      <c r="G10" s="1" t="s">
        <v>73</v>
      </c>
      <c r="H10" s="3" t="str">
        <f>IFERROR(__xludf.DUMMYFUNCTION("IF(TRIM($G10) = """", """", 
  IF(REGEXMATCH($G10, ""(Blvd|Street|St|Avenue|Ave|Drive|Lane)""), 
     REGEXEXTRACT($G10, "".*?(?:Blvd|Street|St|Avenue|Ave|Drive|Lane)""), 
     IF(
       ISNUMBER(FIND("","", $G10)), 
       LEFT($G10, FIND("","", $G10) -"&amp;" 1), 
       """"
     )
  )
)"),"123 Main St")</f>
        <v>123 Main St</v>
      </c>
      <c r="I10" s="4" t="str">
        <f>IFERROR(__xludf.DUMMYFUNCTION("IF(ISBLANK($G10), """",
 IF(REGEXMATCH($G10, ""#""), LEFT(MID($G10, FIND(""#"", $G10), 50), FIND("","", MID($G10, FIND(""#"", $G10), 50)) - 1),
 IF(REGEXMATCH($G10, ""Unit""), LEFT(MID($G10, FIND(""Unit"", $G10), 50), FIND("","", MID($G10, FIND(""Unit"", "&amp;"$G10), 50)) - 1),
 IF(REGEXMATCH($G10, ""Apt""), LEFT(MID($G10, FIND(""Apt"", $G10), 50), FIND("","", MID($G10, FIND(""Apt"", $G10), 50)) - 1),
 """"))))"),"")</f>
        <v/>
      </c>
      <c r="J10" s="5" t="str">
        <f t="shared" si="2"/>
        <v>Santa Ana</v>
      </c>
      <c r="K10" s="4" t="str">
        <f>IFERROR(__xludf.DUMMYFUNCTION("IFERROR(REGEXEXTRACT($G10, ""State \d+""),"""")"),"State 7")</f>
        <v>State 7</v>
      </c>
      <c r="L10" s="4" t="str">
        <f>IFERROR(__xludf.DUMMYFUNCTION("IFERROR(REGEXEXTRACT($G10, ""\d{5}$""), """")"),"")</f>
        <v/>
      </c>
      <c r="M10" s="1"/>
      <c r="N10" s="1"/>
      <c r="O10" s="1" t="s">
        <v>26</v>
      </c>
      <c r="P10" s="1"/>
      <c r="Q10" s="1"/>
      <c r="R10" s="1" t="str">
        <f t="shared" si="3"/>
        <v/>
      </c>
      <c r="S10" s="1"/>
      <c r="T10" s="1" t="s">
        <v>74</v>
      </c>
      <c r="U10" s="1"/>
      <c r="V10" s="1" t="str">
        <f t="shared" si="4"/>
        <v>[SAMPLE] John Doe Matter</v>
      </c>
      <c r="W10" s="1" t="s">
        <v>75</v>
      </c>
      <c r="X10" s="1">
        <v>8536109.0</v>
      </c>
    </row>
    <row r="11">
      <c r="A11" s="1">
        <v>1.4280377E7</v>
      </c>
      <c r="B11" s="1" t="s">
        <v>76</v>
      </c>
      <c r="C11" s="1" t="s">
        <v>77</v>
      </c>
      <c r="D11" s="1" t="s">
        <v>78</v>
      </c>
      <c r="E11" s="1" t="str">
        <f t="shared" si="1"/>
        <v>Nishimata, Marjorie                                 </v>
      </c>
      <c r="F11" s="1"/>
      <c r="G11" s="1" t="s">
        <v>79</v>
      </c>
      <c r="H11" s="3" t="str">
        <f>IFERROR(__xludf.DUMMYFUNCTION("IF(TRIM($G11) = """", """", 
  IF(REGEXMATCH($G11, ""(Blvd|Street|St|Avenue|Ave|Drive|Lane)""), 
     REGEXEXTRACT($G11, "".*?(?:Blvd|Street|St|Avenue|Ave|Drive|Lane)""), 
     IF(
       ISNUMBER(FIND("","", $G11)), 
       LEFT($G11, FIND("","", $G11) -"&amp;" 1), 
       """"
     )
  )
)"),"223 Greaterwealth Avenue")</f>
        <v>223 Greaterwealth Avenue</v>
      </c>
      <c r="I11" s="4" t="str">
        <f>IFERROR(__xludf.DUMMYFUNCTION("IF(ISBLANK($G11), """",
 IF(REGEXMATCH($G11, ""#""), LEFT(MID($G11, FIND(""#"", $G11), 50), FIND("","", MID($G11, FIND(""#"", $G11), 50)) - 1),
 IF(REGEXMATCH($G11, ""Unit""), LEFT(MID($G11, FIND(""Unit"", $G11), 50), FIND("","", MID($G11, FIND(""Unit"", "&amp;"$G11), 50)) - 1),
 IF(REGEXMATCH($G11, ""Apt""), LEFT(MID($G11, FIND(""Apt"", $G11), 50), FIND("","", MID($G11, FIND(""Apt"", $G11), 50)) - 1),
 """"))))"),"Unit 70")</f>
        <v>Unit 70</v>
      </c>
      <c r="J11" s="5" t="str">
        <f t="shared" si="2"/>
        <v>Davie</v>
      </c>
      <c r="K11" s="4" t="str">
        <f>IFERROR(__xludf.DUMMYFUNCTION("IFERROR(REGEXEXTRACT($G11, ""State \d+""),"""")"),"State 8")</f>
        <v>State 8</v>
      </c>
      <c r="L11" s="4" t="str">
        <f>IFERROR(__xludf.DUMMYFUNCTION("IFERROR(REGEXEXTRACT($G11, ""\d{5}$""), """")"),"11111")</f>
        <v>11111</v>
      </c>
      <c r="M11" s="1"/>
      <c r="N11" s="1" t="s">
        <v>80</v>
      </c>
      <c r="O11" s="1" t="s">
        <v>26</v>
      </c>
      <c r="P11" s="6" t="s">
        <v>81</v>
      </c>
      <c r="Q11" s="1"/>
      <c r="R11" s="1" t="str">
        <f t="shared" si="3"/>
        <v>4/11/1974</v>
      </c>
      <c r="S11" s="7">
        <v>27130.0</v>
      </c>
      <c r="T11" s="1"/>
      <c r="U11" s="1"/>
      <c r="V11" s="1" t="str">
        <f t="shared" si="4"/>
        <v>Marjorie Nishimata</v>
      </c>
      <c r="W11" s="1" t="s">
        <v>82</v>
      </c>
      <c r="X11" s="1">
        <v>8536123.0</v>
      </c>
    </row>
    <row r="12">
      <c r="A12" s="1">
        <v>1.4931136E7</v>
      </c>
      <c r="B12" s="1" t="s">
        <v>83</v>
      </c>
      <c r="C12" s="1"/>
      <c r="D12" s="1" t="s">
        <v>84</v>
      </c>
      <c r="E12" s="1" t="str">
        <f t="shared" si="1"/>
        <v>Fayad, Hamdy</v>
      </c>
      <c r="F12" s="1"/>
      <c r="G12" s="1" t="s">
        <v>85</v>
      </c>
      <c r="H12" s="3" t="str">
        <f>IFERROR(__xludf.DUMMYFUNCTION("IF(TRIM($G12) = """", """", 
  IF(REGEXMATCH($G12, ""(Blvd|Street|St|Avenue|Ave|Drive|Lane)""), 
     REGEXEXTRACT($G12, "".*?(?:Blvd|Street|St|Avenue|Ave|Drive|Lane)""), 
     IF(
       ISNUMBER(FIND("","", $G12)), 
       LEFT($G12, FIND("","", $G12) -"&amp;" 1), 
       """"
     )
  )
)"),"2036 Bryan Street")</f>
        <v>2036 Bryan Street</v>
      </c>
      <c r="I12" s="4" t="str">
        <f>IFERROR(__xludf.DUMMYFUNCTION("IF(ISBLANK($G12), """",
 IF(REGEXMATCH($G12, ""#""), LEFT(MID($G12, FIND(""#"", $G12), 50), FIND("","", MID($G12, FIND(""#"", $G12), 50)) - 1),
 IF(REGEXMATCH($G12, ""Unit""), LEFT(MID($G12, FIND(""Unit"", $G12), 50), FIND("","", MID($G12, FIND(""Unit"", "&amp;"$G12), 50)) - 1),
 IF(REGEXMATCH($G12, ""Apt""), LEFT(MID($G12, FIND(""Apt"", $G12), 50), FIND("","", MID($G12, FIND(""Apt"", $G12), 50)) - 1),
 """"))))"),"")</f>
        <v/>
      </c>
      <c r="J12" s="5" t="str">
        <f t="shared" si="2"/>
        <v>Houston</v>
      </c>
      <c r="K12" s="4" t="str">
        <f>IFERROR(__xludf.DUMMYFUNCTION("IFERROR(REGEXEXTRACT($G12, ""State \d+""),"""")"),"State 9")</f>
        <v>State 9</v>
      </c>
      <c r="L12" s="4" t="str">
        <f>IFERROR(__xludf.DUMMYFUNCTION("IFERROR(REGEXEXTRACT($G12, ""\d{5}$""), """")"),"11111")</f>
        <v>11111</v>
      </c>
      <c r="M12" s="1"/>
      <c r="N12" s="1">
        <v>7.345754375E9</v>
      </c>
      <c r="O12" s="1" t="s">
        <v>26</v>
      </c>
      <c r="P12" s="6" t="s">
        <v>86</v>
      </c>
      <c r="Q12" s="1"/>
      <c r="R12" s="1" t="str">
        <f t="shared" si="3"/>
        <v/>
      </c>
      <c r="S12" s="1"/>
      <c r="T12" s="1"/>
      <c r="U12" s="1"/>
      <c r="V12" s="1" t="str">
        <f t="shared" si="4"/>
        <v>King Market/SFDPH</v>
      </c>
      <c r="W12" s="1" t="s">
        <v>87</v>
      </c>
      <c r="X12" s="1">
        <v>8907389.0</v>
      </c>
    </row>
    <row r="13">
      <c r="A13" s="1">
        <v>1.5482333E7</v>
      </c>
      <c r="B13" s="1" t="s">
        <v>88</v>
      </c>
      <c r="C13" s="1" t="s">
        <v>89</v>
      </c>
      <c r="D13" s="1" t="s">
        <v>90</v>
      </c>
      <c r="E13" s="1" t="str">
        <f t="shared" si="1"/>
        <v>Hersey, Jaime Lee</v>
      </c>
      <c r="F13" s="1"/>
      <c r="G13" s="1" t="s">
        <v>91</v>
      </c>
      <c r="H13" s="3" t="str">
        <f>IFERROR(__xludf.DUMMYFUNCTION("IF(TRIM($G13) = """", """", 
  IF(REGEXMATCH($G13, ""(Blvd|Street|St|Avenue|Ave|Drive|Lane)""), 
     REGEXEXTRACT($G13, "".*?(?:Blvd|Street|St|Avenue|Ave|Drive|Lane)""), 
     IF(
       ISNUMBER(FIND("","", $G13)), 
       LEFT($G13, FIND("","", $G13) -"&amp;" 1), 
       """"
     )
  )
)"),"99 W 10th Avenue")</f>
        <v>99 W 10th Avenue</v>
      </c>
      <c r="I13" s="4" t="str">
        <f>IFERROR(__xludf.DUMMYFUNCTION("IF(ISBLANK($G13), """",
 IF(REGEXMATCH($G13, ""#""), LEFT(MID($G13, FIND(""#"", $G13), 50), FIND("","", MID($G13, FIND(""#"", $G13), 50)) - 1),
 IF(REGEXMATCH($G13, ""Unit""), LEFT(MID($G13, FIND(""Unit"", $G13), 50), FIND("","", MID($G13, FIND(""Unit"", "&amp;"$G13), 50)) - 1),
 IF(REGEXMATCH($G13, ""Apt""), LEFT(MID($G13, FIND(""Apt"", $G13), 50), FIND("","", MID($G13, FIND(""Apt"", $G13), 50)) - 1),
 """"))))"),"Unit 14D")</f>
        <v>Unit 14D</v>
      </c>
      <c r="J13" s="5" t="str">
        <f t="shared" si="2"/>
        <v>Flint</v>
      </c>
      <c r="K13" s="4" t="str">
        <f>IFERROR(__xludf.DUMMYFUNCTION("IFERROR(REGEXEXTRACT($G13, ""State \d+""),"""")"),"State 10")</f>
        <v>State 10</v>
      </c>
      <c r="L13" s="4" t="str">
        <f>IFERROR(__xludf.DUMMYFUNCTION("IFERROR(REGEXEXTRACT($G13, ""\d{5}$""), """")"),"11111")</f>
        <v>11111</v>
      </c>
      <c r="M13" s="1"/>
      <c r="N13" s="1">
        <v>1.1111111111E10</v>
      </c>
      <c r="O13" s="1" t="s">
        <v>26</v>
      </c>
      <c r="P13" s="6" t="s">
        <v>92</v>
      </c>
      <c r="Q13" s="1"/>
      <c r="R13" s="1" t="str">
        <f t="shared" si="3"/>
        <v>2/20/1980</v>
      </c>
      <c r="S13" s="7">
        <v>29271.0</v>
      </c>
      <c r="T13" s="1"/>
      <c r="U13" s="1"/>
      <c r="V13" s="1" t="str">
        <f t="shared" si="4"/>
        <v>IRMO Hersey &amp; Banahan</v>
      </c>
      <c r="W13" s="1" t="s">
        <v>93</v>
      </c>
      <c r="X13" s="1">
        <v>9246182.0</v>
      </c>
    </row>
    <row r="14">
      <c r="A14" s="1">
        <v>1.5603341E7</v>
      </c>
      <c r="B14" s="1" t="s">
        <v>94</v>
      </c>
      <c r="C14" s="1" t="s">
        <v>95</v>
      </c>
      <c r="D14" s="1" t="s">
        <v>96</v>
      </c>
      <c r="E14" s="1" t="str">
        <f t="shared" si="1"/>
        <v>Valencia, Andrew Rosete</v>
      </c>
      <c r="F14" s="1"/>
      <c r="G14" s="2" t="s">
        <v>97</v>
      </c>
      <c r="H14" s="3" t="str">
        <f>IFERROR(__xludf.DUMMYFUNCTION("IF(TRIM($G14) = """", """", 
  IF(REGEXMATCH($G14, ""(Blvd|Street|St|Avenue|Ave|Drive|Lane)""), 
     REGEXEXTRACT($G14, "".*?(?:Blvd|Street|St|Avenue|Ave|Drive|Lane)""), 
     IF(
       ISNUMBER(FIND("","", $G14)), 
       LEFT($G14, FIND("","", $G14) -"&amp;" 1), 
       """"
     )
  )
)"),"100 Hylein, Unit 4,  Tampa, St")</f>
        <v>100 Hylein, Unit 4,  Tampa, St</v>
      </c>
      <c r="I14" s="4" t="str">
        <f>IFERROR(__xludf.DUMMYFUNCTION("IF(ISBLANK($G14), """",
 IF(REGEXMATCH($G14, ""#""), LEFT(MID($G14, FIND(""#"", $G14), 50), FIND("","", MID($G14, FIND(""#"", $G14), 50)) - 1),
 IF(REGEXMATCH($G14, ""Unit""), LEFT(MID($G14, FIND(""Unit"", $G14), 50), FIND("","", MID($G14, FIND(""Unit"", "&amp;"$G14), 50)) - 1),
 IF(REGEXMATCH($G14, ""Apt""), LEFT(MID($G14, FIND(""Apt"", $G14), 50), FIND("","", MID($G14, FIND(""Apt"", $G14), 50)) - 1),
 """"))))"),"Unit 4")</f>
        <v>Unit 4</v>
      </c>
      <c r="J14" s="5" t="str">
        <f t="shared" si="2"/>
        <v>Tampa</v>
      </c>
      <c r="K14" s="4" t="str">
        <f>IFERROR(__xludf.DUMMYFUNCTION("IFERROR(REGEXEXTRACT($G14, ""State \d+""),"""")"),"State 11")</f>
        <v>State 11</v>
      </c>
      <c r="L14" s="4" t="str">
        <f>IFERROR(__xludf.DUMMYFUNCTION("IFERROR(REGEXEXTRACT($G14, ""\d{5}$""), """")"),"11111")</f>
        <v>11111</v>
      </c>
      <c r="M14" s="1"/>
      <c r="N14" s="1" t="s">
        <v>98</v>
      </c>
      <c r="O14" s="1" t="s">
        <v>26</v>
      </c>
      <c r="P14" s="6" t="s">
        <v>99</v>
      </c>
      <c r="Q14" s="1"/>
      <c r="R14" s="1" t="str">
        <f t="shared" si="3"/>
        <v/>
      </c>
      <c r="S14" s="1"/>
      <c r="T14" s="1"/>
      <c r="U14" s="1"/>
      <c r="V14" s="1" t="str">
        <f t="shared" si="4"/>
        <v>IRMO Valencia</v>
      </c>
      <c r="W14" s="1" t="s">
        <v>100</v>
      </c>
      <c r="X14" s="1">
        <v>9336068.0</v>
      </c>
    </row>
    <row r="15">
      <c r="A15" s="1">
        <v>1.5703531E7</v>
      </c>
      <c r="B15" s="1" t="s">
        <v>101</v>
      </c>
      <c r="C15" s="1"/>
      <c r="D15" s="1" t="s">
        <v>102</v>
      </c>
      <c r="E15" s="1" t="str">
        <f t="shared" si="1"/>
        <v>Hou, Yen-Ming</v>
      </c>
      <c r="F15" s="1"/>
      <c r="G15" s="1" t="s">
        <v>103</v>
      </c>
      <c r="H15" s="3" t="str">
        <f>IFERROR(__xludf.DUMMYFUNCTION("IF(TRIM($G15) = """", """", 
  IF(REGEXMATCH($G15, ""(Blvd|Street|St|Avenue|Ave|Drive|Lane)""), 
     REGEXEXTRACT($G15, "".*?(?:Blvd|Street|St|Avenue|Ave|Drive|Lane)""), 
     IF(
       ISNUMBER(FIND("","", $G15)), 
       LEFT($G15, FIND("","", $G15) -"&amp;" 1), 
       """"
     )
  )
)"),"901 Skycreek Drive")</f>
        <v>901 Skycreek Drive</v>
      </c>
      <c r="I15" s="4" t="str">
        <f>IFERROR(__xludf.DUMMYFUNCTION("IF(ISBLANK($G15), """",
 IF(REGEXMATCH($G15, ""#""), LEFT(MID($G15, FIND(""#"", $G15), 50), FIND("","", MID($G15, FIND(""#"", $G15), 50)) - 1),
 IF(REGEXMATCH($G15, ""Unit""), LEFT(MID($G15, FIND(""Unit"", $G15), 50), FIND("","", MID($G15, FIND(""Unit"", "&amp;"$G15), 50)) - 1),
 IF(REGEXMATCH($G15, ""Apt""), LEFT(MID($G15, FIND(""Apt"", $G15), 50), FIND("","", MID($G15, FIND(""Apt"", $G15), 50)) - 1),
 """"))))"),"#87")</f>
        <v>#87</v>
      </c>
      <c r="J15" s="5" t="str">
        <f t="shared" si="2"/>
        <v>Miami</v>
      </c>
      <c r="K15" s="4" t="str">
        <f>IFERROR(__xludf.DUMMYFUNCTION("IFERROR(REGEXEXTRACT($G15, ""State \d+""),"""")"),"State 12")</f>
        <v>State 12</v>
      </c>
      <c r="L15" s="4" t="str">
        <f>IFERROR(__xludf.DUMMYFUNCTION("IFERROR(REGEXEXTRACT($G15, ""\d{5}$""), """")"),"11111")</f>
        <v>11111</v>
      </c>
      <c r="M15" s="1"/>
      <c r="N15" s="1" t="s">
        <v>104</v>
      </c>
      <c r="O15" s="1" t="s">
        <v>26</v>
      </c>
      <c r="P15" s="6" t="s">
        <v>105</v>
      </c>
      <c r="Q15" s="1"/>
      <c r="R15" s="1" t="str">
        <f t="shared" si="3"/>
        <v/>
      </c>
      <c r="S15" s="1"/>
      <c r="T15" s="1"/>
      <c r="U15" s="1"/>
      <c r="V15" s="1" t="str">
        <f t="shared" si="4"/>
        <v>IRMO Mulroy &amp; Hou</v>
      </c>
      <c r="W15" s="1" t="s">
        <v>106</v>
      </c>
      <c r="X15" s="1">
        <v>9416495.0</v>
      </c>
    </row>
    <row r="16">
      <c r="A16" s="1">
        <v>1.6193894E7</v>
      </c>
      <c r="B16" s="1" t="s">
        <v>107</v>
      </c>
      <c r="C16" s="1" t="s">
        <v>108</v>
      </c>
      <c r="D16" s="1" t="s">
        <v>109</v>
      </c>
      <c r="E16" s="1" t="str">
        <f t="shared" si="1"/>
        <v>Bryant, Matthew Phil</v>
      </c>
      <c r="F16" s="1"/>
      <c r="G16" s="1" t="s">
        <v>110</v>
      </c>
      <c r="H16" s="3" t="str">
        <f>IFERROR(__xludf.DUMMYFUNCTION("IF(TRIM($G16) = """", """", 
  IF(REGEXMATCH($G16, ""(Blvd|Street|St|Avenue|Ave|Drive|Lane)""), 
     REGEXEXTRACT($G16, "".*?(?:Blvd|Street|St|Avenue|Ave|Drive|Lane)""), 
     IF(
       ISNUMBER(FIND("","", $G16)), 
       LEFT($G16, FIND("","", $G16) -"&amp;" 1), 
       """"
     )
  )
)"),"4009 Bayle Street")</f>
        <v>4009 Bayle Street</v>
      </c>
      <c r="I16" s="4" t="str">
        <f>IFERROR(__xludf.DUMMYFUNCTION("IF(ISBLANK($G16), """",
 IF(REGEXMATCH($G16, ""#""), LEFT(MID($G16, FIND(""#"", $G16), 50), FIND("","", MID($G16, FIND(""#"", $G16), 50)) - 1),
 IF(REGEXMATCH($G16, ""Unit""), LEFT(MID($G16, FIND(""Unit"", $G16), 50), FIND("","", MID($G16, FIND(""Unit"", "&amp;"$G16), 50)) - 1),
 IF(REGEXMATCH($G16, ""Apt""), LEFT(MID($G16, FIND(""Apt"", $G16), 50), FIND("","", MID($G16, FIND(""Apt"", $G16), 50)) - 1),
 """"))))"),"Apt 803")</f>
        <v>Apt 803</v>
      </c>
      <c r="J16" s="5" t="str">
        <f t="shared" si="2"/>
        <v>Seattle</v>
      </c>
      <c r="K16" s="4" t="str">
        <f>IFERROR(__xludf.DUMMYFUNCTION("IFERROR(REGEXEXTRACT($G16, ""State \d+""),"""")"),"State 13")</f>
        <v>State 13</v>
      </c>
      <c r="L16" s="4" t="str">
        <f>IFERROR(__xludf.DUMMYFUNCTION("IFERROR(REGEXEXTRACT($G16, ""\d{5}$""), """")"),"11111")</f>
        <v>11111</v>
      </c>
      <c r="M16" s="1"/>
      <c r="N16" s="1"/>
      <c r="O16" s="1" t="s">
        <v>26</v>
      </c>
      <c r="P16" s="6" t="s">
        <v>111</v>
      </c>
      <c r="Q16" s="1"/>
      <c r="R16" s="1" t="str">
        <f t="shared" si="3"/>
        <v>12/24/1995</v>
      </c>
      <c r="S16" s="7">
        <v>35057.0</v>
      </c>
      <c r="T16" s="1"/>
      <c r="U16" s="1"/>
      <c r="V16" s="1" t="str">
        <f t="shared" si="4"/>
        <v>Matthew Bryant</v>
      </c>
      <c r="W16" s="1" t="s">
        <v>112</v>
      </c>
      <c r="X16" s="1">
        <v>9755543.0</v>
      </c>
    </row>
    <row r="17">
      <c r="A17" s="1">
        <v>1.643881E7</v>
      </c>
      <c r="B17" s="1" t="s">
        <v>113</v>
      </c>
      <c r="C17" s="1" t="s">
        <v>114</v>
      </c>
      <c r="D17" s="1" t="s">
        <v>115</v>
      </c>
      <c r="E17" s="1" t="str">
        <f t="shared" si="1"/>
        <v>Scanlan, Brittany Christine</v>
      </c>
      <c r="F17" s="1"/>
      <c r="G17" s="1" t="s">
        <v>116</v>
      </c>
      <c r="H17" s="3" t="str">
        <f>IFERROR(__xludf.DUMMYFUNCTION("IF(TRIM($G17) = """", """", 
  IF(REGEXMATCH($G17, ""(Blvd|Street|St|Avenue|Ave|Drive|Lane)""), 
     REGEXEXTRACT($G17, "".*?(?:Blvd|Street|St|Avenue|Ave|Drive|Lane)""), 
     IF(
       ISNUMBER(FIND("","", $G17)), 
       LEFT($G17, FIND("","", $G17) -"&amp;" 1), 
       """"
     )
  )
)"),"101 Boardway Ave")</f>
        <v>101 Boardway Ave</v>
      </c>
      <c r="I17" s="4" t="str">
        <f>IFERROR(__xludf.DUMMYFUNCTION("IF(ISBLANK($G17), """",
 IF(REGEXMATCH($G17, ""#""), LEFT(MID($G17, FIND(""#"", $G17), 50), FIND("","", MID($G17, FIND(""#"", $G17), 50)) - 1),
 IF(REGEXMATCH($G17, ""Unit""), LEFT(MID($G17, FIND(""Unit"", $G17), 50), FIND("","", MID($G17, FIND(""Unit"", "&amp;"$G17), 50)) - 1),
 IF(REGEXMATCH($G17, ""Apt""), LEFT(MID($G17, FIND(""Apt"", $G17), 50), FIND("","", MID($G17, FIND(""Apt"", $G17), 50)) - 1),
 """"))))"),"#21")</f>
        <v>#21</v>
      </c>
      <c r="J17" s="5" t="str">
        <f t="shared" si="2"/>
        <v>Fort Lauderdale</v>
      </c>
      <c r="K17" s="4" t="str">
        <f>IFERROR(__xludf.DUMMYFUNCTION("IFERROR(REGEXEXTRACT($G17, ""State \d+""),"""")"),"State 14")</f>
        <v>State 14</v>
      </c>
      <c r="L17" s="4" t="str">
        <f>IFERROR(__xludf.DUMMYFUNCTION("IFERROR(REGEXEXTRACT($G17, ""\d{5}$""), """")"),"11111")</f>
        <v>11111</v>
      </c>
      <c r="M17" s="1"/>
      <c r="N17" s="1" t="s">
        <v>117</v>
      </c>
      <c r="O17" s="1" t="s">
        <v>26</v>
      </c>
      <c r="P17" s="6" t="s">
        <v>118</v>
      </c>
      <c r="Q17" s="1"/>
      <c r="R17" s="1" t="str">
        <f t="shared" si="3"/>
        <v/>
      </c>
      <c r="S17" s="1"/>
      <c r="T17" s="1"/>
      <c r="U17" s="1"/>
      <c r="V17" s="1" t="str">
        <f t="shared" si="4"/>
        <v>IRMO Scanlan</v>
      </c>
      <c r="W17" s="1" t="s">
        <v>119</v>
      </c>
      <c r="X17" s="1">
        <v>9928699.0</v>
      </c>
    </row>
    <row r="18">
      <c r="A18" s="1">
        <v>1.6480369E7</v>
      </c>
      <c r="B18" s="1" t="s">
        <v>120</v>
      </c>
      <c r="C18" s="1"/>
      <c r="D18" s="1" t="s">
        <v>121</v>
      </c>
      <c r="E18" s="1" t="str">
        <f t="shared" si="1"/>
        <v>Gotelli, Lauren</v>
      </c>
      <c r="F18" s="1"/>
      <c r="G18" s="1" t="s">
        <v>122</v>
      </c>
      <c r="H18" s="3" t="str">
        <f>IFERROR(__xludf.DUMMYFUNCTION("IF(TRIM($G18) = """", """", 
  IF(REGEXMATCH($G18, ""(Blvd|Street|St|Avenue|Ave|Drive|Lane)""), 
     REGEXEXTRACT($G18, "".*?(?:Blvd|Street|St|Avenue|Ave|Drive|Lane)""), 
     IF(
       ISNUMBER(FIND("","", $G18)), 
       LEFT($G18, FIND("","", $G18) -"&amp;" 1), 
       """"
     )
  )
)"),"6078 Burneigh Ave")</f>
        <v>6078 Burneigh Ave</v>
      </c>
      <c r="I18" s="4" t="str">
        <f>IFERROR(__xludf.DUMMYFUNCTION("IF(ISBLANK($G18), """",
 IF(REGEXMATCH($G18, ""#""), LEFT(MID($G18, FIND(""#"", $G18), 50), FIND("","", MID($G18, FIND(""#"", $G18), 50)) - 1),
 IF(REGEXMATCH($G18, ""Unit""), LEFT(MID($G18, FIND(""Unit"", $G18), 50), FIND("","", MID($G18, FIND(""Unit"", "&amp;"$G18), 50)) - 1),
 IF(REGEXMATCH($G18, ""Apt""), LEFT(MID($G18, FIND(""Apt"", $G18), 50), FIND("","", MID($G18, FIND(""Apt"", $G18), 50)) - 1),
 """"))))"),"#3")</f>
        <v>#3</v>
      </c>
      <c r="J18" s="5" t="str">
        <f t="shared" si="2"/>
        <v>Orlando</v>
      </c>
      <c r="K18" s="4" t="str">
        <f>IFERROR(__xludf.DUMMYFUNCTION("IFERROR(REGEXEXTRACT($G18, ""State \d+""),"""")"),"State 15")</f>
        <v>State 15</v>
      </c>
      <c r="L18" s="4" t="str">
        <f>IFERROR(__xludf.DUMMYFUNCTION("IFERROR(REGEXEXTRACT($G18, ""\d{5}$""), """")"),"11111")</f>
        <v>11111</v>
      </c>
      <c r="M18" s="1"/>
      <c r="N18" s="1" t="s">
        <v>123</v>
      </c>
      <c r="O18" s="1" t="s">
        <v>26</v>
      </c>
      <c r="P18" s="1"/>
      <c r="Q18" s="1"/>
      <c r="R18" s="1" t="str">
        <f t="shared" si="3"/>
        <v>10/1/1965</v>
      </c>
      <c r="S18" s="7">
        <v>24016.0</v>
      </c>
      <c r="T18" s="1"/>
      <c r="U18" s="1"/>
      <c r="V18" s="1" t="str">
        <f t="shared" si="4"/>
        <v>Lauren Gotelli</v>
      </c>
      <c r="W18" s="1" t="s">
        <v>124</v>
      </c>
      <c r="X18" s="1">
        <v>9953780.0</v>
      </c>
    </row>
    <row r="19">
      <c r="A19" s="1">
        <v>1.7820681E7</v>
      </c>
      <c r="B19" s="1" t="s">
        <v>125</v>
      </c>
      <c r="C19" s="1" t="s">
        <v>126</v>
      </c>
      <c r="D19" s="1" t="s">
        <v>127</v>
      </c>
      <c r="E19" s="1" t="str">
        <f t="shared" si="1"/>
        <v>Gutierrez, Margarita                 </v>
      </c>
      <c r="F19" s="1"/>
      <c r="G19" s="1" t="s">
        <v>128</v>
      </c>
      <c r="H19" s="3" t="str">
        <f>IFERROR(__xludf.DUMMYFUNCTION("IF(TRIM($G19) = """", """", 
  IF(REGEXMATCH($G19, ""(Blvd|Street|St|Avenue|Ave|Drive|Lane)""), 
     REGEXEXTRACT($G19, "".*?(?:Blvd|Street|St|Avenue|Ave|Drive|Lane)""), 
     IF(
       ISNUMBER(FIND("","", $G19)), 
       LEFT($G19, FIND("","", $G19) -"&amp;" 1), 
       """"
     )
  )
)"),"9087 Christmas Drive")</f>
        <v>9087 Christmas Drive</v>
      </c>
      <c r="I19" s="4" t="str">
        <f>IFERROR(__xludf.DUMMYFUNCTION("IF(ISBLANK($G19), """",
 IF(REGEXMATCH($G19, ""#""), LEFT(MID($G19, FIND(""#"", $G19), 50), FIND("","", MID($G19, FIND(""#"", $G19), 50)) - 1),
 IF(REGEXMATCH($G19, ""Unit""), LEFT(MID($G19, FIND(""Unit"", $G19), 50), FIND("","", MID($G19, FIND(""Unit"", "&amp;"$G19), 50)) - 1),
 IF(REGEXMATCH($G19, ""Apt""), LEFT(MID($G19, FIND(""Apt"", $G19), 50), FIND("","", MID($G19, FIND(""Apt"", $G19), 50)) - 1),
 """"))))"),"# 101")</f>
        <v># 101</v>
      </c>
      <c r="J19" s="5" t="str">
        <f t="shared" si="2"/>
        <v>Las Vegas</v>
      </c>
      <c r="K19" s="4" t="str">
        <f>IFERROR(__xludf.DUMMYFUNCTION("IFERROR(REGEXEXTRACT($G19, ""State \d+""),"""")"),"State 16")</f>
        <v>State 16</v>
      </c>
      <c r="L19" s="4" t="str">
        <f>IFERROR(__xludf.DUMMYFUNCTION("IFERROR(REGEXEXTRACT($G19, ""\d{5}$""), """")"),"11111")</f>
        <v>11111</v>
      </c>
      <c r="M19" s="1"/>
      <c r="N19" s="1"/>
      <c r="O19" s="1" t="s">
        <v>26</v>
      </c>
      <c r="P19" s="6" t="s">
        <v>129</v>
      </c>
      <c r="Q19" s="1"/>
      <c r="R19" s="1" t="str">
        <f t="shared" si="3"/>
        <v/>
      </c>
      <c r="S19" s="1"/>
      <c r="T19" s="1"/>
      <c r="U19" s="1"/>
      <c r="V19" s="1" t="str">
        <f t="shared" si="4"/>
        <v>Margarita Gutierrez</v>
      </c>
      <c r="W19" s="1" t="s">
        <v>130</v>
      </c>
      <c r="X19" s="1">
        <v>1.0759701E7</v>
      </c>
    </row>
    <row r="21" ht="15.75" customHeight="1"/>
    <row r="22" ht="15.75" customHeight="1">
      <c r="H22" s="8"/>
    </row>
    <row r="23" ht="15.75" customHeight="1"/>
    <row r="24" ht="15.75" customHeight="1"/>
    <row r="25" ht="15.75" customHeight="1"/>
    <row r="26" ht="15.75" customHeight="1">
      <c r="G26" s="5" t="str">
        <f>G2</f>
        <v>     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1"/>
    <hyperlink r:id="rId10" ref="P12"/>
    <hyperlink r:id="rId11" ref="P13"/>
    <hyperlink r:id="rId12" ref="P14"/>
    <hyperlink r:id="rId13" ref="P15"/>
    <hyperlink r:id="rId14" ref="P16"/>
    <hyperlink r:id="rId15" ref="P17"/>
    <hyperlink r:id="rId16" ref="P19"/>
  </hyperlinks>
  <printOptions/>
  <pageMargins bottom="0.75" footer="0.0" header="0.0" left="0.7" right="0.7" top="0.75"/>
  <pageSetup orientation="landscape"/>
  <drawing r:id="rId17"/>
  <legacyDrawing r:id="rId18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0"/>
  </cols>
  <sheetData>
    <row r="1">
      <c r="A1" s="9" t="s">
        <v>131</v>
      </c>
    </row>
    <row r="2">
      <c r="A2" s="10" t="s">
        <v>132</v>
      </c>
    </row>
    <row r="3">
      <c r="A3" s="11" t="s">
        <v>133</v>
      </c>
    </row>
    <row r="4">
      <c r="A4" s="10" t="s">
        <v>134</v>
      </c>
    </row>
    <row r="5">
      <c r="A5" s="11" t="s">
        <v>135</v>
      </c>
    </row>
    <row r="6">
      <c r="A6" s="12" t="s">
        <v>136</v>
      </c>
    </row>
    <row r="7">
      <c r="A7" s="13" t="s">
        <v>137</v>
      </c>
    </row>
    <row r="8">
      <c r="A8" s="14" t="s">
        <v>138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8.63"/>
    <col customWidth="1" min="5" max="5" width="24.63"/>
    <col customWidth="1" min="6" max="6" width="8.63"/>
    <col customWidth="1" min="7" max="7" width="36.38"/>
    <col customWidth="1" min="8" max="8" width="24.75"/>
    <col customWidth="1" min="9" max="9" width="13.0"/>
    <col customWidth="1" min="10" max="17" width="8.63"/>
    <col customWidth="1" min="18" max="18" width="10.38"/>
    <col customWidth="1" min="19" max="20" width="8.63"/>
    <col customWidth="1" min="21" max="21" width="35.25"/>
    <col customWidth="1" min="22" max="22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139</v>
      </c>
      <c r="F1" s="1" t="s">
        <v>5</v>
      </c>
      <c r="G1" s="1" t="s">
        <v>6</v>
      </c>
      <c r="H1" s="1" t="s">
        <v>140</v>
      </c>
      <c r="I1" s="1" t="s">
        <v>141</v>
      </c>
      <c r="J1" s="1" t="s">
        <v>142</v>
      </c>
      <c r="K1" s="1" t="s">
        <v>143</v>
      </c>
      <c r="L1" s="1" t="s">
        <v>144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1">
        <v>7398191.0</v>
      </c>
      <c r="B2" s="1" t="s">
        <v>22</v>
      </c>
      <c r="C2" s="1" t="s">
        <v>23</v>
      </c>
      <c r="D2" s="1" t="s">
        <v>24</v>
      </c>
      <c r="E2" s="1" t="s">
        <v>145</v>
      </c>
      <c r="F2" s="1"/>
      <c r="G2" s="1" t="s">
        <v>25</v>
      </c>
      <c r="H2" s="7" t="s">
        <v>146</v>
      </c>
      <c r="I2" s="1" t="s">
        <v>146</v>
      </c>
      <c r="J2" s="1"/>
      <c r="K2" s="1"/>
      <c r="L2" s="1"/>
      <c r="M2" s="1"/>
      <c r="N2" s="1"/>
      <c r="O2" s="1" t="s">
        <v>26</v>
      </c>
      <c r="P2" s="1"/>
      <c r="Q2" s="1"/>
      <c r="R2" s="15"/>
      <c r="S2" s="1"/>
      <c r="T2" s="1"/>
      <c r="U2" s="1" t="s">
        <v>147</v>
      </c>
      <c r="V2" s="1">
        <v>3783285.0</v>
      </c>
    </row>
    <row r="3">
      <c r="A3" s="1">
        <v>7439820.0</v>
      </c>
      <c r="B3" s="1" t="s">
        <v>28</v>
      </c>
      <c r="C3" s="1" t="s">
        <v>29</v>
      </c>
      <c r="D3" s="1" t="s">
        <v>30</v>
      </c>
      <c r="E3" s="1" t="s">
        <v>148</v>
      </c>
      <c r="F3" s="1"/>
      <c r="G3" s="1" t="s">
        <v>31</v>
      </c>
      <c r="H3" s="7" t="s">
        <v>149</v>
      </c>
      <c r="I3" s="1" t="s">
        <v>150</v>
      </c>
      <c r="J3" s="1" t="s">
        <v>151</v>
      </c>
      <c r="K3" s="1" t="s">
        <v>152</v>
      </c>
      <c r="L3" s="1">
        <v>11111.0</v>
      </c>
      <c r="M3" s="1"/>
      <c r="N3" s="1" t="s">
        <v>32</v>
      </c>
      <c r="O3" s="1" t="s">
        <v>26</v>
      </c>
      <c r="P3" s="6" t="s">
        <v>33</v>
      </c>
      <c r="Q3" s="1"/>
      <c r="R3" s="15"/>
      <c r="S3" s="1"/>
      <c r="T3" s="1"/>
      <c r="U3" s="1" t="s">
        <v>153</v>
      </c>
      <c r="V3" s="1">
        <v>3810123.0</v>
      </c>
    </row>
    <row r="4">
      <c r="A4" s="1">
        <v>7451828.0</v>
      </c>
      <c r="B4" s="1" t="s">
        <v>35</v>
      </c>
      <c r="C4" s="1" t="s">
        <v>25</v>
      </c>
      <c r="D4" s="1" t="s">
        <v>36</v>
      </c>
      <c r="E4" s="1" t="s">
        <v>154</v>
      </c>
      <c r="F4" s="1"/>
      <c r="G4" s="1" t="s">
        <v>25</v>
      </c>
      <c r="H4" s="7" t="s">
        <v>146</v>
      </c>
      <c r="I4" s="1" t="s">
        <v>146</v>
      </c>
      <c r="J4" s="1"/>
      <c r="K4" s="1"/>
      <c r="L4" s="1"/>
      <c r="M4" s="1"/>
      <c r="N4" s="1"/>
      <c r="O4" s="1" t="s">
        <v>26</v>
      </c>
      <c r="P4" s="6" t="s">
        <v>37</v>
      </c>
      <c r="Q4" s="1"/>
      <c r="R4" s="15"/>
      <c r="S4" s="1"/>
      <c r="T4" s="1"/>
      <c r="U4" s="1" t="s">
        <v>155</v>
      </c>
      <c r="V4" s="1">
        <v>3820215.0</v>
      </c>
    </row>
    <row r="5">
      <c r="A5" s="1">
        <v>7871642.0</v>
      </c>
      <c r="B5" s="1" t="s">
        <v>39</v>
      </c>
      <c r="C5" s="1" t="s">
        <v>40</v>
      </c>
      <c r="D5" s="1" t="s">
        <v>41</v>
      </c>
      <c r="E5" s="1" t="s">
        <v>156</v>
      </c>
      <c r="F5" s="1"/>
      <c r="G5" s="1" t="s">
        <v>42</v>
      </c>
      <c r="H5" s="7" t="s">
        <v>157</v>
      </c>
      <c r="I5" s="1" t="s">
        <v>158</v>
      </c>
      <c r="J5" s="1" t="s">
        <v>159</v>
      </c>
      <c r="K5" s="1" t="s">
        <v>160</v>
      </c>
      <c r="L5" s="1">
        <v>11111.0</v>
      </c>
      <c r="M5" s="1"/>
      <c r="N5" s="1" t="s">
        <v>43</v>
      </c>
      <c r="O5" s="1" t="s">
        <v>26</v>
      </c>
      <c r="P5" s="6" t="s">
        <v>44</v>
      </c>
      <c r="Q5" s="1"/>
      <c r="R5" s="15"/>
      <c r="S5" s="1"/>
      <c r="T5" s="1"/>
      <c r="U5" s="1" t="s">
        <v>45</v>
      </c>
      <c r="V5" s="1">
        <v>4066854.0</v>
      </c>
    </row>
    <row r="6">
      <c r="A6" s="1">
        <v>8004314.0</v>
      </c>
      <c r="B6" s="1" t="s">
        <v>46</v>
      </c>
      <c r="C6" s="1"/>
      <c r="D6" s="1" t="s">
        <v>47</v>
      </c>
      <c r="E6" s="1" t="s">
        <v>161</v>
      </c>
      <c r="F6" s="1"/>
      <c r="G6" s="1" t="s">
        <v>48</v>
      </c>
      <c r="H6" s="7" t="s">
        <v>162</v>
      </c>
      <c r="I6" s="1" t="s">
        <v>146</v>
      </c>
      <c r="J6" s="1" t="s">
        <v>163</v>
      </c>
      <c r="K6" s="1" t="s">
        <v>164</v>
      </c>
      <c r="L6" s="1">
        <v>11111.0</v>
      </c>
      <c r="M6" s="1"/>
      <c r="N6" s="1"/>
      <c r="O6" s="1" t="s">
        <v>26</v>
      </c>
      <c r="P6" s="6" t="s">
        <v>49</v>
      </c>
      <c r="Q6" s="1"/>
      <c r="R6" s="15">
        <v>31648.0</v>
      </c>
      <c r="S6" s="1"/>
      <c r="T6" s="1" t="s">
        <v>50</v>
      </c>
      <c r="U6" s="1" t="s">
        <v>165</v>
      </c>
      <c r="V6" s="1">
        <v>4134776.0</v>
      </c>
    </row>
    <row r="7">
      <c r="A7" s="1">
        <v>8393082.0</v>
      </c>
      <c r="B7" s="1" t="s">
        <v>52</v>
      </c>
      <c r="C7" s="1" t="s">
        <v>53</v>
      </c>
      <c r="D7" s="1" t="s">
        <v>54</v>
      </c>
      <c r="E7" s="1" t="s">
        <v>166</v>
      </c>
      <c r="F7" s="1"/>
      <c r="G7" s="1" t="s">
        <v>55</v>
      </c>
      <c r="H7" s="7" t="s">
        <v>167</v>
      </c>
      <c r="I7" s="1" t="s">
        <v>146</v>
      </c>
      <c r="J7" s="1" t="s">
        <v>168</v>
      </c>
      <c r="K7" s="1" t="s">
        <v>169</v>
      </c>
      <c r="L7" s="1">
        <v>11111.0</v>
      </c>
      <c r="M7" s="1"/>
      <c r="N7" s="1" t="s">
        <v>56</v>
      </c>
      <c r="O7" s="1" t="s">
        <v>26</v>
      </c>
      <c r="P7" s="6" t="s">
        <v>57</v>
      </c>
      <c r="Q7" s="1"/>
      <c r="R7" s="15"/>
      <c r="S7" s="1"/>
      <c r="T7" s="1"/>
      <c r="U7" s="1" t="s">
        <v>170</v>
      </c>
      <c r="V7" s="1">
        <v>4411263.0</v>
      </c>
    </row>
    <row r="8">
      <c r="A8" s="1">
        <v>8797264.0</v>
      </c>
      <c r="B8" s="1" t="s">
        <v>59</v>
      </c>
      <c r="C8" s="1"/>
      <c r="D8" s="1" t="s">
        <v>60</v>
      </c>
      <c r="E8" s="1" t="s">
        <v>171</v>
      </c>
      <c r="F8" s="1"/>
      <c r="G8" s="1" t="s">
        <v>61</v>
      </c>
      <c r="H8" s="7" t="s">
        <v>172</v>
      </c>
      <c r="I8" s="1" t="s">
        <v>173</v>
      </c>
      <c r="J8" s="1" t="s">
        <v>174</v>
      </c>
      <c r="K8" s="1" t="s">
        <v>175</v>
      </c>
      <c r="L8" s="1">
        <v>11111.0</v>
      </c>
      <c r="M8" s="1"/>
      <c r="N8" s="1" t="s">
        <v>62</v>
      </c>
      <c r="O8" s="1" t="s">
        <v>26</v>
      </c>
      <c r="P8" s="6" t="s">
        <v>63</v>
      </c>
      <c r="Q8" s="1"/>
      <c r="R8" s="15"/>
      <c r="S8" s="1"/>
      <c r="T8" s="1"/>
      <c r="U8" s="1" t="s">
        <v>64</v>
      </c>
      <c r="V8" s="1">
        <v>4663111.0</v>
      </c>
    </row>
    <row r="9">
      <c r="A9" s="1">
        <v>8886849.0</v>
      </c>
      <c r="B9" s="1" t="s">
        <v>65</v>
      </c>
      <c r="C9" s="1"/>
      <c r="D9" s="1" t="s">
        <v>66</v>
      </c>
      <c r="E9" s="1" t="s">
        <v>176</v>
      </c>
      <c r="F9" s="1"/>
      <c r="G9" s="1" t="s">
        <v>67</v>
      </c>
      <c r="H9" s="7" t="s">
        <v>177</v>
      </c>
      <c r="I9" s="1" t="s">
        <v>178</v>
      </c>
      <c r="J9" s="1" t="s">
        <v>179</v>
      </c>
      <c r="K9" s="1" t="s">
        <v>180</v>
      </c>
      <c r="L9" s="1">
        <v>11111.0</v>
      </c>
      <c r="M9" s="1"/>
      <c r="N9" s="1" t="s">
        <v>68</v>
      </c>
      <c r="O9" s="1" t="s">
        <v>26</v>
      </c>
      <c r="P9" s="6" t="s">
        <v>69</v>
      </c>
      <c r="Q9" s="1"/>
      <c r="R9" s="15"/>
      <c r="S9" s="1"/>
      <c r="T9" s="1"/>
      <c r="U9" s="1" t="s">
        <v>181</v>
      </c>
      <c r="V9" s="1">
        <v>4723026.0</v>
      </c>
    </row>
    <row r="10">
      <c r="A10" s="1">
        <v>1.4280362E7</v>
      </c>
      <c r="B10" s="1" t="s">
        <v>71</v>
      </c>
      <c r="C10" s="1"/>
      <c r="D10" s="1" t="s">
        <v>72</v>
      </c>
      <c r="E10" s="1" t="s">
        <v>182</v>
      </c>
      <c r="F10" s="1"/>
      <c r="G10" s="1" t="s">
        <v>73</v>
      </c>
      <c r="H10" s="7" t="s">
        <v>183</v>
      </c>
      <c r="I10" s="1" t="s">
        <v>146</v>
      </c>
      <c r="J10" s="1" t="s">
        <v>184</v>
      </c>
      <c r="K10" s="1" t="s">
        <v>185</v>
      </c>
      <c r="L10" s="1">
        <v>11111.0</v>
      </c>
      <c r="M10" s="1"/>
      <c r="N10" s="1"/>
      <c r="O10" s="1" t="s">
        <v>26</v>
      </c>
      <c r="P10" s="1"/>
      <c r="Q10" s="1"/>
      <c r="R10" s="15"/>
      <c r="S10" s="1" t="s">
        <v>74</v>
      </c>
      <c r="T10" s="1"/>
      <c r="U10" s="1" t="s">
        <v>186</v>
      </c>
      <c r="V10" s="1">
        <v>8536109.0</v>
      </c>
    </row>
    <row r="11">
      <c r="A11" s="1">
        <v>1.4280377E7</v>
      </c>
      <c r="B11" s="1" t="s">
        <v>76</v>
      </c>
      <c r="C11" s="1" t="s">
        <v>77</v>
      </c>
      <c r="D11" s="1" t="s">
        <v>78</v>
      </c>
      <c r="E11" s="1" t="s">
        <v>187</v>
      </c>
      <c r="F11" s="1"/>
      <c r="G11" s="1" t="s">
        <v>79</v>
      </c>
      <c r="H11" s="7" t="s">
        <v>188</v>
      </c>
      <c r="I11" s="1" t="s">
        <v>189</v>
      </c>
      <c r="J11" s="1" t="s">
        <v>190</v>
      </c>
      <c r="K11" s="1" t="s">
        <v>191</v>
      </c>
      <c r="L11" s="1">
        <v>11111.0</v>
      </c>
      <c r="M11" s="1"/>
      <c r="N11" s="1" t="s">
        <v>80</v>
      </c>
      <c r="O11" s="1" t="s">
        <v>26</v>
      </c>
      <c r="P11" s="6" t="s">
        <v>81</v>
      </c>
      <c r="Q11" s="1"/>
      <c r="R11" s="15">
        <v>27130.0</v>
      </c>
      <c r="S11" s="1"/>
      <c r="T11" s="1"/>
      <c r="U11" s="1" t="s">
        <v>192</v>
      </c>
      <c r="V11" s="1">
        <v>8536123.0</v>
      </c>
    </row>
    <row r="12">
      <c r="A12" s="1">
        <v>1.4931136E7</v>
      </c>
      <c r="B12" s="1" t="s">
        <v>83</v>
      </c>
      <c r="C12" s="1"/>
      <c r="D12" s="1" t="s">
        <v>84</v>
      </c>
      <c r="E12" s="1" t="s">
        <v>193</v>
      </c>
      <c r="F12" s="1"/>
      <c r="G12" s="1" t="s">
        <v>85</v>
      </c>
      <c r="H12" s="7" t="s">
        <v>194</v>
      </c>
      <c r="I12" s="1" t="s">
        <v>146</v>
      </c>
      <c r="J12" s="1" t="s">
        <v>195</v>
      </c>
      <c r="K12" s="1" t="s">
        <v>196</v>
      </c>
      <c r="L12" s="1">
        <v>11111.0</v>
      </c>
      <c r="M12" s="1"/>
      <c r="N12" s="1">
        <v>7.345754375E9</v>
      </c>
      <c r="O12" s="1" t="s">
        <v>26</v>
      </c>
      <c r="P12" s="6" t="s">
        <v>86</v>
      </c>
      <c r="Q12" s="1"/>
      <c r="R12" s="15"/>
      <c r="S12" s="1"/>
      <c r="T12" s="1"/>
      <c r="U12" s="1" t="s">
        <v>197</v>
      </c>
      <c r="V12" s="1">
        <v>8907389.0</v>
      </c>
    </row>
    <row r="13">
      <c r="A13" s="1">
        <v>1.5482333E7</v>
      </c>
      <c r="B13" s="1" t="s">
        <v>88</v>
      </c>
      <c r="C13" s="1" t="s">
        <v>89</v>
      </c>
      <c r="D13" s="1" t="s">
        <v>90</v>
      </c>
      <c r="E13" s="1" t="s">
        <v>198</v>
      </c>
      <c r="F13" s="1"/>
      <c r="G13" s="1" t="s">
        <v>91</v>
      </c>
      <c r="H13" s="7" t="s">
        <v>199</v>
      </c>
      <c r="I13" s="1" t="s">
        <v>200</v>
      </c>
      <c r="J13" s="1" t="s">
        <v>201</v>
      </c>
      <c r="K13" s="1" t="s">
        <v>202</v>
      </c>
      <c r="L13" s="1">
        <v>11111.0</v>
      </c>
      <c r="M13" s="1"/>
      <c r="N13" s="1">
        <v>1.1111111111E10</v>
      </c>
      <c r="O13" s="1" t="s">
        <v>26</v>
      </c>
      <c r="P13" s="6" t="s">
        <v>92</v>
      </c>
      <c r="Q13" s="1"/>
      <c r="R13" s="15">
        <v>29271.0</v>
      </c>
      <c r="S13" s="1"/>
      <c r="T13" s="1"/>
      <c r="U13" s="1" t="s">
        <v>93</v>
      </c>
      <c r="V13" s="1">
        <v>9246182.0</v>
      </c>
    </row>
    <row r="14">
      <c r="A14" s="1">
        <v>1.5603341E7</v>
      </c>
      <c r="B14" s="1" t="s">
        <v>94</v>
      </c>
      <c r="C14" s="1" t="s">
        <v>95</v>
      </c>
      <c r="D14" s="1" t="s">
        <v>96</v>
      </c>
      <c r="E14" s="1" t="s">
        <v>203</v>
      </c>
      <c r="F14" s="1"/>
      <c r="G14" s="1" t="s">
        <v>97</v>
      </c>
      <c r="H14" s="7" t="s">
        <v>204</v>
      </c>
      <c r="I14" s="1" t="s">
        <v>205</v>
      </c>
      <c r="J14" s="1" t="s">
        <v>206</v>
      </c>
      <c r="K14" s="1" t="s">
        <v>207</v>
      </c>
      <c r="L14" s="1">
        <v>11111.0</v>
      </c>
      <c r="M14" s="1"/>
      <c r="N14" s="1" t="s">
        <v>98</v>
      </c>
      <c r="O14" s="1" t="s">
        <v>26</v>
      </c>
      <c r="P14" s="6" t="s">
        <v>99</v>
      </c>
      <c r="Q14" s="1"/>
      <c r="R14" s="15"/>
      <c r="S14" s="1"/>
      <c r="T14" s="1"/>
      <c r="U14" s="1" t="s">
        <v>100</v>
      </c>
      <c r="V14" s="1">
        <v>9336068.0</v>
      </c>
    </row>
    <row r="15">
      <c r="A15" s="1">
        <v>1.5703531E7</v>
      </c>
      <c r="B15" s="1" t="s">
        <v>101</v>
      </c>
      <c r="C15" s="1"/>
      <c r="D15" s="1" t="s">
        <v>102</v>
      </c>
      <c r="E15" s="1" t="s">
        <v>208</v>
      </c>
      <c r="F15" s="1"/>
      <c r="G15" s="1" t="s">
        <v>103</v>
      </c>
      <c r="H15" s="7" t="s">
        <v>209</v>
      </c>
      <c r="I15" s="1" t="s">
        <v>210</v>
      </c>
      <c r="J15" s="1" t="s">
        <v>211</v>
      </c>
      <c r="K15" s="1" t="s">
        <v>212</v>
      </c>
      <c r="L15" s="1">
        <v>11111.0</v>
      </c>
      <c r="M15" s="1"/>
      <c r="N15" s="1" t="s">
        <v>104</v>
      </c>
      <c r="O15" s="1" t="s">
        <v>26</v>
      </c>
      <c r="P15" s="6" t="s">
        <v>105</v>
      </c>
      <c r="Q15" s="1"/>
      <c r="R15" s="15"/>
      <c r="S15" s="1"/>
      <c r="T15" s="1"/>
      <c r="U15" s="1" t="s">
        <v>213</v>
      </c>
      <c r="V15" s="1">
        <v>9416495.0</v>
      </c>
    </row>
    <row r="16">
      <c r="A16" s="1">
        <v>1.6193894E7</v>
      </c>
      <c r="B16" s="1" t="s">
        <v>107</v>
      </c>
      <c r="C16" s="1" t="s">
        <v>108</v>
      </c>
      <c r="D16" s="1" t="s">
        <v>109</v>
      </c>
      <c r="E16" s="1" t="s">
        <v>214</v>
      </c>
      <c r="F16" s="1"/>
      <c r="G16" s="1" t="s">
        <v>110</v>
      </c>
      <c r="H16" s="7" t="s">
        <v>215</v>
      </c>
      <c r="I16" s="1" t="s">
        <v>216</v>
      </c>
      <c r="J16" s="1" t="s">
        <v>217</v>
      </c>
      <c r="K16" s="1" t="s">
        <v>218</v>
      </c>
      <c r="L16" s="1">
        <v>11111.0</v>
      </c>
      <c r="M16" s="1"/>
      <c r="N16" s="1"/>
      <c r="O16" s="1" t="s">
        <v>26</v>
      </c>
      <c r="P16" s="6" t="s">
        <v>111</v>
      </c>
      <c r="Q16" s="1"/>
      <c r="R16" s="15">
        <v>35057.0</v>
      </c>
      <c r="S16" s="1"/>
      <c r="T16" s="1"/>
      <c r="U16" s="1" t="s">
        <v>112</v>
      </c>
      <c r="V16" s="1">
        <v>9755543.0</v>
      </c>
    </row>
    <row r="17">
      <c r="A17" s="1">
        <v>1.643881E7</v>
      </c>
      <c r="B17" s="1" t="s">
        <v>113</v>
      </c>
      <c r="C17" s="1" t="s">
        <v>114</v>
      </c>
      <c r="D17" s="1" t="s">
        <v>115</v>
      </c>
      <c r="E17" s="1" t="s">
        <v>219</v>
      </c>
      <c r="F17" s="1"/>
      <c r="G17" s="1" t="s">
        <v>116</v>
      </c>
      <c r="H17" s="7" t="s">
        <v>220</v>
      </c>
      <c r="I17" s="1" t="s">
        <v>221</v>
      </c>
      <c r="J17" s="1" t="s">
        <v>222</v>
      </c>
      <c r="K17" s="1" t="s">
        <v>223</v>
      </c>
      <c r="L17" s="1">
        <v>11111.0</v>
      </c>
      <c r="M17" s="1"/>
      <c r="N17" s="1" t="s">
        <v>117</v>
      </c>
      <c r="O17" s="1" t="s">
        <v>26</v>
      </c>
      <c r="P17" s="6" t="s">
        <v>118</v>
      </c>
      <c r="Q17" s="1"/>
      <c r="R17" s="15"/>
      <c r="S17" s="1"/>
      <c r="T17" s="1"/>
      <c r="U17" s="1" t="s">
        <v>119</v>
      </c>
      <c r="V17" s="1">
        <v>9928699.0</v>
      </c>
    </row>
    <row r="18">
      <c r="A18" s="1">
        <v>1.6480369E7</v>
      </c>
      <c r="B18" s="1" t="s">
        <v>120</v>
      </c>
      <c r="C18" s="1"/>
      <c r="D18" s="1" t="s">
        <v>121</v>
      </c>
      <c r="E18" s="1" t="s">
        <v>224</v>
      </c>
      <c r="F18" s="1"/>
      <c r="G18" s="1" t="s">
        <v>122</v>
      </c>
      <c r="H18" s="7" t="s">
        <v>225</v>
      </c>
      <c r="I18" s="1" t="s">
        <v>226</v>
      </c>
      <c r="J18" s="1" t="s">
        <v>227</v>
      </c>
      <c r="K18" s="1" t="s">
        <v>228</v>
      </c>
      <c r="L18" s="1">
        <v>11111.0</v>
      </c>
      <c r="M18" s="1"/>
      <c r="N18" s="1" t="s">
        <v>123</v>
      </c>
      <c r="O18" s="1" t="s">
        <v>26</v>
      </c>
      <c r="P18" s="1"/>
      <c r="Q18" s="1"/>
      <c r="R18" s="15">
        <v>24016.0</v>
      </c>
      <c r="S18" s="1"/>
      <c r="T18" s="1"/>
      <c r="U18" s="1" t="s">
        <v>124</v>
      </c>
      <c r="V18" s="1">
        <v>9953780.0</v>
      </c>
    </row>
    <row r="19">
      <c r="A19" s="1">
        <v>1.7820681E7</v>
      </c>
      <c r="B19" s="1" t="s">
        <v>125</v>
      </c>
      <c r="C19" s="1" t="s">
        <v>126</v>
      </c>
      <c r="D19" s="1" t="s">
        <v>127</v>
      </c>
      <c r="E19" s="1" t="s">
        <v>229</v>
      </c>
      <c r="F19" s="1"/>
      <c r="G19" s="1" t="s">
        <v>128</v>
      </c>
      <c r="H19" s="7" t="s">
        <v>230</v>
      </c>
      <c r="I19" s="1" t="s">
        <v>231</v>
      </c>
      <c r="J19" s="1" t="s">
        <v>232</v>
      </c>
      <c r="K19" s="1" t="s">
        <v>233</v>
      </c>
      <c r="L19" s="1">
        <v>11111.0</v>
      </c>
      <c r="M19" s="1"/>
      <c r="N19" s="1"/>
      <c r="O19" s="1" t="s">
        <v>26</v>
      </c>
      <c r="P19" s="6" t="s">
        <v>129</v>
      </c>
      <c r="Q19" s="1"/>
      <c r="R19" s="15"/>
      <c r="S19" s="1"/>
      <c r="T19" s="1"/>
      <c r="U19" s="1" t="s">
        <v>130</v>
      </c>
      <c r="V19" s="1">
        <v>1.0759701E7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1"/>
    <hyperlink r:id="rId10" ref="P12"/>
    <hyperlink r:id="rId11" ref="P13"/>
    <hyperlink r:id="rId12" ref="P14"/>
    <hyperlink r:id="rId13" ref="P15"/>
    <hyperlink r:id="rId14" ref="P16"/>
    <hyperlink r:id="rId15" ref="P17"/>
    <hyperlink r:id="rId16" ref="P19"/>
  </hyperlinks>
  <printOptions/>
  <pageMargins bottom="0.75" footer="0.0" header="0.0" left="0.7" right="0.7" top="0.75"/>
  <pageSetup orientation="landscape"/>
  <drawing r:id="rId17"/>
  <legacyDrawing r:id="rId18"/>
  <tableParts count="1">
    <tablePart r:id="rId20"/>
  </tableParts>
</worksheet>
</file>