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robabilites And Averages" sheetId="1" r:id="rId1"/>
  </sheets>
  <calcPr calcId="145621"/>
</workbook>
</file>

<file path=xl/calcChain.xml><?xml version="1.0" encoding="utf-8"?>
<calcChain xmlns="http://schemas.openxmlformats.org/spreadsheetml/2006/main">
  <c r="G73" i="1" l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74" i="1"/>
  <c r="F7" i="1"/>
  <c r="F3" i="1"/>
  <c r="E72" i="1"/>
  <c r="E67" i="1"/>
  <c r="E66" i="1"/>
  <c r="E63" i="1"/>
  <c r="E55" i="1"/>
  <c r="E54" i="1"/>
  <c r="E52" i="1"/>
  <c r="E50" i="1"/>
  <c r="E48" i="1"/>
  <c r="E43" i="1"/>
  <c r="E37" i="1"/>
  <c r="E35" i="1"/>
  <c r="E30" i="1"/>
  <c r="E24" i="1"/>
  <c r="E23" i="1"/>
  <c r="E22" i="1"/>
  <c r="E6" i="1"/>
  <c r="E65" i="1"/>
  <c r="E64" i="1"/>
  <c r="E58" i="1"/>
  <c r="E42" i="1"/>
  <c r="E41" i="1"/>
  <c r="E38" i="1"/>
  <c r="E18" i="1"/>
  <c r="E16" i="1"/>
  <c r="E14" i="1"/>
  <c r="E11" i="1"/>
  <c r="E73" i="1"/>
  <c r="E71" i="1"/>
  <c r="E70" i="1"/>
  <c r="E69" i="1"/>
  <c r="E68" i="1"/>
  <c r="E62" i="1"/>
  <c r="E61" i="1"/>
  <c r="E60" i="1"/>
  <c r="E59" i="1"/>
  <c r="E57" i="1"/>
  <c r="E56" i="1"/>
  <c r="E53" i="1"/>
  <c r="E51" i="1"/>
  <c r="E49" i="1"/>
  <c r="E47" i="1"/>
  <c r="E46" i="1"/>
  <c r="E45" i="1"/>
  <c r="E44" i="1"/>
  <c r="E40" i="1"/>
  <c r="E39" i="1"/>
  <c r="E36" i="1"/>
  <c r="E34" i="1"/>
  <c r="E33" i="1"/>
  <c r="E32" i="1"/>
  <c r="E31" i="1"/>
  <c r="E29" i="1"/>
  <c r="E28" i="1"/>
  <c r="E27" i="1"/>
  <c r="E26" i="1"/>
  <c r="E25" i="1"/>
  <c r="E21" i="1"/>
  <c r="E20" i="1"/>
  <c r="E19" i="1"/>
  <c r="E17" i="1"/>
  <c r="E15" i="1"/>
  <c r="E13" i="1"/>
  <c r="E12" i="1"/>
  <c r="E10" i="1"/>
  <c r="E9" i="1"/>
  <c r="E8" i="1"/>
  <c r="E7" i="1"/>
  <c r="E4" i="1"/>
  <c r="E5" i="1"/>
  <c r="E3" i="1"/>
</calcChain>
</file>

<file path=xl/sharedStrings.xml><?xml version="1.0" encoding="utf-8"?>
<sst xmlns="http://schemas.openxmlformats.org/spreadsheetml/2006/main" count="138" uniqueCount="123">
  <si>
    <t>Game</t>
  </si>
  <si>
    <t>Probability of Winning</t>
  </si>
  <si>
    <t>Any Number</t>
  </si>
  <si>
    <t>Balance Game</t>
  </si>
  <si>
    <t>Bargain Game</t>
  </si>
  <si>
    <t>Bonkers</t>
  </si>
  <si>
    <t>Bonus Game</t>
  </si>
  <si>
    <t>Bullseye</t>
  </si>
  <si>
    <t>Card Game</t>
  </si>
  <si>
    <t>Check-Out</t>
  </si>
  <si>
    <t>Cliff Hangers</t>
  </si>
  <si>
    <t>Clock Game</t>
  </si>
  <si>
    <t>Coming or Going</t>
  </si>
  <si>
    <t>Cover Up</t>
  </si>
  <si>
    <t>Danger Price</t>
  </si>
  <si>
    <t>Dice Game</t>
  </si>
  <si>
    <t>Double Cross</t>
  </si>
  <si>
    <t>Double Prices</t>
  </si>
  <si>
    <t>Easy as 1 2 3</t>
  </si>
  <si>
    <t>Five Price Tags</t>
  </si>
  <si>
    <t>Flip Flop</t>
  </si>
  <si>
    <t>Freeze Frame</t>
  </si>
  <si>
    <t>Gas Money</t>
  </si>
  <si>
    <t>Golden Road</t>
  </si>
  <si>
    <t>Grand Game</t>
  </si>
  <si>
    <t>Grocery Game</t>
  </si>
  <si>
    <t>1/2 Off</t>
  </si>
  <si>
    <t>Hi-Lo</t>
  </si>
  <si>
    <t>It's in the Bag</t>
  </si>
  <si>
    <t>Let 'em Roll</t>
  </si>
  <si>
    <t>Line 'em Up</t>
  </si>
  <si>
    <t>Magic #</t>
  </si>
  <si>
    <t>Make Your Move</t>
  </si>
  <si>
    <t>Master Key</t>
  </si>
  <si>
    <t>Money Game</t>
  </si>
  <si>
    <t>More or Less</t>
  </si>
  <si>
    <t>Most Expensive</t>
  </si>
  <si>
    <t>Now…or Then</t>
  </si>
  <si>
    <t>One Away</t>
  </si>
  <si>
    <t>One Right Price</t>
  </si>
  <si>
    <t>One Wrong Price</t>
  </si>
  <si>
    <t>Pass the Buck</t>
  </si>
  <si>
    <t>Pathfinder</t>
  </si>
  <si>
    <t>Pay the Rent</t>
  </si>
  <si>
    <t>Pick-a-Number</t>
  </si>
  <si>
    <t>Pick-a-Pair</t>
  </si>
  <si>
    <t>Plinko</t>
  </si>
  <si>
    <t>Pocket Change</t>
  </si>
  <si>
    <t>Punch a Bunch</t>
  </si>
  <si>
    <t xml:space="preserve">Push Over </t>
  </si>
  <si>
    <t>Race Game</t>
  </si>
  <si>
    <t>Range Game</t>
  </si>
  <si>
    <t>Rat Race</t>
  </si>
  <si>
    <t>Safe Crackers</t>
  </si>
  <si>
    <t>Secret 'X'</t>
  </si>
  <si>
    <t>Shell Game</t>
  </si>
  <si>
    <t>Shopping Spree</t>
  </si>
  <si>
    <t>Side-by-Side</t>
  </si>
  <si>
    <t xml:space="preserve">Spelling Bee </t>
  </si>
  <si>
    <t>Squeeze Play</t>
  </si>
  <si>
    <t>Stack the Deck</t>
  </si>
  <si>
    <t>Step Up</t>
  </si>
  <si>
    <t>Swap Meet</t>
  </si>
  <si>
    <t>Switch?</t>
  </si>
  <si>
    <t>Switcheroo</t>
  </si>
  <si>
    <t>Take Two</t>
  </si>
  <si>
    <t>Temptation</t>
  </si>
  <si>
    <t>10 Chances</t>
  </si>
  <si>
    <t>That's Too Much!</t>
  </si>
  <si>
    <t>3 Strikes</t>
  </si>
  <si>
    <t>Triple Play</t>
  </si>
  <si>
    <t>2 for the Price of 1</t>
  </si>
  <si>
    <t>1/16 of winning car, 1 of winning the other four prizes</t>
  </si>
  <si>
    <t>Average Prize Amount</t>
  </si>
  <si>
    <t>1/24 to win everything, 1/6 to win three prizes, 1/2 to win two prizes</t>
  </si>
  <si>
    <t>1/2 (winning both X's), 1/3 (winning one X)</t>
  </si>
  <si>
    <t>NO ODDS</t>
  </si>
  <si>
    <t>1/(14-n), where n = number of tries</t>
  </si>
  <si>
    <t>1/2 first prize, 1/6 first and second prizes, 1/24 all three</t>
  </si>
  <si>
    <t>Hole in One (or Two)</t>
  </si>
  <si>
    <t>1/720 place all 6 in order, 1/360 for 5, 1/120 for 4, 1/30 for three, 1/6 for two - then how well one putts</t>
  </si>
  <si>
    <t>5/6 one match, 2/3 two, 1/2 three, 1/3 four, 1/6 five</t>
  </si>
  <si>
    <t>Lucky Seven</t>
  </si>
  <si>
    <t>too tedious to calculate by hand</t>
  </si>
  <si>
    <t>(1/2)^n of winning prize n</t>
  </si>
  <si>
    <t>Stats of Winning</t>
  </si>
  <si>
    <t>Average Winnings</t>
  </si>
  <si>
    <t xml:space="preserve">too tedious to calculate by hand </t>
  </si>
  <si>
    <t>36% car, 35% prize, 29% piggy bank</t>
  </si>
  <si>
    <t>$20,906 car, $500 prize, $5.00 piggy bank</t>
  </si>
  <si>
    <t>181/424 both, 13/64 one</t>
  </si>
  <si>
    <t>95/272 $10000, 3/136 $1000, 53/272 $100, 3/34 $10, 13/272 $1</t>
  </si>
  <si>
    <t>19/232 $16000, 2/29 $8000, 55/232 $4000, 3/29 $2000, 5/116 $1000</t>
  </si>
  <si>
    <t>too tedious to compute by hand</t>
  </si>
  <si>
    <t>$6007, $500, $50</t>
  </si>
  <si>
    <t>19/56 3 prizes, 3/56 2 prizes, 19/56 1 prize</t>
  </si>
  <si>
    <t>7/62 car, 15/62 3 prizes, 15/62 2 prizes, 7/31 1 prize</t>
  </si>
  <si>
    <t>0 $100000, 7/23 $10000, 4/23 $5000, 0 $1000</t>
  </si>
  <si>
    <t>1/8 4 prizes</t>
  </si>
  <si>
    <t>3/28 3 prizes, 3/14 2 prizes, 11/28 1 prize</t>
  </si>
  <si>
    <t>7/69 4 prizes, 19/69 3 prizes 20/69 2 prizes</t>
  </si>
  <si>
    <t>9/115 5 prizes, 22/115 3 prizes, 19/115 2 prizes, 44/115 1 prize</t>
  </si>
  <si>
    <t>$27,250 car, $50 prize</t>
  </si>
  <si>
    <t>17/109 car, 27/109 took prizes</t>
  </si>
  <si>
    <t>$21,095 car, $8,428 gifts</t>
  </si>
  <si>
    <t>61/119 3 prizes, 2/7 2 prizes, 24/119 1 prize</t>
  </si>
  <si>
    <t>$20,085 car, $50 small prize, $500 big prize</t>
  </si>
  <si>
    <t>$20,028 car, $500 2 big prizes, $50 small prize</t>
  </si>
  <si>
    <t>70/139 4 prizes, 24/139 2 prizes, 27/139 1 prizes</t>
  </si>
  <si>
    <t>$2,247 one prize, $3,045 two prizes</t>
  </si>
  <si>
    <t>1/8 car,1/8 cash</t>
  </si>
  <si>
    <t>1/50 (1000, 2000, 4000, 5000), 3/100 (3000), 3/200 (6000, 7000), 1/200(8000, 9000), 1/50 chance of winning car and $10000</t>
  </si>
  <si>
    <t>$82,360 final prize, $5000 big prize, $500 small prize</t>
  </si>
  <si>
    <t>1/5 3 prizes, 3/40 2 prizes, 3/8 1 prize</t>
  </si>
  <si>
    <t>$22,970.45, $5000, $500</t>
  </si>
  <si>
    <t>$22,970.45, $5000, $500, $500</t>
  </si>
  <si>
    <t>13/50 car, 1/7 cash</t>
  </si>
  <si>
    <t>13/120 just car/$1000,$3000,$5000, 31/1440 just $4000/$6000/$8000, 1/120 just $9000, 31/1440 car+$1000/$3000/$5000, 1/120 car+$4000/$6000/$8000, 1/720 car+9000</t>
  </si>
  <si>
    <t>$13,414, $500</t>
  </si>
  <si>
    <t>2/3 $10, 2/5 $100, 1/5 $1000, 1/15 $10000</t>
  </si>
  <si>
    <t>1/2 chance of winning each chip, 396/1024 of $0, 33/1024 $100, 116/1024 $500, 248/1024 $1000, 231/1024 $10,000</t>
  </si>
  <si>
    <t>Number Plays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</si>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</sst>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164" formatCode="#\ ???/???"/>
    <numFmt numFmtId="168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/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wrapText="1"/>
    </xf>
    <xf numFmtId="164" fontId="0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8" fontId="0" fillId="0" borderId="0" xfId="0" applyNumberFormat="1" applyAlignment="1">
      <alignment wrapText="1"/>
    </xf>
    <xf numFmtId="6" fontId="0" fillId="0" borderId="0" xfId="0" applyNumberFormat="1" applyAlignment="1">
      <alignment wrapText="1"/>
    </xf>
    <xf numFmtId="168" fontId="1" fillId="0" borderId="0" xfId="0" applyNumberFormat="1" applyFont="1" applyAlignment="1">
      <alignment horizontal="center" vertical="center" wrapText="1"/>
    </xf>
    <xf numFmtId="168" fontId="0" fillId="0" borderId="0" xfId="0" applyNumberFormat="1" applyAlignment="1">
      <alignment wrapText="1"/>
    </xf>
    <xf numFmtId="164" fontId="2" fillId="0" borderId="0" xfId="0" applyNumberFormat="1" applyFont="1" applyAlignment="1">
      <alignment wrapText="1"/>
    </xf>
    <xf numFmtId="168" fontId="2" fillId="0" borderId="0" xfId="0" applyNumberFormat="1" applyFont="1" applyAlignment="1">
      <alignment wrapText="1"/>
    </xf>
    <xf numFmtId="10" fontId="1" fillId="0" borderId="0" xfId="1" applyNumberFormat="1" applyFont="1" applyAlignment="1">
      <alignment horizontal="center" vertical="center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abSelected="1" topLeftCell="E59" workbookViewId="0">
      <selection activeCell="G74" sqref="G74"/>
    </sheetView>
  </sheetViews>
  <sheetFormatPr defaultRowHeight="15" x14ac:dyDescent="0.25"/>
  <cols>
    <col min="1" max="1" width="19.5703125" bestFit="1" customWidth="1"/>
    <col min="2" max="2" width="25.42578125" style="4" customWidth="1"/>
    <col min="3" max="3" width="32.140625" style="4" bestFit="1" customWidth="1"/>
    <col min="4" max="4" width="36.7109375" style="8" bestFit="1" customWidth="1"/>
    <col min="5" max="5" width="22.28515625" style="12" bestFit="1" customWidth="1"/>
    <col min="6" max="6" width="17.140625" bestFit="1" customWidth="1"/>
    <col min="7" max="7" width="13.140625" style="16" bestFit="1" customWidth="1"/>
  </cols>
  <sheetData>
    <row r="1" spans="1:7" s="1" customFormat="1" ht="18.75" x14ac:dyDescent="0.25">
      <c r="A1" s="1" t="s">
        <v>0</v>
      </c>
      <c r="B1" s="3" t="s">
        <v>1</v>
      </c>
      <c r="C1" s="3" t="s">
        <v>85</v>
      </c>
      <c r="D1" s="7" t="s">
        <v>73</v>
      </c>
      <c r="E1" s="11" t="s">
        <v>86</v>
      </c>
      <c r="F1" s="1" t="s">
        <v>121</v>
      </c>
      <c r="G1" s="15" t="s">
        <v>122</v>
      </c>
    </row>
    <row r="2" spans="1:7" x14ac:dyDescent="0.25">
      <c r="A2" t="s">
        <v>2</v>
      </c>
      <c r="B2" s="4" t="s">
        <v>87</v>
      </c>
      <c r="C2" s="4" t="s">
        <v>88</v>
      </c>
      <c r="D2" s="8" t="s">
        <v>89</v>
      </c>
      <c r="E2" s="12">
        <v>7724.67</v>
      </c>
      <c r="F2">
        <v>1431</v>
      </c>
      <c r="G2" s="16">
        <f>F2/F74</f>
        <v>3.6428898732243774E-2</v>
      </c>
    </row>
    <row r="3" spans="1:7" x14ac:dyDescent="0.25">
      <c r="A3" t="s">
        <v>3</v>
      </c>
      <c r="B3" s="4">
        <v>0.33333333333333331</v>
      </c>
      <c r="C3" s="4">
        <v>0.41</v>
      </c>
      <c r="D3" s="10">
        <v>15538</v>
      </c>
      <c r="E3" s="12">
        <f>((B3*D3) + (C3*D3))/2</f>
        <v>5774.9566666666669</v>
      </c>
      <c r="F3">
        <f>28+101</f>
        <v>129</v>
      </c>
      <c r="G3" s="16">
        <f>F3/F74</f>
        <v>3.2839468458836108E-3</v>
      </c>
    </row>
    <row r="4" spans="1:7" x14ac:dyDescent="0.25">
      <c r="A4" t="s">
        <v>4</v>
      </c>
      <c r="B4" s="4">
        <v>0.5</v>
      </c>
      <c r="C4" s="4">
        <v>0.64</v>
      </c>
      <c r="D4" s="10">
        <v>7830</v>
      </c>
      <c r="E4" s="12">
        <f xml:space="preserve"> D4*C4 + D4*B4</f>
        <v>8926.2000000000007</v>
      </c>
      <c r="F4">
        <v>979</v>
      </c>
      <c r="G4" s="16">
        <f>F4/F74</f>
        <v>2.4922356295504301E-2</v>
      </c>
    </row>
    <row r="5" spans="1:7" x14ac:dyDescent="0.25">
      <c r="A5" t="s">
        <v>5</v>
      </c>
      <c r="B5" s="5" t="s">
        <v>77</v>
      </c>
      <c r="C5" s="4">
        <v>0.44</v>
      </c>
      <c r="D5" s="10">
        <v>6178</v>
      </c>
      <c r="E5" s="12">
        <f>C5*D5</f>
        <v>2718.32</v>
      </c>
      <c r="F5">
        <v>172</v>
      </c>
      <c r="G5" s="16">
        <f>F5/F74</f>
        <v>4.3785957945114808E-3</v>
      </c>
    </row>
    <row r="6" spans="1:7" x14ac:dyDescent="0.25">
      <c r="A6" t="s">
        <v>6</v>
      </c>
      <c r="B6" s="5">
        <v>0.40625</v>
      </c>
      <c r="C6" s="4">
        <v>0.69</v>
      </c>
      <c r="D6" s="10">
        <v>13457</v>
      </c>
      <c r="E6" s="12">
        <f>(B6*D6 + C6*D6) / 2</f>
        <v>7376.118125</v>
      </c>
      <c r="F6">
        <v>641</v>
      </c>
      <c r="G6" s="16">
        <f>F6/F74</f>
        <v>1.6317906420243368E-2</v>
      </c>
    </row>
    <row r="7" spans="1:7" x14ac:dyDescent="0.25">
      <c r="A7" t="s">
        <v>7</v>
      </c>
      <c r="B7" s="4">
        <v>0.4</v>
      </c>
      <c r="C7" s="4">
        <v>0.81</v>
      </c>
      <c r="D7" s="10">
        <v>15172</v>
      </c>
      <c r="E7" s="12">
        <f>((D7*C7) + (D7*B7)) / 2</f>
        <v>9179.0600000000013</v>
      </c>
      <c r="F7">
        <f>5+639</f>
        <v>644</v>
      </c>
      <c r="G7" s="16">
        <f>F7/F74</f>
        <v>1.6394277277124381E-2</v>
      </c>
    </row>
    <row r="8" spans="1:7" x14ac:dyDescent="0.25">
      <c r="A8" t="s">
        <v>8</v>
      </c>
      <c r="B8" s="4" t="s">
        <v>83</v>
      </c>
      <c r="C8" s="4">
        <v>0.35</v>
      </c>
      <c r="D8" s="10">
        <v>19658</v>
      </c>
      <c r="E8" s="12">
        <f>D8*C8</f>
        <v>6880.2999999999993</v>
      </c>
      <c r="F8">
        <v>862</v>
      </c>
      <c r="G8" s="16">
        <f>F8/F74</f>
        <v>2.1943892877144749E-2</v>
      </c>
    </row>
    <row r="9" spans="1:7" x14ac:dyDescent="0.25">
      <c r="A9" t="s">
        <v>9</v>
      </c>
      <c r="B9" s="5" t="s">
        <v>76</v>
      </c>
      <c r="C9" s="4">
        <v>0.4</v>
      </c>
      <c r="D9" s="10">
        <v>14169</v>
      </c>
      <c r="E9" s="12">
        <f>D9*C9</f>
        <v>5667.6</v>
      </c>
      <c r="F9">
        <v>382</v>
      </c>
      <c r="G9" s="16">
        <f>F9/F74</f>
        <v>9.7245557761824752E-3</v>
      </c>
    </row>
    <row r="10" spans="1:7" x14ac:dyDescent="0.25">
      <c r="A10" t="s">
        <v>10</v>
      </c>
      <c r="B10" s="5" t="s">
        <v>76</v>
      </c>
      <c r="C10" s="4">
        <v>0.67213114754098358</v>
      </c>
      <c r="D10" s="10">
        <v>14923</v>
      </c>
      <c r="E10" s="12">
        <f>D10*C10</f>
        <v>10030.213114754099</v>
      </c>
      <c r="F10">
        <v>707</v>
      </c>
      <c r="G10" s="16">
        <f>F10/F74</f>
        <v>1.7998065271625681E-2</v>
      </c>
    </row>
    <row r="11" spans="1:7" x14ac:dyDescent="0.25">
      <c r="A11" s="2" t="s">
        <v>11</v>
      </c>
      <c r="B11" s="4" t="s">
        <v>76</v>
      </c>
      <c r="C11" s="4" t="s">
        <v>90</v>
      </c>
      <c r="D11" s="10" t="s">
        <v>109</v>
      </c>
      <c r="E11" s="12">
        <f>(181/424)*3045+ (13/64)*2247</f>
        <v>1756.2921580188679</v>
      </c>
      <c r="F11">
        <v>1248</v>
      </c>
      <c r="G11" s="16">
        <f>F11/F74</f>
        <v>3.1770276462501912E-2</v>
      </c>
    </row>
    <row r="12" spans="1:7" x14ac:dyDescent="0.25">
      <c r="A12" s="2" t="s">
        <v>12</v>
      </c>
      <c r="B12" s="4">
        <v>0.5</v>
      </c>
      <c r="C12" s="4">
        <v>0.6</v>
      </c>
      <c r="D12" s="10">
        <v>6251</v>
      </c>
      <c r="E12" s="12">
        <f>((D12*B12) + (D12*C12)) / 2</f>
        <v>3438.05</v>
      </c>
      <c r="F12">
        <v>205</v>
      </c>
      <c r="G12" s="16">
        <f>F12/F74</f>
        <v>5.2186752202026373E-3</v>
      </c>
    </row>
    <row r="13" spans="1:7" x14ac:dyDescent="0.25">
      <c r="A13" s="2" t="s">
        <v>13</v>
      </c>
      <c r="B13" s="4" t="s">
        <v>83</v>
      </c>
      <c r="C13" s="4">
        <v>0.32452830188679244</v>
      </c>
      <c r="D13" s="10">
        <v>20872</v>
      </c>
      <c r="E13" s="12">
        <f xml:space="preserve"> C13*D13</f>
        <v>6773.5547169811316</v>
      </c>
      <c r="F13">
        <v>501</v>
      </c>
      <c r="G13" s="16">
        <f>F13/F74</f>
        <v>1.2753933099129372E-2</v>
      </c>
    </row>
    <row r="14" spans="1:7" x14ac:dyDescent="0.25">
      <c r="A14" s="2" t="s">
        <v>14</v>
      </c>
      <c r="B14" s="4">
        <v>0.25</v>
      </c>
      <c r="C14" s="4">
        <v>0.3611111111111111</v>
      </c>
      <c r="D14" s="10">
        <v>10143</v>
      </c>
      <c r="E14" s="12">
        <f>((D14*B14) + (D14*C14)) / 2</f>
        <v>3099.25</v>
      </c>
      <c r="F14">
        <v>767</v>
      </c>
      <c r="G14" s="16">
        <f>F14/F74</f>
        <v>1.9525482409245964E-2</v>
      </c>
    </row>
    <row r="15" spans="1:7" x14ac:dyDescent="0.25">
      <c r="A15" s="2" t="s">
        <v>15</v>
      </c>
      <c r="B15" s="4">
        <v>9.8765432098765427E-2</v>
      </c>
      <c r="C15" s="4">
        <v>0.47547169811320755</v>
      </c>
      <c r="D15" s="10">
        <v>19845</v>
      </c>
      <c r="E15" s="12">
        <f>((D15*B15) + (D15*C15)) / 2</f>
        <v>5697.867924528302</v>
      </c>
      <c r="F15">
        <v>1005</v>
      </c>
      <c r="G15" s="16">
        <f>F15/F74</f>
        <v>2.558423705513976E-2</v>
      </c>
    </row>
    <row r="16" spans="1:7" x14ac:dyDescent="0.25">
      <c r="A16" s="2" t="s">
        <v>16</v>
      </c>
      <c r="B16" s="4">
        <v>0.25</v>
      </c>
      <c r="C16" s="4">
        <v>0.67</v>
      </c>
      <c r="D16" s="10">
        <v>8416.75</v>
      </c>
      <c r="E16" s="12">
        <f>((D16*B16) + (D16*C16))/2</f>
        <v>3871.7050000000004</v>
      </c>
      <c r="F16">
        <v>3</v>
      </c>
      <c r="G16" s="16">
        <f>F16/F74</f>
        <v>7.6370856881014199E-5</v>
      </c>
    </row>
    <row r="17" spans="1:7" x14ac:dyDescent="0.25">
      <c r="A17" s="2" t="s">
        <v>17</v>
      </c>
      <c r="B17" s="4">
        <v>0.5</v>
      </c>
      <c r="C17" s="4">
        <v>0.56999999999999995</v>
      </c>
      <c r="D17" s="10">
        <v>10619</v>
      </c>
      <c r="E17" s="12">
        <f>(D17*B17 + D17*C17) / 2</f>
        <v>5681.165</v>
      </c>
      <c r="F17">
        <v>1470</v>
      </c>
      <c r="G17" s="16">
        <f>F17/F74</f>
        <v>3.7421719871696964E-2</v>
      </c>
    </row>
    <row r="18" spans="1:7" x14ac:dyDescent="0.25">
      <c r="A18" s="2" t="s">
        <v>18</v>
      </c>
      <c r="B18" s="4">
        <v>0.33333333333333331</v>
      </c>
      <c r="C18" s="4">
        <v>0.55865921787709494</v>
      </c>
      <c r="D18" s="10">
        <v>6872</v>
      </c>
      <c r="E18" s="12">
        <f xml:space="preserve"> (D18*B18 + D18*C18)/2</f>
        <v>3064.8864059590314</v>
      </c>
      <c r="F18">
        <v>279</v>
      </c>
      <c r="G18" s="16">
        <f>F18/F74</f>
        <v>7.1024896899343206E-3</v>
      </c>
    </row>
    <row r="19" spans="1:7" x14ac:dyDescent="0.25">
      <c r="A19" s="2" t="s">
        <v>19</v>
      </c>
      <c r="B19" s="4">
        <v>0.32500000000000001</v>
      </c>
      <c r="C19" s="4">
        <v>0.35</v>
      </c>
      <c r="D19" s="10">
        <v>20925</v>
      </c>
      <c r="E19" s="12">
        <f>(D19*B19 + D19*C19) / 2</f>
        <v>7062.1875</v>
      </c>
      <c r="F19">
        <v>653</v>
      </c>
      <c r="G19" s="16">
        <f>F19/F74</f>
        <v>1.6623389847767425E-2</v>
      </c>
    </row>
    <row r="20" spans="1:7" x14ac:dyDescent="0.25">
      <c r="A20" s="2" t="s">
        <v>20</v>
      </c>
      <c r="B20" s="4">
        <v>0.33333333333333331</v>
      </c>
      <c r="C20" s="4">
        <v>0.41</v>
      </c>
      <c r="D20" s="10">
        <v>6163</v>
      </c>
      <c r="E20" s="12">
        <f>(D20*B20 + D20*C20) / 2</f>
        <v>2290.5816666666665</v>
      </c>
      <c r="F20">
        <v>265</v>
      </c>
      <c r="G20" s="16">
        <f>F20/F74</f>
        <v>6.746092357822921E-3</v>
      </c>
    </row>
    <row r="21" spans="1:7" x14ac:dyDescent="0.25">
      <c r="A21" s="2" t="s">
        <v>21</v>
      </c>
      <c r="B21" s="4">
        <v>0.125</v>
      </c>
      <c r="C21" s="4">
        <v>0.35</v>
      </c>
      <c r="D21" s="10">
        <v>6171</v>
      </c>
      <c r="E21" s="12">
        <f xml:space="preserve"> (D21*B21 + D21*C21) / 2</f>
        <v>1465.6125</v>
      </c>
      <c r="F21">
        <v>374</v>
      </c>
      <c r="G21" s="16">
        <f>F21/F74</f>
        <v>9.5209001578331048E-3</v>
      </c>
    </row>
    <row r="22" spans="1:7" ht="75" x14ac:dyDescent="0.25">
      <c r="A22" s="2" t="s">
        <v>22</v>
      </c>
      <c r="B22" s="4" t="s">
        <v>111</v>
      </c>
      <c r="C22" s="4" t="s">
        <v>110</v>
      </c>
      <c r="D22" s="10">
        <v>20721</v>
      </c>
      <c r="E22" s="12">
        <f>(((1/50)*1000 + (1/50)*2000 + (1/50)*4000 + (1/50)*5000 + (3/100)*3000 + (3/200)*6000 + (3/200)*7000 + (1/200)*8000 + (1/200)*9000 + (1/5)*(D22+10000)) + ((1/8)*(D22+10000) + (1/8)*5000)) / 2</f>
        <v>5609.6625000000004</v>
      </c>
      <c r="F22">
        <v>48</v>
      </c>
      <c r="G22" s="16">
        <f>F22/F74</f>
        <v>1.2219337100962272E-3</v>
      </c>
    </row>
    <row r="23" spans="1:7" ht="30" x14ac:dyDescent="0.25">
      <c r="A23" s="2" t="s">
        <v>23</v>
      </c>
      <c r="B23" s="4" t="s">
        <v>78</v>
      </c>
      <c r="C23" s="4">
        <v>0.18840579710144928</v>
      </c>
      <c r="D23" s="8" t="s">
        <v>112</v>
      </c>
      <c r="E23" s="12">
        <f>(1/2)*500 + (1/6)*5000 + (((1/24)*82360 ++ (13/69)*82360)/2)</f>
        <v>10557.717391304348</v>
      </c>
      <c r="F23">
        <v>368</v>
      </c>
      <c r="G23" s="16">
        <f>F23/F74</f>
        <v>9.3681584440710765E-3</v>
      </c>
    </row>
    <row r="24" spans="1:7" ht="30" x14ac:dyDescent="0.25">
      <c r="A24" s="2" t="s">
        <v>24</v>
      </c>
      <c r="B24" s="4" t="s">
        <v>119</v>
      </c>
      <c r="C24" s="4" t="s">
        <v>91</v>
      </c>
      <c r="E24" s="12">
        <f>(13/272)*1+(((2/3)*10+(3/34)*10)/2)+(((2/5)*100+(53/272)*100)/2)+(((1/5)*1000+(3/136)*1000)/2)+(((1/15)*10000+(95/272)*10000)/2)</f>
        <v>2224.2512254901958</v>
      </c>
      <c r="F24">
        <v>698</v>
      </c>
      <c r="G24" s="16">
        <f>F24/F74</f>
        <v>1.7768952700982638E-2</v>
      </c>
    </row>
    <row r="25" spans="1:7" x14ac:dyDescent="0.25">
      <c r="A25" s="2" t="s">
        <v>25</v>
      </c>
      <c r="B25" s="5" t="s">
        <v>76</v>
      </c>
      <c r="C25" s="4">
        <v>0.36</v>
      </c>
      <c r="D25" s="10">
        <v>13613</v>
      </c>
      <c r="E25" s="12">
        <f>D25*C25</f>
        <v>4900.6799999999994</v>
      </c>
      <c r="F25">
        <v>974</v>
      </c>
      <c r="G25" s="16">
        <f>F25/F74</f>
        <v>2.4795071534035946E-2</v>
      </c>
    </row>
    <row r="26" spans="1:7" x14ac:dyDescent="0.25">
      <c r="A26" s="2" t="s">
        <v>26</v>
      </c>
      <c r="B26" s="5">
        <v>0.25</v>
      </c>
      <c r="C26" s="4">
        <v>0.31</v>
      </c>
      <c r="D26" s="10">
        <v>10000</v>
      </c>
      <c r="E26" s="12">
        <f>(D26*B26 + D26*C26) / 2</f>
        <v>2800</v>
      </c>
      <c r="F26">
        <v>150</v>
      </c>
      <c r="G26" s="16">
        <f>F26/F74</f>
        <v>3.8185428440507103E-3</v>
      </c>
    </row>
    <row r="27" spans="1:7" x14ac:dyDescent="0.25">
      <c r="A27" s="2" t="s">
        <v>27</v>
      </c>
      <c r="B27" s="4">
        <v>0.05</v>
      </c>
      <c r="C27" s="4">
        <v>0.43055555555555558</v>
      </c>
      <c r="D27" s="10">
        <v>13627</v>
      </c>
      <c r="E27" s="12">
        <f xml:space="preserve"> (D27*B27 + D27*C27) / 2</f>
        <v>3274.265277777778</v>
      </c>
      <c r="F27">
        <v>819</v>
      </c>
      <c r="G27" s="16">
        <f>F27/F74</f>
        <v>2.0849243928516878E-2</v>
      </c>
    </row>
    <row r="28" spans="1:7" ht="45" x14ac:dyDescent="0.25">
      <c r="A28" s="2" t="s">
        <v>79</v>
      </c>
      <c r="B28" s="4" t="s">
        <v>80</v>
      </c>
      <c r="C28" s="4">
        <v>0.67</v>
      </c>
      <c r="D28" s="10">
        <v>19955</v>
      </c>
      <c r="E28" s="12">
        <f xml:space="preserve"> (C28*D28)</f>
        <v>13369.85</v>
      </c>
      <c r="F28">
        <v>671</v>
      </c>
      <c r="G28" s="16">
        <f>F28/F74</f>
        <v>1.7081614989053511E-2</v>
      </c>
    </row>
    <row r="29" spans="1:7" ht="30" x14ac:dyDescent="0.25">
      <c r="A29" s="2" t="s">
        <v>28</v>
      </c>
      <c r="B29" s="4" t="s">
        <v>81</v>
      </c>
      <c r="C29" s="4" t="s">
        <v>92</v>
      </c>
      <c r="E29" s="12">
        <f xml:space="preserve"> ((5/6 + 5/116)*1000 + (2/3 + 3/29)*2000 + (1/2 + 55/232)*4000 + (1/3 + 2/29)*8000 + (1/6 + 19/232)*16000) /2</f>
        <v>6280.1724137931033</v>
      </c>
      <c r="F29">
        <v>309</v>
      </c>
      <c r="G29" s="16">
        <f>F29/F74</f>
        <v>7.8661982587444629E-3</v>
      </c>
    </row>
    <row r="30" spans="1:7" x14ac:dyDescent="0.25">
      <c r="A30" s="2" t="s">
        <v>29</v>
      </c>
      <c r="B30" s="4">
        <v>0.28125</v>
      </c>
      <c r="C30" s="4">
        <v>0.45</v>
      </c>
      <c r="D30" s="10">
        <v>19573</v>
      </c>
      <c r="E30" s="12">
        <f xml:space="preserve"> ((((9/32)*D30 + (9/20)*D30) / 2) + (7/4)*(500*(625/7776) + 1000*(750/7776) + 1500*(775/7776) + 2000*(180/7776) + 2500*(156/7776) + 3000*(281/7776) + 3500*(62/7776) + 4000*(37/7776) + 4500*(38/7776) + 5000*(13/7776) + 5500*(8/7776) + 6000*(6/7776) + 6500*(2/7776) + 7000*(1/7776) + 7500*(1/7776))) / 2</f>
        <v>4087.5367348251029</v>
      </c>
      <c r="F30">
        <v>189</v>
      </c>
      <c r="G30" s="16">
        <f>F30/F74</f>
        <v>4.8113639835038946E-3</v>
      </c>
    </row>
    <row r="31" spans="1:7" ht="30" x14ac:dyDescent="0.25">
      <c r="A31" s="2" t="s">
        <v>30</v>
      </c>
      <c r="B31" s="4">
        <v>0.1111111111111111</v>
      </c>
      <c r="C31" s="4">
        <v>0.48</v>
      </c>
      <c r="D31" s="10" t="s">
        <v>107</v>
      </c>
      <c r="E31" s="12">
        <f>(B31*(20028+1000+50) + C31*(20028+1000+50))/2</f>
        <v>6229.72</v>
      </c>
      <c r="F31">
        <v>158</v>
      </c>
      <c r="G31" s="16">
        <f>F31/F74</f>
        <v>4.0221984624000812E-3</v>
      </c>
    </row>
    <row r="32" spans="1:7" x14ac:dyDescent="0.25">
      <c r="A32" s="2" t="s">
        <v>82</v>
      </c>
      <c r="B32" s="4" t="s">
        <v>93</v>
      </c>
      <c r="C32" s="4">
        <v>0.30654761904761907</v>
      </c>
      <c r="D32" s="10">
        <v>30921</v>
      </c>
      <c r="E32" s="12">
        <f>C32*D32</f>
        <v>9478.7589285714294</v>
      </c>
      <c r="F32">
        <v>1268</v>
      </c>
      <c r="G32" s="16">
        <f>F32/F74</f>
        <v>3.2279415508375341E-2</v>
      </c>
    </row>
    <row r="33" spans="1:7" x14ac:dyDescent="0.25">
      <c r="A33" s="2" t="s">
        <v>31</v>
      </c>
      <c r="B33" s="6" t="s">
        <v>76</v>
      </c>
      <c r="C33" s="4">
        <v>0.44</v>
      </c>
      <c r="D33" s="10">
        <v>6720</v>
      </c>
      <c r="E33" s="12">
        <f>C33*D33</f>
        <v>2956.8</v>
      </c>
      <c r="F33">
        <v>214</v>
      </c>
      <c r="G33" s="16">
        <f>F33/F74</f>
        <v>5.4477877908456797E-3</v>
      </c>
    </row>
    <row r="34" spans="1:7" x14ac:dyDescent="0.25">
      <c r="A34" s="2" t="s">
        <v>32</v>
      </c>
      <c r="B34" s="4">
        <v>0.16666666666666666</v>
      </c>
      <c r="C34" s="4">
        <v>0.41605839416058393</v>
      </c>
      <c r="D34" s="8" t="s">
        <v>94</v>
      </c>
      <c r="E34" s="12">
        <f xml:space="preserve"> (B34*(6007+500+50) + C34*(6007+500+50))/2</f>
        <v>1910.464111922141</v>
      </c>
      <c r="F34">
        <v>384</v>
      </c>
      <c r="G34" s="16">
        <f>F34/F74</f>
        <v>9.7754696807698174E-3</v>
      </c>
    </row>
    <row r="35" spans="1:7" ht="30" x14ac:dyDescent="0.25">
      <c r="A35" s="2" t="s">
        <v>33</v>
      </c>
      <c r="B35" s="4" t="s">
        <v>113</v>
      </c>
      <c r="C35" s="4" t="s">
        <v>95</v>
      </c>
      <c r="D35" s="8" t="s">
        <v>114</v>
      </c>
      <c r="E35" s="12">
        <f xml:space="preserve"> (((3/8)+(19/56))/2)*(1/3)*(22970.45 + 5000 + 500) + (((3/40)+(3/56))/2) *(2/3)*(22970.45+5000+500) + (((1/5) + (19/56))/2)*(22970.45 + 5000 + 500)</f>
        <v>12286.354910714286</v>
      </c>
      <c r="F35">
        <v>282</v>
      </c>
      <c r="G35" s="16">
        <f>F35/F74</f>
        <v>7.1788605468153356E-3</v>
      </c>
    </row>
    <row r="36" spans="1:7" x14ac:dyDescent="0.25">
      <c r="A36" s="2" t="s">
        <v>34</v>
      </c>
      <c r="B36" s="4">
        <v>0.27777777777777801</v>
      </c>
      <c r="C36" s="4">
        <v>0.47</v>
      </c>
      <c r="D36" s="10">
        <v>21381</v>
      </c>
      <c r="E36" s="12">
        <f>(B36*D36 + C36*D36)/2 + ((1-B36)*200 + (1-C36)*200)/2</f>
        <v>8119.3405555555582</v>
      </c>
      <c r="F36">
        <v>1359</v>
      </c>
      <c r="G36" s="16">
        <f>F36/F74</f>
        <v>3.4595998167099434E-2</v>
      </c>
    </row>
    <row r="37" spans="1:7" ht="30" x14ac:dyDescent="0.25">
      <c r="A37" s="2" t="s">
        <v>35</v>
      </c>
      <c r="B37" s="4" t="s">
        <v>84</v>
      </c>
      <c r="C37" s="4" t="s">
        <v>96</v>
      </c>
      <c r="D37" s="8" t="s">
        <v>115</v>
      </c>
      <c r="E37" s="12">
        <f>(((1/2)+(7/31))/2)*500+(((1/4)+(15/62))/2)*(500+500)+(((1/8)+(15/62))/2)*(500+500+5000)+(((1/16)+(7/62))/2)*(22970.45+5000+500+500)</f>
        <v>4068.980997983871</v>
      </c>
      <c r="F37">
        <v>60</v>
      </c>
      <c r="G37" s="16">
        <f>F37/F74</f>
        <v>1.5274171376202842E-3</v>
      </c>
    </row>
    <row r="38" spans="1:7" x14ac:dyDescent="0.25">
      <c r="A38" s="2" t="s">
        <v>36</v>
      </c>
      <c r="B38" s="4">
        <v>0.33333333333333331</v>
      </c>
      <c r="C38" s="4">
        <v>0.5</v>
      </c>
      <c r="D38" s="10">
        <v>18971</v>
      </c>
      <c r="E38" s="12">
        <f>(B38*D38 + C38*D38) /2</f>
        <v>7904.583333333333</v>
      </c>
      <c r="F38">
        <v>1448</v>
      </c>
      <c r="G38" s="16">
        <f>F38/F74</f>
        <v>3.6861666921236193E-2</v>
      </c>
    </row>
    <row r="39" spans="1:7" x14ac:dyDescent="0.25">
      <c r="A39" s="2" t="s">
        <v>37</v>
      </c>
      <c r="B39" s="4">
        <v>0.3</v>
      </c>
      <c r="C39" s="4">
        <v>0.68</v>
      </c>
      <c r="D39" s="10">
        <v>14357</v>
      </c>
      <c r="E39" s="12">
        <f>(B39*D39 + C39*D39) / 2</f>
        <v>7034.93</v>
      </c>
      <c r="F39">
        <v>401</v>
      </c>
      <c r="G39" s="16">
        <f>F39/F74</f>
        <v>1.0208237869762231E-2</v>
      </c>
    </row>
    <row r="40" spans="1:7" x14ac:dyDescent="0.25">
      <c r="A40" s="2" t="s">
        <v>38</v>
      </c>
      <c r="B40" s="4">
        <v>0.21041666666666667</v>
      </c>
      <c r="C40" s="4">
        <v>0.41</v>
      </c>
      <c r="D40" s="10">
        <v>26068</v>
      </c>
      <c r="E40" s="12">
        <f xml:space="preserve"> (B40*D40 + C40*D40) / 2</f>
        <v>8086.5108333333328</v>
      </c>
      <c r="F40">
        <v>723</v>
      </c>
      <c r="G40" s="16">
        <f>F40/F74</f>
        <v>1.8405376508324422E-2</v>
      </c>
    </row>
    <row r="41" spans="1:7" x14ac:dyDescent="0.25">
      <c r="A41" s="2" t="s">
        <v>39</v>
      </c>
      <c r="B41" s="4">
        <v>0.5</v>
      </c>
      <c r="C41" s="4">
        <v>0.53</v>
      </c>
      <c r="D41" s="10">
        <v>10173</v>
      </c>
      <c r="E41" s="12">
        <f xml:space="preserve"> (D41*B41 + D41*C41) / 2</f>
        <v>5239.0950000000003</v>
      </c>
      <c r="F41">
        <v>1130</v>
      </c>
      <c r="G41" s="16">
        <f>F41/F74</f>
        <v>2.8766356091848685E-2</v>
      </c>
    </row>
    <row r="42" spans="1:7" x14ac:dyDescent="0.25">
      <c r="A42" s="2" t="s">
        <v>40</v>
      </c>
      <c r="B42" s="4">
        <v>0.33333333333333331</v>
      </c>
      <c r="C42" s="4">
        <v>0.49</v>
      </c>
      <c r="D42" s="10">
        <v>12028</v>
      </c>
      <c r="E42" s="12">
        <f xml:space="preserve"> (D42*B42 + D42*C42) / 2</f>
        <v>4951.5266666666666</v>
      </c>
      <c r="F42">
        <v>296</v>
      </c>
      <c r="G42" s="16">
        <f>F42/F74</f>
        <v>7.5352578789267353E-3</v>
      </c>
    </row>
    <row r="43" spans="1:7" ht="135" x14ac:dyDescent="0.25">
      <c r="A43" s="2" t="s">
        <v>41</v>
      </c>
      <c r="B43" s="4" t="s">
        <v>117</v>
      </c>
      <c r="C43" s="4" t="s">
        <v>116</v>
      </c>
      <c r="D43" s="10">
        <v>19180</v>
      </c>
      <c r="E43" s="12">
        <f xml:space="preserve"> ((13/120)*(1000+3000+5000) + (31/1440)*(4000+6000+8000) + (1/120)*(9000)) + ((13/120)*D43 + (31/1440)*((D43+1000) + (D43+3000) + (D43+5000)) + (1/120)*((D43+4000)+(D43+6000)+(D43+8000)) + (1/720)*(D43+9000))</f>
        <v>5616.4305555555557</v>
      </c>
      <c r="F43">
        <v>177</v>
      </c>
      <c r="G43" s="16">
        <f>F43/F74</f>
        <v>4.505880555979838E-3</v>
      </c>
    </row>
    <row r="44" spans="1:7" x14ac:dyDescent="0.25">
      <c r="A44" s="2" t="s">
        <v>42</v>
      </c>
      <c r="B44" s="4" t="s">
        <v>87</v>
      </c>
      <c r="C44" s="4">
        <v>0.28000000000000003</v>
      </c>
      <c r="D44" s="10">
        <v>22985</v>
      </c>
      <c r="E44" s="12">
        <f xml:space="preserve"> C44*D44</f>
        <v>6435.8</v>
      </c>
      <c r="F44">
        <v>413</v>
      </c>
      <c r="G44" s="16">
        <f>F44/F74</f>
        <v>1.051372129728629E-2</v>
      </c>
    </row>
    <row r="45" spans="1:7" ht="30" x14ac:dyDescent="0.25">
      <c r="A45" s="2" t="s">
        <v>43</v>
      </c>
      <c r="B45" s="4" t="s">
        <v>83</v>
      </c>
      <c r="C45" s="4" t="s">
        <v>97</v>
      </c>
      <c r="E45" s="12">
        <f xml:space="preserve"> (7/23 * 10000) + (4/23*5000)</f>
        <v>3913.04347826087</v>
      </c>
      <c r="F45">
        <v>23</v>
      </c>
      <c r="G45" s="16">
        <f>F45/F74</f>
        <v>5.8550990275444228E-4</v>
      </c>
    </row>
    <row r="46" spans="1:7" x14ac:dyDescent="0.25">
      <c r="A46" s="2" t="s">
        <v>44</v>
      </c>
      <c r="B46" s="4">
        <v>0.33333333333333331</v>
      </c>
      <c r="C46" s="4">
        <v>0.34</v>
      </c>
      <c r="D46" s="10">
        <v>14052</v>
      </c>
      <c r="E46" s="12">
        <f xml:space="preserve"> (D46*B46 + D46*C46) / 2</f>
        <v>4730.84</v>
      </c>
      <c r="F46">
        <v>259</v>
      </c>
      <c r="G46" s="16">
        <f>F46/F74</f>
        <v>6.5933506440608927E-3</v>
      </c>
    </row>
    <row r="47" spans="1:7" x14ac:dyDescent="0.25">
      <c r="A47" s="2" t="s">
        <v>45</v>
      </c>
      <c r="B47" s="5">
        <v>0.4</v>
      </c>
      <c r="C47" s="4">
        <v>0.83</v>
      </c>
      <c r="D47" s="10">
        <v>10753</v>
      </c>
      <c r="E47" s="12">
        <f xml:space="preserve"> (D47*B47 + D47*C47) / 2</f>
        <v>6613.0949999999993</v>
      </c>
      <c r="F47">
        <v>501</v>
      </c>
      <c r="G47" s="16">
        <f>F47/F74</f>
        <v>1.2753933099129372E-2</v>
      </c>
    </row>
    <row r="48" spans="1:7" ht="75" x14ac:dyDescent="0.25">
      <c r="A48" s="2" t="s">
        <v>46</v>
      </c>
      <c r="B48" s="4" t="s">
        <v>120</v>
      </c>
      <c r="E48" s="12">
        <f>3.887671*(((33/1024)*100+(116/1024)*500+(248/1024)*1000+(231/1024)*10000) + (1825.018))/2</f>
        <v>8519.6913440682965</v>
      </c>
      <c r="F48">
        <v>929</v>
      </c>
      <c r="G48" s="16">
        <f>F48/F74</f>
        <v>2.3649508680820733E-2</v>
      </c>
    </row>
    <row r="49" spans="1:7" x14ac:dyDescent="0.25">
      <c r="A49" s="2" t="s">
        <v>47</v>
      </c>
      <c r="B49" s="4" t="s">
        <v>83</v>
      </c>
      <c r="C49" s="4">
        <v>0.51</v>
      </c>
      <c r="D49" s="10">
        <v>21716</v>
      </c>
      <c r="E49" s="12">
        <f xml:space="preserve"> C49*D49</f>
        <v>11075.16</v>
      </c>
      <c r="F49">
        <v>101</v>
      </c>
      <c r="G49" s="16">
        <f>F49/F74</f>
        <v>2.5711521816608116E-3</v>
      </c>
    </row>
    <row r="50" spans="1:7" x14ac:dyDescent="0.25">
      <c r="A50" s="2" t="s">
        <v>48</v>
      </c>
      <c r="B50" s="4">
        <v>0.04</v>
      </c>
      <c r="E50" s="12">
        <f xml:space="preserve"> 3.258333*910.0979</f>
        <v>2965.4020208007</v>
      </c>
      <c r="F50">
        <v>671</v>
      </c>
      <c r="G50" s="16">
        <f>F50/F74</f>
        <v>1.7081614989053511E-2</v>
      </c>
    </row>
    <row r="51" spans="1:7" x14ac:dyDescent="0.25">
      <c r="A51" s="2" t="s">
        <v>49</v>
      </c>
      <c r="B51" s="4">
        <v>0.2</v>
      </c>
      <c r="C51" s="4">
        <v>0.43</v>
      </c>
      <c r="D51" s="10">
        <v>16543</v>
      </c>
      <c r="E51" s="12">
        <f xml:space="preserve"> (D51*B51 + D51*C51) / 2</f>
        <v>5211.0450000000001</v>
      </c>
      <c r="F51">
        <v>366</v>
      </c>
      <c r="G51" s="16">
        <f>F51/F74</f>
        <v>9.3172445394837326E-3</v>
      </c>
    </row>
    <row r="52" spans="1:7" ht="30" x14ac:dyDescent="0.25">
      <c r="A52" s="2" t="s">
        <v>50</v>
      </c>
      <c r="B52" s="13" t="s">
        <v>98</v>
      </c>
      <c r="C52" s="4" t="s">
        <v>108</v>
      </c>
      <c r="D52" s="10">
        <v>11361</v>
      </c>
      <c r="E52" s="14">
        <f xml:space="preserve"> (((1/8)+(70/139))/2)*D52 + (24/139)*(D52/2) + (27/139)*(D52/4)</f>
        <v>5103.2549460431655</v>
      </c>
      <c r="F52">
        <v>879</v>
      </c>
      <c r="G52" s="16">
        <f>F52/F74</f>
        <v>2.2376661066137161E-2</v>
      </c>
    </row>
    <row r="53" spans="1:7" x14ac:dyDescent="0.25">
      <c r="A53" s="2" t="s">
        <v>51</v>
      </c>
      <c r="B53" s="13">
        <v>0.25</v>
      </c>
      <c r="C53" s="4">
        <v>0.48</v>
      </c>
      <c r="D53" s="10">
        <v>16196</v>
      </c>
      <c r="E53" s="14">
        <f xml:space="preserve"> (D53*B53 + D53*C53) / 2</f>
        <v>5911.54</v>
      </c>
      <c r="F53">
        <v>1392</v>
      </c>
      <c r="G53" s="16">
        <f>F53/F74</f>
        <v>3.5436077592790591E-2</v>
      </c>
    </row>
    <row r="54" spans="1:7" ht="30" x14ac:dyDescent="0.25">
      <c r="A54" s="2" t="s">
        <v>52</v>
      </c>
      <c r="B54" s="4" t="s">
        <v>83</v>
      </c>
      <c r="C54" s="4" t="s">
        <v>99</v>
      </c>
      <c r="D54" s="8" t="s">
        <v>114</v>
      </c>
      <c r="E54" s="12">
        <f xml:space="preserve"> (3/28)*(22970.45+5000+500) + (3/14)*(2/3)*(22970.45+5000+500) + (11/28)*(1/3)*(22970.45+5000+500)</f>
        <v>10845.885714285712</v>
      </c>
      <c r="F54">
        <v>28</v>
      </c>
      <c r="G54" s="16">
        <f>F54/F74</f>
        <v>7.1279466422279926E-4</v>
      </c>
    </row>
    <row r="55" spans="1:7" x14ac:dyDescent="0.25">
      <c r="A55" s="2" t="s">
        <v>53</v>
      </c>
      <c r="B55" s="13">
        <v>0.16666666666666666</v>
      </c>
      <c r="C55" s="4">
        <v>0.49</v>
      </c>
      <c r="D55" s="10" t="s">
        <v>118</v>
      </c>
      <c r="E55" s="14">
        <f xml:space="preserve"> ((B55 + C55)/2)*(13414+500)</f>
        <v>4568.4299999999994</v>
      </c>
      <c r="F55">
        <v>816</v>
      </c>
      <c r="G55" s="16">
        <f>F55/F74</f>
        <v>2.0772873071635865E-2</v>
      </c>
    </row>
    <row r="56" spans="1:7" ht="30" x14ac:dyDescent="0.25">
      <c r="A56" s="2" t="s">
        <v>54</v>
      </c>
      <c r="B56" s="4" t="s">
        <v>75</v>
      </c>
      <c r="C56" s="4">
        <v>0.5</v>
      </c>
      <c r="D56" s="10">
        <v>13908</v>
      </c>
      <c r="E56" s="12">
        <f xml:space="preserve"> D56*C56</f>
        <v>6954</v>
      </c>
      <c r="F56">
        <v>535</v>
      </c>
      <c r="G56" s="16">
        <f>F56/F74</f>
        <v>1.3619469477114199E-2</v>
      </c>
    </row>
    <row r="57" spans="1:7" x14ac:dyDescent="0.25">
      <c r="A57" s="2" t="s">
        <v>55</v>
      </c>
      <c r="B57" s="5">
        <v>0.34375</v>
      </c>
      <c r="C57" s="5">
        <v>0.75</v>
      </c>
      <c r="D57" s="10">
        <v>12267</v>
      </c>
      <c r="E57" s="12">
        <f xml:space="preserve"> (D57*B57 + D57*C57) / 2</f>
        <v>6708.515625</v>
      </c>
      <c r="F57">
        <v>552</v>
      </c>
      <c r="G57" s="16">
        <f>F57/F74</f>
        <v>1.4052237666106613E-2</v>
      </c>
    </row>
    <row r="58" spans="1:7" x14ac:dyDescent="0.25">
      <c r="A58" s="2" t="s">
        <v>56</v>
      </c>
      <c r="B58" s="13">
        <v>0.25</v>
      </c>
      <c r="C58" s="4">
        <v>0.59</v>
      </c>
      <c r="D58" s="10">
        <v>7633</v>
      </c>
      <c r="E58" s="14">
        <f>(D58*B58 +D58*C58) / 2</f>
        <v>3205.8599999999997</v>
      </c>
      <c r="F58">
        <v>190</v>
      </c>
      <c r="G58" s="16">
        <f>F58/F74</f>
        <v>4.8368209357975665E-3</v>
      </c>
    </row>
    <row r="59" spans="1:7" x14ac:dyDescent="0.25">
      <c r="A59" s="2" t="s">
        <v>57</v>
      </c>
      <c r="B59" s="4">
        <v>0.5</v>
      </c>
      <c r="C59" s="4">
        <v>0.73</v>
      </c>
      <c r="D59" s="10">
        <v>6262</v>
      </c>
      <c r="E59" s="12">
        <f xml:space="preserve"> (D59*B59 + D59*C59) / 2</f>
        <v>3851.13</v>
      </c>
      <c r="F59">
        <v>223</v>
      </c>
      <c r="G59" s="16">
        <f>F59/F74</f>
        <v>5.676900361488723E-3</v>
      </c>
    </row>
    <row r="60" spans="1:7" x14ac:dyDescent="0.25">
      <c r="A60" s="2" t="s">
        <v>58</v>
      </c>
      <c r="B60" s="4" t="s">
        <v>83</v>
      </c>
      <c r="C60" s="4">
        <v>0.52</v>
      </c>
      <c r="D60" s="10">
        <v>19260</v>
      </c>
      <c r="E60" s="12">
        <f xml:space="preserve"> D60*C60</f>
        <v>10015.200000000001</v>
      </c>
      <c r="F60">
        <v>382</v>
      </c>
      <c r="G60" s="16">
        <f>F60/F74</f>
        <v>9.7245557761824752E-3</v>
      </c>
    </row>
    <row r="61" spans="1:7" x14ac:dyDescent="0.25">
      <c r="A61" s="2" t="s">
        <v>59</v>
      </c>
      <c r="B61" s="4">
        <v>0.33333333333333331</v>
      </c>
      <c r="C61" s="4">
        <v>0.36</v>
      </c>
      <c r="D61" s="10">
        <v>14633</v>
      </c>
      <c r="E61" s="12">
        <f xml:space="preserve"> (D61*B61 + D61*C61) / 2</f>
        <v>5072.7733333333326</v>
      </c>
      <c r="F61">
        <v>1231</v>
      </c>
      <c r="G61" s="16">
        <f>F61/F74</f>
        <v>3.1337508273509493E-2</v>
      </c>
    </row>
    <row r="62" spans="1:7" x14ac:dyDescent="0.25">
      <c r="A62" s="2" t="s">
        <v>60</v>
      </c>
      <c r="B62" s="5" t="s">
        <v>83</v>
      </c>
      <c r="C62" s="5">
        <v>0.22</v>
      </c>
      <c r="D62" s="10">
        <v>33129</v>
      </c>
      <c r="E62" s="12">
        <f xml:space="preserve"> D62*C62</f>
        <v>7288.38</v>
      </c>
      <c r="F62">
        <v>79</v>
      </c>
      <c r="G62" s="16">
        <f>F62/F74</f>
        <v>2.0110992312000406E-3</v>
      </c>
    </row>
    <row r="63" spans="1:7" ht="30" x14ac:dyDescent="0.25">
      <c r="A63" s="2" t="s">
        <v>61</v>
      </c>
      <c r="B63" s="4" t="s">
        <v>74</v>
      </c>
      <c r="C63" s="4" t="s">
        <v>100</v>
      </c>
      <c r="D63" s="10">
        <v>8468</v>
      </c>
      <c r="E63" s="12">
        <f xml:space="preserve"> (((1/24)+(7/69))/2)*(D63+1500) + (((1/6)+(19/69))/2)*((3/4)*D63 + 1000) + (((1/2)+(20/69))/2)*((1/2)*D63 + 500)</f>
        <v>4207.554347826087</v>
      </c>
      <c r="F63">
        <v>69</v>
      </c>
      <c r="G63" s="16">
        <f>F63/F74</f>
        <v>1.7565297082633266E-3</v>
      </c>
    </row>
    <row r="64" spans="1:7" x14ac:dyDescent="0.25">
      <c r="A64" s="2" t="s">
        <v>62</v>
      </c>
      <c r="B64" s="4">
        <v>0.33333333333333331</v>
      </c>
      <c r="C64" s="4">
        <v>0.43</v>
      </c>
      <c r="D64" s="10">
        <v>10277</v>
      </c>
      <c r="E64" s="12">
        <f xml:space="preserve"> (D64*B64 +D64*C64) /2</f>
        <v>3922.3883333333333</v>
      </c>
      <c r="F64">
        <v>236</v>
      </c>
      <c r="G64" s="16">
        <f>F64/F74</f>
        <v>6.0078407413064507E-3</v>
      </c>
    </row>
    <row r="65" spans="1:7" x14ac:dyDescent="0.25">
      <c r="A65" s="2" t="s">
        <v>63</v>
      </c>
      <c r="B65" s="4">
        <v>0.5</v>
      </c>
      <c r="C65" s="4">
        <v>0.63</v>
      </c>
      <c r="D65" s="10">
        <v>9975</v>
      </c>
      <c r="E65" s="12">
        <f xml:space="preserve"> (D65*B65 +D65*C65) / 2</f>
        <v>5635.875</v>
      </c>
      <c r="F65">
        <v>560</v>
      </c>
      <c r="G65" s="16">
        <f>F65/F74</f>
        <v>1.4255893284455985E-2</v>
      </c>
    </row>
    <row r="66" spans="1:7" ht="30" x14ac:dyDescent="0.25">
      <c r="A66" s="2" t="s">
        <v>64</v>
      </c>
      <c r="B66" s="4" t="s">
        <v>83</v>
      </c>
      <c r="C66" s="4" t="s">
        <v>101</v>
      </c>
      <c r="D66" s="8" t="s">
        <v>102</v>
      </c>
      <c r="E66" s="12">
        <f xml:space="preserve"> (9/115)*(27250+50+50+50+50) + (22/115)*(3/5)*(27250+50+50+50+50) + (19/115)*(2/5)*(27250+50+50+50+50) + (44/115)*(1/5)*(27250+50+50+50+50)</f>
        <v>9213.652173913044</v>
      </c>
      <c r="F66">
        <v>451</v>
      </c>
      <c r="G66" s="16">
        <f>F66/F74</f>
        <v>1.1481085484445801E-2</v>
      </c>
    </row>
    <row r="67" spans="1:7" x14ac:dyDescent="0.25">
      <c r="A67" s="2" t="s">
        <v>65</v>
      </c>
      <c r="B67" s="4">
        <v>0.33333333333333331</v>
      </c>
      <c r="C67" s="4">
        <v>0.55000000000000004</v>
      </c>
      <c r="D67" s="10">
        <v>10000</v>
      </c>
      <c r="E67" s="12">
        <f xml:space="preserve"> ((B67+C67)/2)*D67</f>
        <v>4416.666666666667</v>
      </c>
      <c r="F67">
        <v>619</v>
      </c>
      <c r="G67" s="16">
        <f>F63/F74</f>
        <v>1.7565297082633266E-3</v>
      </c>
    </row>
    <row r="68" spans="1:7" ht="30" x14ac:dyDescent="0.25">
      <c r="A68" s="2" t="s">
        <v>66</v>
      </c>
      <c r="B68" s="4" t="s">
        <v>72</v>
      </c>
      <c r="C68" s="4" t="s">
        <v>103</v>
      </c>
      <c r="D68" s="8" t="s">
        <v>104</v>
      </c>
      <c r="E68" s="12">
        <f xml:space="preserve"> ((1/16 + 17/109)/2) * 21095 + 27/109 * 8428</f>
        <v>4391.9114105504595</v>
      </c>
      <c r="F68">
        <v>766</v>
      </c>
      <c r="G68" s="16">
        <f>F68/F74</f>
        <v>1.9500025456952293E-2</v>
      </c>
    </row>
    <row r="69" spans="1:7" ht="30" x14ac:dyDescent="0.25">
      <c r="A69" s="2" t="s">
        <v>67</v>
      </c>
      <c r="B69" s="4" t="s">
        <v>83</v>
      </c>
      <c r="C69" s="4" t="s">
        <v>105</v>
      </c>
      <c r="D69" s="8" t="s">
        <v>106</v>
      </c>
      <c r="E69" s="12">
        <f xml:space="preserve"> ((61/119)* (20085+500+50) + (2/7)*550 + (24/199)*50)</f>
        <v>10740.778049913433</v>
      </c>
      <c r="F69">
        <v>707</v>
      </c>
      <c r="G69" s="16">
        <f>F69/F74</f>
        <v>1.7998065271625681E-2</v>
      </c>
    </row>
    <row r="70" spans="1:7" x14ac:dyDescent="0.25">
      <c r="A70" s="2" t="s">
        <v>68</v>
      </c>
      <c r="B70" s="4">
        <v>0.1</v>
      </c>
      <c r="C70" s="4">
        <v>0.25</v>
      </c>
      <c r="D70" s="10">
        <v>31077</v>
      </c>
      <c r="E70" s="12">
        <f xml:space="preserve"> (D70*B70 + D70*C70) / 2</f>
        <v>5438.4750000000004</v>
      </c>
      <c r="F70">
        <v>304</v>
      </c>
      <c r="G70" s="16">
        <f>F70/F74</f>
        <v>7.7389134972761058E-3</v>
      </c>
    </row>
    <row r="71" spans="1:7" x14ac:dyDescent="0.25">
      <c r="A71" s="2" t="s">
        <v>69</v>
      </c>
      <c r="B71" s="4" t="s">
        <v>83</v>
      </c>
      <c r="C71" s="4">
        <v>0.32</v>
      </c>
      <c r="D71" s="10">
        <v>40455</v>
      </c>
      <c r="E71" s="12">
        <f xml:space="preserve"> D71*C71</f>
        <v>12945.6</v>
      </c>
      <c r="F71">
        <v>813</v>
      </c>
      <c r="G71" s="16">
        <f>F71/F74</f>
        <v>2.0696502214754848E-2</v>
      </c>
    </row>
    <row r="72" spans="1:7" x14ac:dyDescent="0.25">
      <c r="A72" s="2" t="s">
        <v>70</v>
      </c>
      <c r="B72" s="4">
        <v>4.1666666666666664E-2</v>
      </c>
      <c r="C72" s="4">
        <v>0.17</v>
      </c>
      <c r="D72" s="9">
        <v>22970.45</v>
      </c>
      <c r="E72" s="12">
        <f xml:space="preserve"> ((B72+C72)/2)*3*D72</f>
        <v>7293.1178749999999</v>
      </c>
      <c r="F72">
        <v>64</v>
      </c>
      <c r="G72" s="16">
        <f>F72/F74</f>
        <v>1.6292449467949696E-3</v>
      </c>
    </row>
    <row r="73" spans="1:7" x14ac:dyDescent="0.25">
      <c r="A73" s="2" t="s">
        <v>71</v>
      </c>
      <c r="B73" s="4">
        <v>0.25</v>
      </c>
      <c r="C73" s="4">
        <v>0.47</v>
      </c>
      <c r="D73" s="10">
        <v>13183</v>
      </c>
      <c r="E73" s="12">
        <f>2 * (D73*B73 + D73*C73)/2</f>
        <v>9491.7599999999984</v>
      </c>
      <c r="F73">
        <v>280</v>
      </c>
      <c r="G73" s="16">
        <f>F73/F74</f>
        <v>7.1279466422279926E-3</v>
      </c>
    </row>
    <row r="74" spans="1:7" x14ac:dyDescent="0.25">
      <c r="F74">
        <f>SUM(F2:F73)</f>
        <v>39282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Probabilites And Averages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</dc:creator>
  <cp:lastModifiedBy>erica</cp:lastModifiedBy>
  <dcterms:created xsi:type="dcterms:W3CDTF">2013-02-15T18:10:09Z</dcterms:created>
  <dcterms:modified xsi:type="dcterms:W3CDTF">2013-02-18T04:06:43Z</dcterms:modified>
</cp:coreProperties>
</file>